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44" documentId="8_{8517FD60-F339-4DEA-8D0F-D9E9219BB90D}" xr6:coauthVersionLast="47" xr6:coauthVersionMax="47" xr10:uidLastSave="{79C2B65C-53B3-4AA9-B8C2-DE1070B37077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OSR_Div 1_7H47HR" sheetId="7" state="hidden" r:id="rId6"/>
    <sheet name="OSR_Div 3 (2)...4cb81c06_PBSMLS" sheetId="8" state="hidden" r:id="rId7"/>
    <sheet name="OSR_Div 2_1PQ800A" sheetId="10" state="hidden" r:id="rId8"/>
    <sheet name="OSR_Div 1 (2)...789fe994_2NV3KA" sheetId="11" state="hidden" r:id="rId9"/>
    <sheet name="OSR_Div 3_18723PH" sheetId="13" state="hidden" r:id="rId10"/>
    <sheet name="OSR_300 (2)_7...54cb56fc_UFX0O2" sheetId="14" state="hidden" r:id="rId11"/>
    <sheet name="OSR_300_IYZXI6" sheetId="16" state="hidden" r:id="rId12"/>
    <sheet name="OSR_Div 3 (2)...b7db256a_40ITCB" sheetId="17" state="hidden" r:id="rId13"/>
    <sheet name="OSR_300 &amp; 317_1C00ID4" sheetId="19" state="hidden" r:id="rId14"/>
    <sheet name="OSR_300 (2)_c...79cd3046_1TJM0H" sheetId="20" state="hidden" r:id="rId15"/>
    <sheet name="OSR_310_1CMTOSB" sheetId="22" state="hidden" r:id="rId16"/>
    <sheet name="OSR_300 (2)_e...5d0da5bf_6BPGAO" sheetId="23" state="hidden" r:id="rId17"/>
    <sheet name="OSR_330_10VFP5Y" sheetId="25" state="hidden" r:id="rId18"/>
    <sheet name="OSR_310 (2)_...6e684f08_1FLCNJG" sheetId="26" state="hidden" r:id="rId19"/>
    <sheet name="OSR_308_UAWDAG" sheetId="28" state="hidden" r:id="rId20"/>
    <sheet name="OSR_330 (2)_...8a14c83e_1NSH7XI" sheetId="29" state="hidden" r:id="rId21"/>
    <sheet name="OSR_331_10VKQAJ" sheetId="31" state="hidden" r:id="rId22"/>
    <sheet name="OSR_308 (2)_...47685838_1YQW4QY" sheetId="32" state="hidden" r:id="rId23"/>
    <sheet name="OSR_332_6NDVBW" sheetId="34" state="hidden" r:id="rId24"/>
    <sheet name="OSR_331 (2)_...7280af70_1P5SPLT" sheetId="35" state="hidden" r:id="rId25"/>
    <sheet name="OSR_Div 4_1740TMT" sheetId="37" state="hidden" r:id="rId26"/>
    <sheet name="OSR_310 (2)_...8cac1423_1JTU33X" sheetId="38" state="hidden" r:id="rId27"/>
    <sheet name="OSR_310 &amp; 491_1NGRCS9" sheetId="40" state="hidden" r:id="rId28"/>
    <sheet name="OSR_491 (2)_0...c51cc666_QIOT67" sheetId="41" state="hidden" r:id="rId29"/>
    <sheet name="OSR_491_9Z9JH5" sheetId="43" state="hidden" r:id="rId30"/>
    <sheet name="OSR_Div 4 (2...2533da42_174R6QX" sheetId="44" state="hidden" r:id="rId31"/>
    <sheet name="OSR_492_943FP1" sheetId="46" state="hidden" r:id="rId32"/>
    <sheet name="OSR_Div 4 (2)...1a9a4454_CQFRNE" sheetId="47" state="hidden" r:id="rId33"/>
    <sheet name="OSR_Div 5_16NAZO2" sheetId="49" state="hidden" r:id="rId34"/>
    <sheet name="OSR_492 (2)_...cd97c6a6_13HYXEV" sheetId="50" state="hidden" r:id="rId35"/>
    <sheet name="OSR_Div 6_P37YY7" sheetId="52" state="hidden" r:id="rId36"/>
    <sheet name="OSR_Div 5 (2...09141158_1BG9FGV" sheetId="53" state="hidden" r:id="rId37"/>
    <sheet name="Div 1" sheetId="6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30" sheetId="24" r:id="rId52"/>
    <sheet name="307" sheetId="64" r:id="rId53"/>
    <sheet name="308" sheetId="27" r:id="rId54"/>
    <sheet name="311" sheetId="66" r:id="rId55"/>
    <sheet name="324" sheetId="75" r:id="rId56"/>
    <sheet name="331" sheetId="30" r:id="rId57"/>
    <sheet name="315" sheetId="69" r:id="rId58"/>
    <sheet name="326" sheetId="77" r:id="rId59"/>
    <sheet name="332" sheetId="33" r:id="rId60"/>
    <sheet name="316" sheetId="70" r:id="rId61"/>
    <sheet name="Div 6" sheetId="51" r:id="rId62"/>
    <sheet name="317" sheetId="71" r:id="rId63"/>
    <sheet name="310" sheetId="21" r:id="rId64"/>
    <sheet name="309" sheetId="65" r:id="rId65"/>
    <sheet name="313" sheetId="67" r:id="rId66"/>
    <sheet name="321" sheetId="73" r:id="rId67"/>
    <sheet name="322" sheetId="74" r:id="rId68"/>
    <sheet name="325" sheetId="76" r:id="rId69"/>
    <sheet name="327" sheetId="78" r:id="rId70"/>
    <sheet name="Div 4" sheetId="36" r:id="rId71"/>
    <sheet name="310 &amp; 491" sheetId="39" r:id="rId72"/>
    <sheet name="491" sheetId="42" r:id="rId73"/>
    <sheet name="405" sheetId="79" r:id="rId74"/>
    <sheet name="406" sheetId="80" r:id="rId75"/>
    <sheet name="411" sheetId="81" r:id="rId76"/>
    <sheet name="412" sheetId="82" r:id="rId77"/>
    <sheet name="413" sheetId="83" r:id="rId78"/>
    <sheet name="414" sheetId="84" r:id="rId79"/>
    <sheet name="415" sheetId="85" r:id="rId80"/>
    <sheet name="418" sheetId="86" r:id="rId81"/>
    <sheet name="420" sheetId="87" r:id="rId82"/>
    <sheet name="423" sheetId="88" r:id="rId83"/>
    <sheet name="424" sheetId="89" r:id="rId84"/>
    <sheet name="425" sheetId="90" r:id="rId85"/>
    <sheet name="455" sheetId="96" r:id="rId86"/>
    <sheet name="492" sheetId="45" r:id="rId87"/>
    <sheet name="430" sheetId="91" r:id="rId88"/>
    <sheet name="433" sheetId="92" r:id="rId89"/>
    <sheet name="435" sheetId="93" r:id="rId90"/>
    <sheet name="444" sheetId="94" r:id="rId91"/>
    <sheet name="450" sheetId="95" r:id="rId92"/>
    <sheet name="Div 5" sheetId="48" r:id="rId93"/>
    <sheet name="501" sheetId="97" r:id="rId94"/>
    <sheet name="Dept" sheetId="98" state="hidden" r:id="rId95"/>
    <sheet name="OSR_Dept_Y0WUKY" sheetId="99" state="hidden" r:id="rId96"/>
    <sheet name="OSR_Summary (...56e5d78f_5JEYZH" sheetId="100" state="hidden" r:id="rId97"/>
  </sheets>
  <definedNames>
    <definedName name="OSRRefD13x_0" localSheetId="48">'300'!$D$13:$D$77</definedName>
    <definedName name="OSRRefD13x_0" localSheetId="49">'300 &amp; 317'!$D$13:$D$91</definedName>
    <definedName name="OSRRefD13x_0" localSheetId="52">'307'!$D$13:$D$25</definedName>
    <definedName name="OSRRefD13x_0" localSheetId="53">'308'!$D$13:$D$36</definedName>
    <definedName name="OSRRefD13x_0" localSheetId="63">'310'!$D$13:$D$21</definedName>
    <definedName name="OSRRefD13x_0" localSheetId="71">'310 &amp; 491'!$D$13:$D$25</definedName>
    <definedName name="OSRRefD13x_0" localSheetId="54">'311'!$D$13:$D$36</definedName>
    <definedName name="OSRRefD13x_0" localSheetId="65">'313'!$D$13:$D$16</definedName>
    <definedName name="OSRRefD13x_0" localSheetId="57">'315'!$D$13:$D$54</definedName>
    <definedName name="OSRRefD13x_0" localSheetId="60">'316'!$D$13:$D$23</definedName>
    <definedName name="OSRRefD13x_0" localSheetId="62">'317'!$D$13:$D$33</definedName>
    <definedName name="OSRRefD13x_0" localSheetId="66">'321'!$D$13:$D$14</definedName>
    <definedName name="OSRRefD13x_0" localSheetId="55">'324'!$D$13:$D$16</definedName>
    <definedName name="OSRRefD13x_0" localSheetId="68">'325'!$D$13:$D$14</definedName>
    <definedName name="OSRRefD13x_0" localSheetId="58">'326'!$D$13:$D$34</definedName>
    <definedName name="OSRRefD13x_0" localSheetId="69">'327'!$D$13:$D$14</definedName>
    <definedName name="OSRRefD13x_0" localSheetId="51">'330'!$D$13:$D$28</definedName>
    <definedName name="OSRRefD13x_0" localSheetId="56">'331'!$D$13:$D$54</definedName>
    <definedName name="OSRRefD13x_0" localSheetId="59">'332'!$D$13:$D$23</definedName>
    <definedName name="OSRRefD13x_0" localSheetId="73">'405'!$D$13:$D$14</definedName>
    <definedName name="OSRRefD13x_0" localSheetId="78">'414'!$D$13</definedName>
    <definedName name="OSRRefD13x_0" localSheetId="79">'415'!$D$13:$D$14</definedName>
    <definedName name="OSRRefD13x_0" localSheetId="81">'420'!$D$13</definedName>
    <definedName name="OSRRefD13x_0" localSheetId="84">'425'!$D$13</definedName>
    <definedName name="OSRRefD13x_0" localSheetId="88">'433'!$D$13:$D$15</definedName>
    <definedName name="OSRRefD13x_0" localSheetId="90">'444'!$D$13:$D$15</definedName>
    <definedName name="OSRRefD13x_0" localSheetId="91">'450'!$D$13:$D$15</definedName>
    <definedName name="OSRRefD13x_0" localSheetId="72">'491'!$D$13:$D$17</definedName>
    <definedName name="OSRRefD13x_0" localSheetId="86">'492'!$D$13:$D$15</definedName>
    <definedName name="OSRRefD13x_0" localSheetId="93">'501'!$D$13</definedName>
    <definedName name="OSRRefD13x_0" localSheetId="47">'Div 3'!$D$13:$D$80</definedName>
    <definedName name="OSRRefD13x_0" localSheetId="70">'Div 4'!$D$13:$D$18</definedName>
    <definedName name="OSRRefD13x_0" localSheetId="92">'Div 5'!$D$13</definedName>
    <definedName name="OSRRefD13x_0" localSheetId="61">'Div 6'!$D$13:$D$33</definedName>
    <definedName name="OSRRefD13x_0" localSheetId="2">Summary!$D$13:$D$98</definedName>
    <definedName name="OSRRefD16x_0" localSheetId="48">'300'!$D$80:$D$118</definedName>
    <definedName name="OSRRefD16x_0" localSheetId="49">'300 &amp; 317'!$D$94:$D$140</definedName>
    <definedName name="OSRRefD16x_0" localSheetId="50">'301'!$D$15</definedName>
    <definedName name="OSRRefD16x_0" localSheetId="52">'307'!$D$28:$D$37</definedName>
    <definedName name="OSRRefD16x_0" localSheetId="53">'308'!$D$39:$D$55</definedName>
    <definedName name="OSRRefD16x_0" localSheetId="63">'310'!$D$24:$D$25</definedName>
    <definedName name="OSRRefD16x_0" localSheetId="71">'310 &amp; 491'!$D$28:$D$29</definedName>
    <definedName name="OSRRefD16x_0" localSheetId="54">'311'!$D$39:$D$55</definedName>
    <definedName name="OSRRefD16x_0" localSheetId="65">'313'!$D$19</definedName>
    <definedName name="OSRRefD16x_0" localSheetId="57">'315'!$D$57:$D$80</definedName>
    <definedName name="OSRRefD16x_0" localSheetId="60">'316'!$D$26</definedName>
    <definedName name="OSRRefD16x_0" localSheetId="62">'317'!$D$36:$D$47</definedName>
    <definedName name="OSRRefD16x_0" localSheetId="66">'321'!$D$17:$D$18</definedName>
    <definedName name="OSRRefD16x_0" localSheetId="67">'322'!$D$15</definedName>
    <definedName name="OSRRefD16x_0" localSheetId="55">'324'!$D$19:$D$21</definedName>
    <definedName name="OSRRefD16x_0" localSheetId="68">'325'!$D$17:$D$18</definedName>
    <definedName name="OSRRefD16x_0" localSheetId="58">'326'!$D$37:$D$43</definedName>
    <definedName name="OSRRefD16x_0" localSheetId="69">'327'!$D$17:$D$18</definedName>
    <definedName name="OSRRefD16x_0" localSheetId="51">'330'!$D$31:$D$40</definedName>
    <definedName name="OSRRefD16x_0" localSheetId="56">'331'!$D$57:$D$80</definedName>
    <definedName name="OSRRefD16x_0" localSheetId="59">'332'!$D$26:$D$28</definedName>
    <definedName name="OSRRefD16x_0" localSheetId="73">'405'!$D$17:$D$18</definedName>
    <definedName name="OSRRefD16x_0" localSheetId="79">'415'!$D$17:$D$18</definedName>
    <definedName name="OSRRefD16x_0" localSheetId="80">'418'!$D$15</definedName>
    <definedName name="OSRRefD16x_0" localSheetId="84">'425'!$D$16</definedName>
    <definedName name="OSRRefD16x_0" localSheetId="88">'433'!$D$18:$D$19</definedName>
    <definedName name="OSRRefD16x_0" localSheetId="90">'444'!$D$18:$D$19</definedName>
    <definedName name="OSRRefD16x_0" localSheetId="91">'450'!$D$18:$D$19</definedName>
    <definedName name="OSRRefD16x_0" localSheetId="72">'491'!$D$20:$D$21</definedName>
    <definedName name="OSRRefD16x_0" localSheetId="86">'492'!$D$18:$D$19</definedName>
    <definedName name="OSRRefD16x_0" localSheetId="47">'Div 3'!$D$83:$D$123</definedName>
    <definedName name="OSRRefD16x_0" localSheetId="70">'Div 4'!$D$21:$D$22</definedName>
    <definedName name="OSRRefD16x_0" localSheetId="61">'Div 6'!$D$36:$D$47</definedName>
    <definedName name="OSRRefD16x_0" localSheetId="2">Summary!$D$101:$D$149</definedName>
    <definedName name="OSRRefD22_0x_0" localSheetId="40">'200'!$D$20</definedName>
    <definedName name="OSRRefD22_0x_0" localSheetId="41">'201'!$D$20:$D$27</definedName>
    <definedName name="OSRRefD22_0x_0" localSheetId="42">'202'!$D$20:$D$27</definedName>
    <definedName name="OSRRefD22_0x_0" localSheetId="43">'203'!$D$20:$D$28</definedName>
    <definedName name="OSRRefD22_0x_0" localSheetId="44">'204'!$D$20:$D$28</definedName>
    <definedName name="OSRRefD22_0x_0" localSheetId="45">'205'!$D$20:$D$27</definedName>
    <definedName name="OSRRefD22_0x_0" localSheetId="46">'206'!$D$20:$D$26</definedName>
    <definedName name="OSRRefD22_0x_0" localSheetId="48">'300'!$D$124:$D$133</definedName>
    <definedName name="OSRRefD22_0x_0" localSheetId="49">'300 &amp; 317'!$D$146:$D$155</definedName>
    <definedName name="OSRRefD22_0x_0" localSheetId="50">'301'!$D$21:$D$30</definedName>
    <definedName name="OSRRefD22_0x_0" localSheetId="52">'307'!$D$43:$D$45</definedName>
    <definedName name="OSRRefD22_0x_0" localSheetId="53">'308'!$D$61:$D$69</definedName>
    <definedName name="OSRRefD22_0x_0" localSheetId="64">'309'!$D$20</definedName>
    <definedName name="OSRRefD22_0x_0" localSheetId="63">'310'!$D$31:$D$38</definedName>
    <definedName name="OSRRefD22_0x_0" localSheetId="71">'310 &amp; 491'!$D$35:$D$42</definedName>
    <definedName name="OSRRefD22_0x_0" localSheetId="54">'311'!$D$61:$D$69</definedName>
    <definedName name="OSRRefD22_0x_0" localSheetId="65">'313'!$D$25:$D$32</definedName>
    <definedName name="OSRRefD22_0x_0" localSheetId="57">'315'!$D$86:$D$93</definedName>
    <definedName name="OSRRefD22_0x_0" localSheetId="60">'316'!$D$32:$D$39</definedName>
    <definedName name="OSRRefD22_0x_0" localSheetId="62">'317'!$D$53:$D$61</definedName>
    <definedName name="OSRRefD22_0x_0" localSheetId="66">'321'!$D$24:$D$31</definedName>
    <definedName name="OSRRefD22_0x_0" localSheetId="67">'322'!$D$21:$D$25</definedName>
    <definedName name="OSRRefD22_0x_0" localSheetId="68">'325'!$D$24:$D$31</definedName>
    <definedName name="OSRRefD22_0x_0" localSheetId="58">'326'!$D$49:$D$56</definedName>
    <definedName name="OSRRefD22_0x_0" localSheetId="69">'327'!$D$24</definedName>
    <definedName name="OSRRefD22_0x_0" localSheetId="51">'330'!$D$46:$D$49</definedName>
    <definedName name="OSRRefD22_0x_0" localSheetId="56">'331'!$D$86:$D$93</definedName>
    <definedName name="OSRRefD22_0x_0" localSheetId="59">'332'!$D$34:$D$41</definedName>
    <definedName name="OSRRefD22_0x_0" localSheetId="73">'405'!$D$24:$D$31</definedName>
    <definedName name="OSRRefD22_0x_0" localSheetId="74">'406'!$D$20</definedName>
    <definedName name="OSRRefD22_0x_0" localSheetId="75">'411'!$D$20:$D$27</definedName>
    <definedName name="OSRRefD22_0x_0" localSheetId="76">'412'!$D$20</definedName>
    <definedName name="OSRRefD22_0x_0" localSheetId="77">'413'!$D$20:$D$24</definedName>
    <definedName name="OSRRefD22_0x_0" localSheetId="78">'414'!$D$21</definedName>
    <definedName name="OSRRefD22_0x_0" localSheetId="79">'415'!$D$24:$D$31</definedName>
    <definedName name="OSRRefD22_0x_0" localSheetId="80">'418'!$D$21:$D$28</definedName>
    <definedName name="OSRRefD22_0x_0" localSheetId="81">'420'!$D$21</definedName>
    <definedName name="OSRRefD22_0x_0" localSheetId="82">'423'!$D$20:$D$21</definedName>
    <definedName name="OSRRefD22_0x_0" localSheetId="83">'424'!$D$20</definedName>
    <definedName name="OSRRefD22_0x_0" localSheetId="84">'425'!$D$22:$D$26</definedName>
    <definedName name="OSRRefD22_0x_0" localSheetId="87">'430'!$D$20:$D$27</definedName>
    <definedName name="OSRRefD22_0x_0" localSheetId="88">'433'!$D$25:$D$33</definedName>
    <definedName name="OSRRefD22_0x_0" localSheetId="89">'435'!$D$20</definedName>
    <definedName name="OSRRefD22_0x_0" localSheetId="90">'444'!$D$25:$D$33</definedName>
    <definedName name="OSRRefD22_0x_0" localSheetId="91">'450'!$D$25:$D$33</definedName>
    <definedName name="OSRRefD22_0x_0" localSheetId="72">'491'!$D$27:$D$34</definedName>
    <definedName name="OSRRefD22_0x_0" localSheetId="86">'492'!$D$25:$D$33</definedName>
    <definedName name="OSRRefD22_0x_0" localSheetId="93">'501'!$D$21:$D$29</definedName>
    <definedName name="OSRRefD22_0x_0" localSheetId="39">'Div 2'!$D$20:$D$29</definedName>
    <definedName name="OSRRefD22_0x_0" localSheetId="47">'Div 3'!$D$129:$D$138</definedName>
    <definedName name="OSRRefD22_0x_0" localSheetId="70">'Div 4'!$D$28:$D$36</definedName>
    <definedName name="OSRRefD22_0x_0" localSheetId="92">'Div 5'!$D$21:$D$29</definedName>
    <definedName name="OSRRefD22_0x_0" localSheetId="61">'Div 6'!$D$53:$D$61</definedName>
    <definedName name="OSRRefD22_0x_0" localSheetId="2">Summary!$D$155:$D$164</definedName>
    <definedName name="OSRRefD22_10x_0" localSheetId="41">'201'!$D$52</definedName>
    <definedName name="OSRRefD22_10x_0" localSheetId="42">'202'!$D$53</definedName>
    <definedName name="OSRRefD22_10x_0" localSheetId="43">'203'!$D$54:$D$57</definedName>
    <definedName name="OSRRefD22_10x_0" localSheetId="48">'300'!$D$161:$D$162</definedName>
    <definedName name="OSRRefD22_10x_0" localSheetId="49">'300 &amp; 317'!$D$183:$D$184</definedName>
    <definedName name="OSRRefD22_10x_0" localSheetId="50">'301'!$D$58</definedName>
    <definedName name="OSRRefD22_10x_0" localSheetId="52">'307'!$D$70:$D$73</definedName>
    <definedName name="OSRRefD22_10x_0" localSheetId="53">'308'!$D$97</definedName>
    <definedName name="OSRRefD22_10x_0" localSheetId="63">'310'!$D$62:$D$63</definedName>
    <definedName name="OSRRefD22_10x_0" localSheetId="71">'310 &amp; 491'!$D$68</definedName>
    <definedName name="OSRRefD22_10x_0" localSheetId="54">'311'!$D$97</definedName>
    <definedName name="OSRRefD22_10x_0" localSheetId="57">'315'!$D$122:$D$123</definedName>
    <definedName name="OSRRefD22_10x_0" localSheetId="60">'316'!$D$64:$D$68</definedName>
    <definedName name="OSRRefD22_10x_0" localSheetId="62">'317'!$D$88</definedName>
    <definedName name="OSRRefD22_10x_0" localSheetId="66">'321'!$D$60</definedName>
    <definedName name="OSRRefD22_10x_0" localSheetId="68">'325'!$D$55:$D$58</definedName>
    <definedName name="OSRRefD22_10x_0" localSheetId="58">'326'!$D$80</definedName>
    <definedName name="OSRRefD22_10x_0" localSheetId="51">'330'!$D$75:$D$78</definedName>
    <definedName name="OSRRefD22_10x_0" localSheetId="56">'331'!$D$119:$D$120</definedName>
    <definedName name="OSRRefD22_10x_0" localSheetId="59">'332'!$D$66:$D$70</definedName>
    <definedName name="OSRRefD22_10x_0" localSheetId="73">'405'!$D$55:$D$56</definedName>
    <definedName name="OSRRefD22_10x_0" localSheetId="75">'411'!$D$54:$D$56</definedName>
    <definedName name="OSRRefD22_10x_0" localSheetId="79">'415'!$D$55:$D$56</definedName>
    <definedName name="OSRRefD22_10x_0" localSheetId="80">'418'!$D$53</definedName>
    <definedName name="OSRRefD22_10x_0" localSheetId="88">'433'!$D$57</definedName>
    <definedName name="OSRRefD22_10x_0" localSheetId="90">'444'!$D$57:$D$58</definedName>
    <definedName name="OSRRefD22_10x_0" localSheetId="91">'450'!$D$57</definedName>
    <definedName name="OSRRefD22_10x_0" localSheetId="72">'491'!$D$59</definedName>
    <definedName name="OSRRefD22_10x_0" localSheetId="86">'492'!$D$58</definedName>
    <definedName name="OSRRefD22_10x_0" localSheetId="93">'501'!$D$57</definedName>
    <definedName name="OSRRefD22_10x_0" localSheetId="39">'Div 2'!$D$55</definedName>
    <definedName name="OSRRefD22_10x_0" localSheetId="47">'Div 3'!$D$166:$D$167</definedName>
    <definedName name="OSRRefD22_10x_0" localSheetId="70">'Div 4'!$D$62</definedName>
    <definedName name="OSRRefD22_10x_0" localSheetId="92">'Div 5'!$D$57</definedName>
    <definedName name="OSRRefD22_10x_0" localSheetId="61">'Div 6'!$D$88</definedName>
    <definedName name="OSRRefD22_10x_0" localSheetId="2">Summary!$D$192:$D$193</definedName>
    <definedName name="OSRRefD22_11x_0" localSheetId="41">'201'!$D$54:$D$55</definedName>
    <definedName name="OSRRefD22_11x_0" localSheetId="42">'202'!$D$55</definedName>
    <definedName name="OSRRefD22_11x_0" localSheetId="43">'203'!$D$59</definedName>
    <definedName name="OSRRefD22_11x_0" localSheetId="48">'300'!$D$164</definedName>
    <definedName name="OSRRefD22_11x_0" localSheetId="49">'300 &amp; 317'!$D$186</definedName>
    <definedName name="OSRRefD22_11x_0" localSheetId="50">'301'!$D$60</definedName>
    <definedName name="OSRRefD22_11x_0" localSheetId="52">'307'!$D$75</definedName>
    <definedName name="OSRRefD22_11x_0" localSheetId="53">'308'!$D$99:$D$100</definedName>
    <definedName name="OSRRefD22_11x_0" localSheetId="63">'310'!$D$65</definedName>
    <definedName name="OSRRefD22_11x_0" localSheetId="71">'310 &amp; 491'!$D$70</definedName>
    <definedName name="OSRRefD22_11x_0" localSheetId="54">'311'!$D$99:$D$100</definedName>
    <definedName name="OSRRefD22_11x_0" localSheetId="57">'315'!$D$125:$D$127</definedName>
    <definedName name="OSRRefD22_11x_0" localSheetId="60">'316'!$D$70</definedName>
    <definedName name="OSRRefD22_11x_0" localSheetId="66">'321'!$D$62</definedName>
    <definedName name="OSRRefD22_11x_0" localSheetId="68">'325'!$D$60:$D$63</definedName>
    <definedName name="OSRRefD22_11x_0" localSheetId="58">'326'!$D$82:$D$84</definedName>
    <definedName name="OSRRefD22_11x_0" localSheetId="51">'330'!$D$80</definedName>
    <definedName name="OSRRefD22_11x_0" localSheetId="56">'331'!$D$122</definedName>
    <definedName name="OSRRefD22_11x_0" localSheetId="59">'332'!$D$72</definedName>
    <definedName name="OSRRefD22_11x_0" localSheetId="73">'405'!$D$58:$D$61</definedName>
    <definedName name="OSRRefD22_11x_0" localSheetId="75">'411'!$D$58:$D$59</definedName>
    <definedName name="OSRRefD22_11x_0" localSheetId="79">'415'!$D$58:$D$61</definedName>
    <definedName name="OSRRefD22_11x_0" localSheetId="80">'418'!$D$55:$D$59</definedName>
    <definedName name="OSRRefD22_11x_0" localSheetId="88">'433'!$D$59:$D$60</definedName>
    <definedName name="OSRRefD22_11x_0" localSheetId="90">'444'!$D$60:$D$62</definedName>
    <definedName name="OSRRefD22_11x_0" localSheetId="91">'450'!$D$59</definedName>
    <definedName name="OSRRefD22_11x_0" localSheetId="72">'491'!$D$61</definedName>
    <definedName name="OSRRefD22_11x_0" localSheetId="86">'492'!$D$60</definedName>
    <definedName name="OSRRefD22_11x_0" localSheetId="39">'Div 2'!$D$57</definedName>
    <definedName name="OSRRefD22_11x_0" localSheetId="47">'Div 3'!$D$169</definedName>
    <definedName name="OSRRefD22_11x_0" localSheetId="70">'Div 4'!$D$64</definedName>
    <definedName name="OSRRefD22_11x_0" localSheetId="2">Summary!$D$195</definedName>
    <definedName name="OSRRefD22_12x_0" localSheetId="41">'201'!$D$57</definedName>
    <definedName name="OSRRefD22_12x_0" localSheetId="43">'203'!$D$61</definedName>
    <definedName name="OSRRefD22_12x_0" localSheetId="48">'300'!$D$166</definedName>
    <definedName name="OSRRefD22_12x_0" localSheetId="49">'300 &amp; 317'!$D$188</definedName>
    <definedName name="OSRRefD22_12x_0" localSheetId="50">'301'!$D$62</definedName>
    <definedName name="OSRRefD22_12x_0" localSheetId="52">'307'!$D$77</definedName>
    <definedName name="OSRRefD22_12x_0" localSheetId="53">'308'!$D$102:$D$103</definedName>
    <definedName name="OSRRefD22_12x_0" localSheetId="63">'310'!$D$67:$D$70</definedName>
    <definedName name="OSRRefD22_12x_0" localSheetId="71">'310 &amp; 491'!$D$72</definedName>
    <definedName name="OSRRefD22_12x_0" localSheetId="54">'311'!$D$102:$D$103</definedName>
    <definedName name="OSRRefD22_12x_0" localSheetId="57">'315'!$D$129</definedName>
    <definedName name="OSRRefD22_12x_0" localSheetId="60">'316'!$D$72</definedName>
    <definedName name="OSRRefD22_12x_0" localSheetId="68">'325'!$D$65</definedName>
    <definedName name="OSRRefD22_12x_0" localSheetId="58">'326'!$D$86:$D$88</definedName>
    <definedName name="OSRRefD22_12x_0" localSheetId="51">'330'!$D$82</definedName>
    <definedName name="OSRRefD22_12x_0" localSheetId="56">'331'!$D$124</definedName>
    <definedName name="OSRRefD22_12x_0" localSheetId="59">'332'!$D$74</definedName>
    <definedName name="OSRRefD22_12x_0" localSheetId="73">'405'!$D$63</definedName>
    <definedName name="OSRRefD22_12x_0" localSheetId="75">'411'!$D$61</definedName>
    <definedName name="OSRRefD22_12x_0" localSheetId="79">'415'!$D$63</definedName>
    <definedName name="OSRRefD22_12x_0" localSheetId="80">'418'!$D$61</definedName>
    <definedName name="OSRRefD22_12x_0" localSheetId="88">'433'!$D$62:$D$64</definedName>
    <definedName name="OSRRefD22_12x_0" localSheetId="90">'444'!$D$64</definedName>
    <definedName name="OSRRefD22_12x_0" localSheetId="91">'450'!$D$61:$D$62</definedName>
    <definedName name="OSRRefD22_12x_0" localSheetId="72">'491'!$D$63</definedName>
    <definedName name="OSRRefD22_12x_0" localSheetId="86">'492'!$D$62:$D$64</definedName>
    <definedName name="OSRRefD22_12x_0" localSheetId="39">'Div 2'!$D$59:$D$61</definedName>
    <definedName name="OSRRefD22_12x_0" localSheetId="47">'Div 3'!$D$171</definedName>
    <definedName name="OSRRefD22_12x_0" localSheetId="70">'Div 4'!$D$66</definedName>
    <definedName name="OSRRefD22_12x_0" localSheetId="2">Summary!$D$197</definedName>
    <definedName name="OSRRefD22_13x_0" localSheetId="41">'201'!$D$59</definedName>
    <definedName name="OSRRefD22_13x_0" localSheetId="43">'203'!$D$63</definedName>
    <definedName name="OSRRefD22_13x_0" localSheetId="48">'300'!$D$168:$D$169</definedName>
    <definedName name="OSRRefD22_13x_0" localSheetId="49">'300 &amp; 317'!$D$190:$D$191</definedName>
    <definedName name="OSRRefD22_13x_0" localSheetId="50">'301'!$D$64</definedName>
    <definedName name="OSRRefD22_13x_0" localSheetId="53">'308'!$D$105</definedName>
    <definedName name="OSRRefD22_13x_0" localSheetId="63">'310'!$D$72:$D$76</definedName>
    <definedName name="OSRRefD22_13x_0" localSheetId="71">'310 &amp; 491'!$D$74:$D$76</definedName>
    <definedName name="OSRRefD22_13x_0" localSheetId="54">'311'!$D$105</definedName>
    <definedName name="OSRRefD22_13x_0" localSheetId="57">'315'!$D$131</definedName>
    <definedName name="OSRRefD22_13x_0" localSheetId="68">'325'!$D$67</definedName>
    <definedName name="OSRRefD22_13x_0" localSheetId="58">'326'!$D$90</definedName>
    <definedName name="OSRRefD22_13x_0" localSheetId="56">'331'!$D$126:$D$128</definedName>
    <definedName name="OSRRefD22_13x_0" localSheetId="73">'405'!$D$65:$D$72</definedName>
    <definedName name="OSRRefD22_13x_0" localSheetId="75">'411'!$D$63:$D$64</definedName>
    <definedName name="OSRRefD22_13x_0" localSheetId="79">'415'!$D$65:$D$70</definedName>
    <definedName name="OSRRefD22_13x_0" localSheetId="88">'433'!$D$66:$D$73</definedName>
    <definedName name="OSRRefD22_13x_0" localSheetId="90">'444'!$D$66:$D$72</definedName>
    <definedName name="OSRRefD22_13x_0" localSheetId="91">'450'!$D$64:$D$66</definedName>
    <definedName name="OSRRefD22_13x_0" localSheetId="72">'491'!$D$65:$D$67</definedName>
    <definedName name="OSRRefD22_13x_0" localSheetId="86">'492'!$D$66:$D$68</definedName>
    <definedName name="OSRRefD22_13x_0" localSheetId="39">'Div 2'!$D$63:$D$66</definedName>
    <definedName name="OSRRefD22_13x_0" localSheetId="47">'Div 3'!$D$173</definedName>
    <definedName name="OSRRefD22_13x_0" localSheetId="70">'Div 4'!$D$68</definedName>
    <definedName name="OSRRefD22_13x_0" localSheetId="2">Summary!$D$199</definedName>
    <definedName name="OSRRefD22_14x_0" localSheetId="48">'300'!$D$171</definedName>
    <definedName name="OSRRefD22_14x_0" localSheetId="49">'300 &amp; 317'!$D$193</definedName>
    <definedName name="OSRRefD22_14x_0" localSheetId="50">'301'!$D$66</definedName>
    <definedName name="OSRRefD22_14x_0" localSheetId="63">'310'!$D$78</definedName>
    <definedName name="OSRRefD22_14x_0" localSheetId="71">'310 &amp; 491'!$D$78</definedName>
    <definedName name="OSRRefD22_14x_0" localSheetId="58">'326'!$D$92:$D$95</definedName>
    <definedName name="OSRRefD22_14x_0" localSheetId="56">'331'!$D$130:$D$131</definedName>
    <definedName name="OSRRefD22_14x_0" localSheetId="73">'405'!$D$74</definedName>
    <definedName name="OSRRefD22_14x_0" localSheetId="75">'411'!$D$66</definedName>
    <definedName name="OSRRefD22_14x_0" localSheetId="79">'415'!$D$72</definedName>
    <definedName name="OSRRefD22_14x_0" localSheetId="88">'433'!$D$75</definedName>
    <definedName name="OSRRefD22_14x_0" localSheetId="90">'444'!$D$74</definedName>
    <definedName name="OSRRefD22_14x_0" localSheetId="91">'450'!$D$68:$D$73</definedName>
    <definedName name="OSRRefD22_14x_0" localSheetId="72">'491'!$D$69</definedName>
    <definedName name="OSRRefD22_14x_0" localSheetId="86">'492'!$D$70</definedName>
    <definedName name="OSRRefD22_14x_0" localSheetId="39">'Div 2'!$D$68</definedName>
    <definedName name="OSRRefD22_14x_0" localSheetId="47">'Div 3'!$D$175:$D$176</definedName>
    <definedName name="OSRRefD22_14x_0" localSheetId="70">'Div 4'!$D$70</definedName>
    <definedName name="OSRRefD22_14x_0" localSheetId="2">Summary!$D$201:$D$202</definedName>
    <definedName name="OSRRefD22_15x_0" localSheetId="48">'300'!$D$173</definedName>
    <definedName name="OSRRefD22_15x_0" localSheetId="49">'300 &amp; 317'!$D$195</definedName>
    <definedName name="OSRRefD22_15x_0" localSheetId="50">'301'!$D$68:$D$71</definedName>
    <definedName name="OSRRefD22_15x_0" localSheetId="63">'310'!$D$80</definedName>
    <definedName name="OSRRefD22_15x_0" localSheetId="71">'310 &amp; 491'!$D$80:$D$83</definedName>
    <definedName name="OSRRefD22_15x_0" localSheetId="58">'326'!$D$97</definedName>
    <definedName name="OSRRefD22_15x_0" localSheetId="56">'331'!$D$133:$D$135</definedName>
    <definedName name="OSRRefD22_15x_0" localSheetId="73">'405'!$D$76</definedName>
    <definedName name="OSRRefD22_15x_0" localSheetId="79">'415'!$D$74</definedName>
    <definedName name="OSRRefD22_15x_0" localSheetId="90">'444'!$D$76</definedName>
    <definedName name="OSRRefD22_15x_0" localSheetId="91">'450'!$D$75</definedName>
    <definedName name="OSRRefD22_15x_0" localSheetId="72">'491'!$D$71:$D$74</definedName>
    <definedName name="OSRRefD22_15x_0" localSheetId="86">'492'!$D$72:$D$79</definedName>
    <definedName name="OSRRefD22_15x_0" localSheetId="39">'Div 2'!$D$70</definedName>
    <definedName name="OSRRefD22_15x_0" localSheetId="47">'Div 3'!$D$178</definedName>
    <definedName name="OSRRefD22_15x_0" localSheetId="70">'Div 4'!$D$72:$D$74</definedName>
    <definedName name="OSRRefD22_15x_0" localSheetId="2">Summary!$D$204</definedName>
    <definedName name="OSRRefD22_16x_0" localSheetId="48">'300'!$D$175:$D$178</definedName>
    <definedName name="OSRRefD22_16x_0" localSheetId="49">'300 &amp; 317'!$D$197:$D$200</definedName>
    <definedName name="OSRRefD22_16x_0" localSheetId="50">'301'!$D$73:$D$75</definedName>
    <definedName name="OSRRefD22_16x_0" localSheetId="71">'310 &amp; 491'!$D$85</definedName>
    <definedName name="OSRRefD22_16x_0" localSheetId="58">'326'!$D$99</definedName>
    <definedName name="OSRRefD22_16x_0" localSheetId="56">'331'!$D$137:$D$138</definedName>
    <definedName name="OSRRefD22_16x_0" localSheetId="79">'415'!$D$76</definedName>
    <definedName name="OSRRefD22_16x_0" localSheetId="91">'450'!$D$77</definedName>
    <definedName name="OSRRefD22_16x_0" localSheetId="72">'491'!$D$76</definedName>
    <definedName name="OSRRefD22_16x_0" localSheetId="86">'492'!$D$81</definedName>
    <definedName name="OSRRefD22_16x_0" localSheetId="39">'Div 2'!$D$72:$D$76</definedName>
    <definedName name="OSRRefD22_16x_0" localSheetId="47">'Div 3'!$D$180</definedName>
    <definedName name="OSRRefD22_16x_0" localSheetId="70">'Div 4'!$D$76</definedName>
    <definedName name="OSRRefD22_16x_0" localSheetId="2">Summary!$D$206</definedName>
    <definedName name="OSRRefD22_17x_0" localSheetId="48">'300'!$D$180:$D$182</definedName>
    <definedName name="OSRRefD22_17x_0" localSheetId="49">'300 &amp; 317'!$D$202:$D$204</definedName>
    <definedName name="OSRRefD22_17x_0" localSheetId="50">'301'!$D$77</definedName>
    <definedName name="OSRRefD22_17x_0" localSheetId="71">'310 &amp; 491'!$D$87:$D$95</definedName>
    <definedName name="OSRRefD22_17x_0" localSheetId="58">'326'!$D$101</definedName>
    <definedName name="OSRRefD22_17x_0" localSheetId="56">'331'!$D$140:$D$143</definedName>
    <definedName name="OSRRefD22_17x_0" localSheetId="72">'491'!$D$78:$D$86</definedName>
    <definedName name="OSRRefD22_17x_0" localSheetId="86">'492'!$D$83</definedName>
    <definedName name="OSRRefD22_17x_0" localSheetId="39">'Div 2'!$D$78:$D$79</definedName>
    <definedName name="OSRRefD22_17x_0" localSheetId="47">'Div 3'!$D$182:$D$185</definedName>
    <definedName name="OSRRefD22_17x_0" localSheetId="70">'Div 4'!$D$78:$D$81</definedName>
    <definedName name="OSRRefD22_17x_0" localSheetId="2">Summary!$D$208</definedName>
    <definedName name="OSRRefD22_18x_0" localSheetId="48">'300'!$D$184:$D$187</definedName>
    <definedName name="OSRRefD22_18x_0" localSheetId="49">'300 &amp; 317'!$D$206:$D$209</definedName>
    <definedName name="OSRRefD22_18x_0" localSheetId="50">'301'!$D$79:$D$84</definedName>
    <definedName name="OSRRefD22_18x_0" localSheetId="71">'310 &amp; 491'!$D$97</definedName>
    <definedName name="OSRRefD22_18x_0" localSheetId="56">'331'!$D$145</definedName>
    <definedName name="OSRRefD22_18x_0" localSheetId="72">'491'!$D$88</definedName>
    <definedName name="OSRRefD22_18x_0" localSheetId="86">'492'!$D$85:$D$86</definedName>
    <definedName name="OSRRefD22_18x_0" localSheetId="39">'Div 2'!$D$81</definedName>
    <definedName name="OSRRefD22_18x_0" localSheetId="47">'Div 3'!$D$187:$D$189</definedName>
    <definedName name="OSRRefD22_18x_0" localSheetId="70">'Div 4'!$D$83:$D$84</definedName>
    <definedName name="OSRRefD22_18x_0" localSheetId="2">Summary!$D$210:$D$213</definedName>
    <definedName name="OSRRefD22_19x_0" localSheetId="48">'300'!$D$189:$D$190</definedName>
    <definedName name="OSRRefD22_19x_0" localSheetId="49">'300 &amp; 317'!$D$211:$D$212</definedName>
    <definedName name="OSRRefD22_19x_0" localSheetId="50">'301'!$D$86</definedName>
    <definedName name="OSRRefD22_19x_0" localSheetId="71">'310 &amp; 491'!$D$99</definedName>
    <definedName name="OSRRefD22_19x_0" localSheetId="56">'331'!$D$147</definedName>
    <definedName name="OSRRefD22_19x_0" localSheetId="72">'491'!$D$90</definedName>
    <definedName name="OSRRefD22_19x_0" localSheetId="39">'Div 2'!$D$83:$D$84</definedName>
    <definedName name="OSRRefD22_19x_0" localSheetId="47">'Div 3'!$D$191:$D$195</definedName>
    <definedName name="OSRRefD22_19x_0" localSheetId="70">'Div 4'!$D$86:$D$94</definedName>
    <definedName name="OSRRefD22_19x_0" localSheetId="2">Summary!$D$215:$D$217</definedName>
    <definedName name="OSRRefD22_1x_0" localSheetId="40">'200'!$D$22</definedName>
    <definedName name="OSRRefD22_1x_0" localSheetId="41">'201'!$D$29:$D$31</definedName>
    <definedName name="OSRRefD22_1x_0" localSheetId="42">'202'!$D$29:$D$31</definedName>
    <definedName name="OSRRefD22_1x_0" localSheetId="43">'203'!$D$30:$D$34</definedName>
    <definedName name="OSRRefD22_1x_0" localSheetId="44">'204'!$D$30:$D$32</definedName>
    <definedName name="OSRRefD22_1x_0" localSheetId="45">'205'!$D$29</definedName>
    <definedName name="OSRRefD22_1x_0" localSheetId="46">'206'!$D$28:$D$30</definedName>
    <definedName name="OSRRefD22_1x_0" localSheetId="48">'300'!$D$135:$D$141</definedName>
    <definedName name="OSRRefD22_1x_0" localSheetId="49">'300 &amp; 317'!$D$157:$D$163</definedName>
    <definedName name="OSRRefD22_1x_0" localSheetId="50">'301'!$D$32:$D$38</definedName>
    <definedName name="OSRRefD22_1x_0" localSheetId="52">'307'!$D$47:$D$49</definedName>
    <definedName name="OSRRefD22_1x_0" localSheetId="53">'308'!$D$71:$D$77</definedName>
    <definedName name="OSRRefD22_1x_0" localSheetId="64">'309'!$D$22</definedName>
    <definedName name="OSRRefD22_1x_0" localSheetId="63">'310'!$D$40:$D$43</definedName>
    <definedName name="OSRRefD22_1x_0" localSheetId="71">'310 &amp; 491'!$D$44:$D$48</definedName>
    <definedName name="OSRRefD22_1x_0" localSheetId="54">'311'!$D$71:$D$77</definedName>
    <definedName name="OSRRefD22_1x_0" localSheetId="65">'313'!$D$34</definedName>
    <definedName name="OSRRefD22_1x_0" localSheetId="57">'315'!$D$95:$D$99</definedName>
    <definedName name="OSRRefD22_1x_0" localSheetId="60">'316'!$D$41:$D$43</definedName>
    <definedName name="OSRRefD22_1x_0" localSheetId="62">'317'!$D$63:$D$67</definedName>
    <definedName name="OSRRefD22_1x_0" localSheetId="66">'321'!$D$33:$D$36</definedName>
    <definedName name="OSRRefD22_1x_0" localSheetId="67">'322'!$D$27</definedName>
    <definedName name="OSRRefD22_1x_0" localSheetId="68">'325'!$D$33:$D$35</definedName>
    <definedName name="OSRRefD22_1x_0" localSheetId="58">'326'!$D$58:$D$62</definedName>
    <definedName name="OSRRefD22_1x_0" localSheetId="51">'330'!$D$51:$D$53</definedName>
    <definedName name="OSRRefD22_1x_0" localSheetId="56">'331'!$D$95:$D$99</definedName>
    <definedName name="OSRRefD22_1x_0" localSheetId="59">'332'!$D$43:$D$45</definedName>
    <definedName name="OSRRefD22_1x_0" localSheetId="73">'405'!$D$33:$D$36</definedName>
    <definedName name="OSRRefD22_1x_0" localSheetId="74">'406'!$D$22</definedName>
    <definedName name="OSRRefD22_1x_0" localSheetId="75">'411'!$D$29:$D$33</definedName>
    <definedName name="OSRRefD22_1x_0" localSheetId="76">'412'!$D$22</definedName>
    <definedName name="OSRRefD22_1x_0" localSheetId="77">'413'!$D$26</definedName>
    <definedName name="OSRRefD22_1x_0" localSheetId="78">'414'!$D$23</definedName>
    <definedName name="OSRRefD22_1x_0" localSheetId="79">'415'!$D$33:$D$36</definedName>
    <definedName name="OSRRefD22_1x_0" localSheetId="80">'418'!$D$30:$D$33</definedName>
    <definedName name="OSRRefD22_1x_0" localSheetId="82">'423'!$D$23</definedName>
    <definedName name="OSRRefD22_1x_0" localSheetId="83">'424'!$D$22</definedName>
    <definedName name="OSRRefD22_1x_0" localSheetId="84">'425'!$D$28</definedName>
    <definedName name="OSRRefD22_1x_0" localSheetId="87">'430'!$D$29</definedName>
    <definedName name="OSRRefD22_1x_0" localSheetId="88">'433'!$D$35:$D$39</definedName>
    <definedName name="OSRRefD22_1x_0" localSheetId="90">'444'!$D$35:$D$39</definedName>
    <definedName name="OSRRefD22_1x_0" localSheetId="91">'450'!$D$35:$D$39</definedName>
    <definedName name="OSRRefD22_1x_0" localSheetId="72">'491'!$D$36:$D$40</definedName>
    <definedName name="OSRRefD22_1x_0" localSheetId="86">'492'!$D$35:$D$40</definedName>
    <definedName name="OSRRefD22_1x_0" localSheetId="93">'501'!$D$31:$D$36</definedName>
    <definedName name="OSRRefD22_1x_0" localSheetId="39">'Div 2'!$D$31:$D$36</definedName>
    <definedName name="OSRRefD22_1x_0" localSheetId="47">'Div 3'!$D$140:$D$146</definedName>
    <definedName name="OSRRefD22_1x_0" localSheetId="70">'Div 4'!$D$38:$D$43</definedName>
    <definedName name="OSRRefD22_1x_0" localSheetId="92">'Div 5'!$D$31:$D$36</definedName>
    <definedName name="OSRRefD22_1x_0" localSheetId="61">'Div 6'!$D$63:$D$67</definedName>
    <definedName name="OSRRefD22_1x_0" localSheetId="2">Summary!$D$166:$D$172</definedName>
    <definedName name="OSRRefD22_20x_0" localSheetId="48">'300'!$D$192:$D$198</definedName>
    <definedName name="OSRRefD22_20x_0" localSheetId="49">'300 &amp; 317'!$D$214:$D$220</definedName>
    <definedName name="OSRRefD22_20x_0" localSheetId="50">'301'!$D$88</definedName>
    <definedName name="OSRRefD22_20x_0" localSheetId="71">'310 &amp; 491'!$D$101:$D$102</definedName>
    <definedName name="OSRRefD22_20x_0" localSheetId="56">'331'!$D$149</definedName>
    <definedName name="OSRRefD22_20x_0" localSheetId="72">'491'!$D$92:$D$93</definedName>
    <definedName name="OSRRefD22_20x_0" localSheetId="47">'Div 3'!$D$197:$D$198</definedName>
    <definedName name="OSRRefD22_20x_0" localSheetId="70">'Div 4'!$D$96</definedName>
    <definedName name="OSRRefD22_20x_0" localSheetId="2">Summary!$D$219:$D$223</definedName>
    <definedName name="OSRRefD22_21x_0" localSheetId="48">'300'!$D$200:$D$201</definedName>
    <definedName name="OSRRefD22_21x_0" localSheetId="49">'300 &amp; 317'!$D$222:$D$223</definedName>
    <definedName name="OSRRefD22_21x_0" localSheetId="50">'301'!$D$90:$D$91</definedName>
    <definedName name="OSRRefD22_21x_0" localSheetId="71">'310 &amp; 491'!$D$104</definedName>
    <definedName name="OSRRefD22_21x_0" localSheetId="72">'491'!$D$95</definedName>
    <definedName name="OSRRefD22_21x_0" localSheetId="47">'Div 3'!$D$200:$D$206</definedName>
    <definedName name="OSRRefD22_21x_0" localSheetId="70">'Div 4'!$D$98</definedName>
    <definedName name="OSRRefD22_21x_0" localSheetId="2">Summary!$D$225:$D$226</definedName>
    <definedName name="OSRRefD22_22x_0" localSheetId="48">'300'!$D$203</definedName>
    <definedName name="OSRRefD22_22x_0" localSheetId="49">'300 &amp; 317'!$D$225</definedName>
    <definedName name="OSRRefD22_22x_0" localSheetId="50">'301'!$D$93</definedName>
    <definedName name="OSRRefD22_22x_0" localSheetId="47">'Div 3'!$D$208:$D$209</definedName>
    <definedName name="OSRRefD22_22x_0" localSheetId="70">'Div 4'!$D$100:$D$101</definedName>
    <definedName name="OSRRefD22_22x_0" localSheetId="2">Summary!$D$228:$D$236</definedName>
    <definedName name="OSRRefD22_23x_0" localSheetId="48">'300'!$D$205:$D$207</definedName>
    <definedName name="OSRRefD22_23x_0" localSheetId="49">'300 &amp; 317'!$D$227:$D$229</definedName>
    <definedName name="OSRRefD22_23x_0" localSheetId="47">'Div 3'!$D$211</definedName>
    <definedName name="OSRRefD22_23x_0" localSheetId="70">'Div 4'!$D$103</definedName>
    <definedName name="OSRRefD22_23x_0" localSheetId="2">Summary!$D$238:$D$239</definedName>
    <definedName name="OSRRefD22_24x_0" localSheetId="48">'300'!$D$209</definedName>
    <definedName name="OSRRefD22_24x_0" localSheetId="49">'300 &amp; 317'!$D$231</definedName>
    <definedName name="OSRRefD22_24x_0" localSheetId="47">'Div 3'!$D$213:$D$215</definedName>
    <definedName name="OSRRefD22_24x_0" localSheetId="2">Summary!$D$241</definedName>
    <definedName name="OSRRefD22_25x_0" localSheetId="47">'Div 3'!$D$217</definedName>
    <definedName name="OSRRefD22_25x_0" localSheetId="2">Summary!$D$243:$D$245</definedName>
    <definedName name="OSRRefD22_26x_0" localSheetId="2">Summary!$D$247</definedName>
    <definedName name="OSRRefD22_2x_0" localSheetId="40">'200'!$D$24</definedName>
    <definedName name="OSRRefD22_2x_0" localSheetId="41">'201'!$D$33</definedName>
    <definedName name="OSRRefD22_2x_0" localSheetId="42">'202'!$D$33</definedName>
    <definedName name="OSRRefD22_2x_0" localSheetId="43">'203'!$D$36</definedName>
    <definedName name="OSRRefD22_2x_0" localSheetId="44">'204'!$D$34</definedName>
    <definedName name="OSRRefD22_2x_0" localSheetId="45">'205'!$D$31</definedName>
    <definedName name="OSRRefD22_2x_0" localSheetId="46">'206'!$D$32</definedName>
    <definedName name="OSRRefD22_2x_0" localSheetId="48">'300'!$D$143</definedName>
    <definedName name="OSRRefD22_2x_0" localSheetId="49">'300 &amp; 317'!$D$165</definedName>
    <definedName name="OSRRefD22_2x_0" localSheetId="50">'301'!$D$40</definedName>
    <definedName name="OSRRefD22_2x_0" localSheetId="52">'307'!$D$51</definedName>
    <definedName name="OSRRefD22_2x_0" localSheetId="53">'308'!$D$79</definedName>
    <definedName name="OSRRefD22_2x_0" localSheetId="64">'309'!$D$24:$D$25</definedName>
    <definedName name="OSRRefD22_2x_0" localSheetId="63">'310'!$D$45</definedName>
    <definedName name="OSRRefD22_2x_0" localSheetId="71">'310 &amp; 491'!$D$50</definedName>
    <definedName name="OSRRefD22_2x_0" localSheetId="54">'311'!$D$79</definedName>
    <definedName name="OSRRefD22_2x_0" localSheetId="65">'313'!$D$36</definedName>
    <definedName name="OSRRefD22_2x_0" localSheetId="57">'315'!$D$101</definedName>
    <definedName name="OSRRefD22_2x_0" localSheetId="60">'316'!$D$45</definedName>
    <definedName name="OSRRefD22_2x_0" localSheetId="62">'317'!$D$69</definedName>
    <definedName name="OSRRefD22_2x_0" localSheetId="66">'321'!$D$38</definedName>
    <definedName name="OSRRefD22_2x_0" localSheetId="67">'322'!$D$29</definedName>
    <definedName name="OSRRefD22_2x_0" localSheetId="68">'325'!$D$37</definedName>
    <definedName name="OSRRefD22_2x_0" localSheetId="58">'326'!$D$64</definedName>
    <definedName name="OSRRefD22_2x_0" localSheetId="51">'330'!$D$55</definedName>
    <definedName name="OSRRefD22_2x_0" localSheetId="56">'331'!$D$101</definedName>
    <definedName name="OSRRefD22_2x_0" localSheetId="59">'332'!$D$47</definedName>
    <definedName name="OSRRefD22_2x_0" localSheetId="73">'405'!$D$38</definedName>
    <definedName name="OSRRefD22_2x_0" localSheetId="74">'406'!$D$24</definedName>
    <definedName name="OSRRefD22_2x_0" localSheetId="75">'411'!$D$35</definedName>
    <definedName name="OSRRefD22_2x_0" localSheetId="76">'412'!$D$24:$D$25</definedName>
    <definedName name="OSRRefD22_2x_0" localSheetId="77">'413'!$D$28</definedName>
    <definedName name="OSRRefD22_2x_0" localSheetId="78">'414'!$D$25</definedName>
    <definedName name="OSRRefD22_2x_0" localSheetId="79">'415'!$D$38</definedName>
    <definedName name="OSRRefD22_2x_0" localSheetId="80">'418'!$D$35</definedName>
    <definedName name="OSRRefD22_2x_0" localSheetId="82">'423'!$D$25</definedName>
    <definedName name="OSRRefD22_2x_0" localSheetId="83">'424'!$D$24</definedName>
    <definedName name="OSRRefD22_2x_0" localSheetId="84">'425'!$D$30</definedName>
    <definedName name="OSRRefD22_2x_0" localSheetId="87">'430'!$D$31</definedName>
    <definedName name="OSRRefD22_2x_0" localSheetId="88">'433'!$D$41</definedName>
    <definedName name="OSRRefD22_2x_0" localSheetId="90">'444'!$D$41</definedName>
    <definedName name="OSRRefD22_2x_0" localSheetId="91">'450'!$D$41</definedName>
    <definedName name="OSRRefD22_2x_0" localSheetId="72">'491'!$D$42</definedName>
    <definedName name="OSRRefD22_2x_0" localSheetId="86">'492'!$D$42</definedName>
    <definedName name="OSRRefD22_2x_0" localSheetId="93">'501'!$D$38</definedName>
    <definedName name="OSRRefD22_2x_0" localSheetId="39">'Div 2'!$D$38</definedName>
    <definedName name="OSRRefD22_2x_0" localSheetId="47">'Div 3'!$D$148</definedName>
    <definedName name="OSRRefD22_2x_0" localSheetId="70">'Div 4'!$D$45</definedName>
    <definedName name="OSRRefD22_2x_0" localSheetId="92">'Div 5'!$D$38</definedName>
    <definedName name="OSRRefD22_2x_0" localSheetId="61">'Div 6'!$D$69</definedName>
    <definedName name="OSRRefD22_2x_0" localSheetId="2">Summary!$D$174</definedName>
    <definedName name="OSRRefD22_3x_0" localSheetId="40">'200'!$D$26</definedName>
    <definedName name="OSRRefD22_3x_0" localSheetId="41">'201'!$D$35</definedName>
    <definedName name="OSRRefD22_3x_0" localSheetId="42">'202'!$D$35</definedName>
    <definedName name="OSRRefD22_3x_0" localSheetId="43">'203'!$D$38</definedName>
    <definedName name="OSRRefD22_3x_0" localSheetId="44">'204'!$D$36</definedName>
    <definedName name="OSRRefD22_3x_0" localSheetId="45">'205'!$D$33</definedName>
    <definedName name="OSRRefD22_3x_0" localSheetId="46">'206'!$D$34</definedName>
    <definedName name="OSRRefD22_3x_0" localSheetId="48">'300'!$D$145</definedName>
    <definedName name="OSRRefD22_3x_0" localSheetId="49">'300 &amp; 317'!$D$167</definedName>
    <definedName name="OSRRefD22_3x_0" localSheetId="50">'301'!$D$42</definedName>
    <definedName name="OSRRefD22_3x_0" localSheetId="52">'307'!$D$53</definedName>
    <definedName name="OSRRefD22_3x_0" localSheetId="53">'308'!$D$81</definedName>
    <definedName name="OSRRefD22_3x_0" localSheetId="64">'309'!$D$27:$D$28</definedName>
    <definedName name="OSRRefD22_3x_0" localSheetId="63">'310'!$D$47</definedName>
    <definedName name="OSRRefD22_3x_0" localSheetId="71">'310 &amp; 491'!$D$52</definedName>
    <definedName name="OSRRefD22_3x_0" localSheetId="54">'311'!$D$81</definedName>
    <definedName name="OSRRefD22_3x_0" localSheetId="65">'313'!$D$38</definedName>
    <definedName name="OSRRefD22_3x_0" localSheetId="57">'315'!$D$103:$D$104</definedName>
    <definedName name="OSRRefD22_3x_0" localSheetId="60">'316'!$D$47</definedName>
    <definedName name="OSRRefD22_3x_0" localSheetId="62">'317'!$D$71</definedName>
    <definedName name="OSRRefD22_3x_0" localSheetId="66">'321'!$D$40</definedName>
    <definedName name="OSRRefD22_3x_0" localSheetId="67">'322'!$D$31</definedName>
    <definedName name="OSRRefD22_3x_0" localSheetId="68">'325'!$D$39</definedName>
    <definedName name="OSRRefD22_3x_0" localSheetId="58">'326'!$D$66</definedName>
    <definedName name="OSRRefD22_3x_0" localSheetId="51">'330'!$D$57</definedName>
    <definedName name="OSRRefD22_3x_0" localSheetId="56">'331'!$D$103</definedName>
    <definedName name="OSRRefD22_3x_0" localSheetId="59">'332'!$D$49</definedName>
    <definedName name="OSRRefD22_3x_0" localSheetId="73">'405'!$D$40</definedName>
    <definedName name="OSRRefD22_3x_0" localSheetId="74">'406'!$D$26</definedName>
    <definedName name="OSRRefD22_3x_0" localSheetId="75">'411'!$D$37:$D$38</definedName>
    <definedName name="OSRRefD22_3x_0" localSheetId="76">'412'!$D$27</definedName>
    <definedName name="OSRRefD22_3x_0" localSheetId="77">'413'!$D$30</definedName>
    <definedName name="OSRRefD22_3x_0" localSheetId="78">'414'!$D$27</definedName>
    <definedName name="OSRRefD22_3x_0" localSheetId="79">'415'!$D$40</definedName>
    <definedName name="OSRRefD22_3x_0" localSheetId="80">'418'!$D$37</definedName>
    <definedName name="OSRRefD22_3x_0" localSheetId="82">'423'!$D$27</definedName>
    <definedName name="OSRRefD22_3x_0" localSheetId="83">'424'!$D$26</definedName>
    <definedName name="OSRRefD22_3x_0" localSheetId="84">'425'!$D$32</definedName>
    <definedName name="OSRRefD22_3x_0" localSheetId="87">'430'!$D$33</definedName>
    <definedName name="OSRRefD22_3x_0" localSheetId="88">'433'!$D$43</definedName>
    <definedName name="OSRRefD22_3x_0" localSheetId="90">'444'!$D$43</definedName>
    <definedName name="OSRRefD22_3x_0" localSheetId="91">'450'!$D$43</definedName>
    <definedName name="OSRRefD22_3x_0" localSheetId="72">'491'!$D$44</definedName>
    <definedName name="OSRRefD22_3x_0" localSheetId="86">'492'!$D$44</definedName>
    <definedName name="OSRRefD22_3x_0" localSheetId="93">'501'!$D$40</definedName>
    <definedName name="OSRRefD22_3x_0" localSheetId="39">'Div 2'!$D$40</definedName>
    <definedName name="OSRRefD22_3x_0" localSheetId="47">'Div 3'!$D$150</definedName>
    <definedName name="OSRRefD22_3x_0" localSheetId="70">'Div 4'!$D$47</definedName>
    <definedName name="OSRRefD22_3x_0" localSheetId="92">'Div 5'!$D$40</definedName>
    <definedName name="OSRRefD22_3x_0" localSheetId="61">'Div 6'!$D$71</definedName>
    <definedName name="OSRRefD22_3x_0" localSheetId="2">Summary!$D$176</definedName>
    <definedName name="OSRRefD22_4x_0" localSheetId="41">'201'!$D$37</definedName>
    <definedName name="OSRRefD22_4x_0" localSheetId="42">'202'!$D$37:$D$38</definedName>
    <definedName name="OSRRefD22_4x_0" localSheetId="43">'203'!$D$40</definedName>
    <definedName name="OSRRefD22_4x_0" localSheetId="44">'204'!$D$38</definedName>
    <definedName name="OSRRefD22_4x_0" localSheetId="45">'205'!$D$35:$D$36</definedName>
    <definedName name="OSRRefD22_4x_0" localSheetId="46">'206'!$D$36</definedName>
    <definedName name="OSRRefD22_4x_0" localSheetId="48">'300'!$D$147</definedName>
    <definedName name="OSRRefD22_4x_0" localSheetId="49">'300 &amp; 317'!$D$169</definedName>
    <definedName name="OSRRefD22_4x_0" localSheetId="50">'301'!$D$44</definedName>
    <definedName name="OSRRefD22_4x_0" localSheetId="52">'307'!$D$55:$D$56</definedName>
    <definedName name="OSRRefD22_4x_0" localSheetId="53">'308'!$D$83</definedName>
    <definedName name="OSRRefD22_4x_0" localSheetId="64">'309'!$D$30</definedName>
    <definedName name="OSRRefD22_4x_0" localSheetId="63">'310'!$D$49</definedName>
    <definedName name="OSRRefD22_4x_0" localSheetId="71">'310 &amp; 491'!$D$54</definedName>
    <definedName name="OSRRefD22_4x_0" localSheetId="54">'311'!$D$83</definedName>
    <definedName name="OSRRefD22_4x_0" localSheetId="65">'313'!$D$40</definedName>
    <definedName name="OSRRefD22_4x_0" localSheetId="57">'315'!$D$106</definedName>
    <definedName name="OSRRefD22_4x_0" localSheetId="60">'316'!$D$49</definedName>
    <definedName name="OSRRefD22_4x_0" localSheetId="62">'317'!$D$73</definedName>
    <definedName name="OSRRefD22_4x_0" localSheetId="66">'321'!$D$42</definedName>
    <definedName name="OSRRefD22_4x_0" localSheetId="67">'322'!$D$33:$D$34</definedName>
    <definedName name="OSRRefD22_4x_0" localSheetId="68">'325'!$D$41</definedName>
    <definedName name="OSRRefD22_4x_0" localSheetId="58">'326'!$D$68</definedName>
    <definedName name="OSRRefD22_4x_0" localSheetId="51">'330'!$D$59:$D$60</definedName>
    <definedName name="OSRRefD22_4x_0" localSheetId="56">'331'!$D$105</definedName>
    <definedName name="OSRRefD22_4x_0" localSheetId="59">'332'!$D$51</definedName>
    <definedName name="OSRRefD22_4x_0" localSheetId="73">'405'!$D$42</definedName>
    <definedName name="OSRRefD22_4x_0" localSheetId="74">'406'!$D$28</definedName>
    <definedName name="OSRRefD22_4x_0" localSheetId="75">'411'!$D$40</definedName>
    <definedName name="OSRRefD22_4x_0" localSheetId="76">'412'!$D$29</definedName>
    <definedName name="OSRRefD22_4x_0" localSheetId="77">'413'!$D$32</definedName>
    <definedName name="OSRRefD22_4x_0" localSheetId="78">'414'!$D$29:$D$30</definedName>
    <definedName name="OSRRefD22_4x_0" localSheetId="79">'415'!$D$42</definedName>
    <definedName name="OSRRefD22_4x_0" localSheetId="80">'418'!$D$39:$D$40</definedName>
    <definedName name="OSRRefD22_4x_0" localSheetId="84">'425'!$D$34</definedName>
    <definedName name="OSRRefD22_4x_0" localSheetId="87">'430'!$D$35</definedName>
    <definedName name="OSRRefD22_4x_0" localSheetId="88">'433'!$D$45</definedName>
    <definedName name="OSRRefD22_4x_0" localSheetId="90">'444'!$D$45</definedName>
    <definedName name="OSRRefD22_4x_0" localSheetId="91">'450'!$D$45</definedName>
    <definedName name="OSRRefD22_4x_0" localSheetId="72">'491'!$D$46</definedName>
    <definedName name="OSRRefD22_4x_0" localSheetId="86">'492'!$D$46</definedName>
    <definedName name="OSRRefD22_4x_0" localSheetId="93">'501'!$D$42:$D$43</definedName>
    <definedName name="OSRRefD22_4x_0" localSheetId="39">'Div 2'!$D$42</definedName>
    <definedName name="OSRRefD22_4x_0" localSheetId="47">'Div 3'!$D$152</definedName>
    <definedName name="OSRRefD22_4x_0" localSheetId="70">'Div 4'!$D$49</definedName>
    <definedName name="OSRRefD22_4x_0" localSheetId="92">'Div 5'!$D$42:$D$43</definedName>
    <definedName name="OSRRefD22_4x_0" localSheetId="61">'Div 6'!$D$73</definedName>
    <definedName name="OSRRefD22_4x_0" localSheetId="2">Summary!$D$178</definedName>
    <definedName name="OSRRefD22_5x_0" localSheetId="41">'201'!$D$39</definedName>
    <definedName name="OSRRefD22_5x_0" localSheetId="42">'202'!$D$40</definedName>
    <definedName name="OSRRefD22_5x_0" localSheetId="43">'203'!$D$42</definedName>
    <definedName name="OSRRefD22_5x_0" localSheetId="44">'204'!$D$40:$D$43</definedName>
    <definedName name="OSRRefD22_5x_0" localSheetId="45">'205'!$D$38:$D$40</definedName>
    <definedName name="OSRRefD22_5x_0" localSheetId="46">'206'!$D$38</definedName>
    <definedName name="OSRRefD22_5x_0" localSheetId="48">'300'!$D$149:$D$150</definedName>
    <definedName name="OSRRefD22_5x_0" localSheetId="49">'300 &amp; 317'!$D$171:$D$172</definedName>
    <definedName name="OSRRefD22_5x_0" localSheetId="50">'301'!$D$46:$D$47</definedName>
    <definedName name="OSRRefD22_5x_0" localSheetId="52">'307'!$D$58</definedName>
    <definedName name="OSRRefD22_5x_0" localSheetId="53">'308'!$D$85</definedName>
    <definedName name="OSRRefD22_5x_0" localSheetId="63">'310'!$D$51:$D$52</definedName>
    <definedName name="OSRRefD22_5x_0" localSheetId="71">'310 &amp; 491'!$D$56:$D$57</definedName>
    <definedName name="OSRRefD22_5x_0" localSheetId="54">'311'!$D$85</definedName>
    <definedName name="OSRRefD22_5x_0" localSheetId="65">'313'!$D$42</definedName>
    <definedName name="OSRRefD22_5x_0" localSheetId="57">'315'!$D$108:$D$109</definedName>
    <definedName name="OSRRefD22_5x_0" localSheetId="60">'316'!$D$51</definedName>
    <definedName name="OSRRefD22_5x_0" localSheetId="62">'317'!$D$75:$D$76</definedName>
    <definedName name="OSRRefD22_5x_0" localSheetId="66">'321'!$D$44</definedName>
    <definedName name="OSRRefD22_5x_0" localSheetId="67">'322'!$D$36</definedName>
    <definedName name="OSRRefD22_5x_0" localSheetId="68">'325'!$D$43:$D$44</definedName>
    <definedName name="OSRRefD22_5x_0" localSheetId="58">'326'!$D$70</definedName>
    <definedName name="OSRRefD22_5x_0" localSheetId="51">'330'!$D$62:$D$63</definedName>
    <definedName name="OSRRefD22_5x_0" localSheetId="56">'331'!$D$107:$D$108</definedName>
    <definedName name="OSRRefD22_5x_0" localSheetId="59">'332'!$D$53</definedName>
    <definedName name="OSRRefD22_5x_0" localSheetId="73">'405'!$D$44:$D$45</definedName>
    <definedName name="OSRRefD22_5x_0" localSheetId="75">'411'!$D$42</definedName>
    <definedName name="OSRRefD22_5x_0" localSheetId="77">'413'!$D$34</definedName>
    <definedName name="OSRRefD22_5x_0" localSheetId="79">'415'!$D$44:$D$45</definedName>
    <definedName name="OSRRefD22_5x_0" localSheetId="80">'418'!$D$42</definedName>
    <definedName name="OSRRefD22_5x_0" localSheetId="84">'425'!$D$36:$D$37</definedName>
    <definedName name="OSRRefD22_5x_0" localSheetId="87">'430'!$D$37:$D$38</definedName>
    <definedName name="OSRRefD22_5x_0" localSheetId="88">'433'!$D$47</definedName>
    <definedName name="OSRRefD22_5x_0" localSheetId="90">'444'!$D$47</definedName>
    <definedName name="OSRRefD22_5x_0" localSheetId="91">'450'!$D$47</definedName>
    <definedName name="OSRRefD22_5x_0" localSheetId="72">'491'!$D$48:$D$49</definedName>
    <definedName name="OSRRefD22_5x_0" localSheetId="86">'492'!$D$48</definedName>
    <definedName name="OSRRefD22_5x_0" localSheetId="93">'501'!$D$45</definedName>
    <definedName name="OSRRefD22_5x_0" localSheetId="39">'Div 2'!$D$44</definedName>
    <definedName name="OSRRefD22_5x_0" localSheetId="47">'Div 3'!$D$154:$D$155</definedName>
    <definedName name="OSRRefD22_5x_0" localSheetId="70">'Div 4'!$D$51:$D$52</definedName>
    <definedName name="OSRRefD22_5x_0" localSheetId="92">'Div 5'!$D$45</definedName>
    <definedName name="OSRRefD22_5x_0" localSheetId="61">'Div 6'!$D$75:$D$76</definedName>
    <definedName name="OSRRefD22_5x_0" localSheetId="2">Summary!$D$180:$D$181</definedName>
    <definedName name="OSRRefD22_6x_0" localSheetId="41">'201'!$D$41</definedName>
    <definedName name="OSRRefD22_6x_0" localSheetId="42">'202'!$D$42:$D$44</definedName>
    <definedName name="OSRRefD22_6x_0" localSheetId="43">'203'!$D$44</definedName>
    <definedName name="OSRRefD22_6x_0" localSheetId="44">'204'!$D$45</definedName>
    <definedName name="OSRRefD22_6x_0" localSheetId="45">'205'!$D$42</definedName>
    <definedName name="OSRRefD22_6x_0" localSheetId="46">'206'!$D$40</definedName>
    <definedName name="OSRRefD22_6x_0" localSheetId="48">'300'!$D$152:$D$153</definedName>
    <definedName name="OSRRefD22_6x_0" localSheetId="49">'300 &amp; 317'!$D$174:$D$175</definedName>
    <definedName name="OSRRefD22_6x_0" localSheetId="50">'301'!$D$49:$D$50</definedName>
    <definedName name="OSRRefD22_6x_0" localSheetId="52">'307'!$D$60</definedName>
    <definedName name="OSRRefD22_6x_0" localSheetId="53">'308'!$D$87</definedName>
    <definedName name="OSRRefD22_6x_0" localSheetId="63">'310'!$D$54</definedName>
    <definedName name="OSRRefD22_6x_0" localSheetId="71">'310 &amp; 491'!$D$59</definedName>
    <definedName name="OSRRefD22_6x_0" localSheetId="54">'311'!$D$87</definedName>
    <definedName name="OSRRefD22_6x_0" localSheetId="65">'313'!$D$44</definedName>
    <definedName name="OSRRefD22_6x_0" localSheetId="57">'315'!$D$111:$D$112</definedName>
    <definedName name="OSRRefD22_6x_0" localSheetId="60">'316'!$D$53:$D$54</definedName>
    <definedName name="OSRRefD22_6x_0" localSheetId="62">'317'!$D$78</definedName>
    <definedName name="OSRRefD22_6x_0" localSheetId="66">'321'!$D$46:$D$47</definedName>
    <definedName name="OSRRefD22_6x_0" localSheetId="67">'322'!$D$38</definedName>
    <definedName name="OSRRefD22_6x_0" localSheetId="68">'325'!$D$46</definedName>
    <definedName name="OSRRefD22_6x_0" localSheetId="58">'326'!$D$72</definedName>
    <definedName name="OSRRefD22_6x_0" localSheetId="51">'330'!$D$65</definedName>
    <definedName name="OSRRefD22_6x_0" localSheetId="56">'331'!$D$110</definedName>
    <definedName name="OSRRefD22_6x_0" localSheetId="59">'332'!$D$55:$D$56</definedName>
    <definedName name="OSRRefD22_6x_0" localSheetId="73">'405'!$D$47</definedName>
    <definedName name="OSRRefD22_6x_0" localSheetId="75">'411'!$D$44</definedName>
    <definedName name="OSRRefD22_6x_0" localSheetId="79">'415'!$D$47</definedName>
    <definedName name="OSRRefD22_6x_0" localSheetId="80">'418'!$D$44</definedName>
    <definedName name="OSRRefD22_6x_0" localSheetId="84">'425'!$D$39</definedName>
    <definedName name="OSRRefD22_6x_0" localSheetId="87">'430'!$D$40</definedName>
    <definedName name="OSRRefD22_6x_0" localSheetId="88">'433'!$D$49</definedName>
    <definedName name="OSRRefD22_6x_0" localSheetId="90">'444'!$D$49</definedName>
    <definedName name="OSRRefD22_6x_0" localSheetId="91">'450'!$D$49</definedName>
    <definedName name="OSRRefD22_6x_0" localSheetId="72">'491'!$D$51</definedName>
    <definedName name="OSRRefD22_6x_0" localSheetId="86">'492'!$D$50</definedName>
    <definedName name="OSRRefD22_6x_0" localSheetId="93">'501'!$D$47</definedName>
    <definedName name="OSRRefD22_6x_0" localSheetId="39">'Div 2'!$D$46</definedName>
    <definedName name="OSRRefD22_6x_0" localSheetId="47">'Div 3'!$D$157:$D$158</definedName>
    <definedName name="OSRRefD22_6x_0" localSheetId="70">'Div 4'!$D$54</definedName>
    <definedName name="OSRRefD22_6x_0" localSheetId="92">'Div 5'!$D$47</definedName>
    <definedName name="OSRRefD22_6x_0" localSheetId="61">'Div 6'!$D$78</definedName>
    <definedName name="OSRRefD22_6x_0" localSheetId="2">Summary!$D$183:$D$184</definedName>
    <definedName name="OSRRefD22_7x_0" localSheetId="41">'201'!$D$43</definedName>
    <definedName name="OSRRefD22_7x_0" localSheetId="42">'202'!$D$46</definedName>
    <definedName name="OSRRefD22_7x_0" localSheetId="43">'203'!$D$46:$D$47</definedName>
    <definedName name="OSRRefD22_7x_0" localSheetId="44">'204'!$D$47:$D$48</definedName>
    <definedName name="OSRRefD22_7x_0" localSheetId="48">'300'!$D$155</definedName>
    <definedName name="OSRRefD22_7x_0" localSheetId="49">'300 &amp; 317'!$D$177</definedName>
    <definedName name="OSRRefD22_7x_0" localSheetId="50">'301'!$D$52</definedName>
    <definedName name="OSRRefD22_7x_0" localSheetId="52">'307'!$D$62</definedName>
    <definedName name="OSRRefD22_7x_0" localSheetId="53">'308'!$D$89</definedName>
    <definedName name="OSRRefD22_7x_0" localSheetId="63">'310'!$D$56</definedName>
    <definedName name="OSRRefD22_7x_0" localSheetId="71">'310 &amp; 491'!$D$61</definedName>
    <definedName name="OSRRefD22_7x_0" localSheetId="54">'311'!$D$89</definedName>
    <definedName name="OSRRefD22_7x_0" localSheetId="57">'315'!$D$114</definedName>
    <definedName name="OSRRefD22_7x_0" localSheetId="60">'316'!$D$56</definedName>
    <definedName name="OSRRefD22_7x_0" localSheetId="62">'317'!$D$80</definedName>
    <definedName name="OSRRefD22_7x_0" localSheetId="66">'321'!$D$49</definedName>
    <definedName name="OSRRefD22_7x_0" localSheetId="67">'322'!$D$40</definedName>
    <definedName name="OSRRefD22_7x_0" localSheetId="68">'325'!$D$48</definedName>
    <definedName name="OSRRefD22_7x_0" localSheetId="58">'326'!$D$74</definedName>
    <definedName name="OSRRefD22_7x_0" localSheetId="51">'330'!$D$67</definedName>
    <definedName name="OSRRefD22_7x_0" localSheetId="56">'331'!$D$112:$D$113</definedName>
    <definedName name="OSRRefD22_7x_0" localSheetId="59">'332'!$D$58</definedName>
    <definedName name="OSRRefD22_7x_0" localSheetId="73">'405'!$D$49</definedName>
    <definedName name="OSRRefD22_7x_0" localSheetId="75">'411'!$D$46</definedName>
    <definedName name="OSRRefD22_7x_0" localSheetId="79">'415'!$D$49</definedName>
    <definedName name="OSRRefD22_7x_0" localSheetId="80">'418'!$D$46</definedName>
    <definedName name="OSRRefD22_7x_0" localSheetId="84">'425'!$D$41</definedName>
    <definedName name="OSRRefD22_7x_0" localSheetId="87">'430'!$D$42</definedName>
    <definedName name="OSRRefD22_7x_0" localSheetId="88">'433'!$D$51</definedName>
    <definedName name="OSRRefD22_7x_0" localSheetId="90">'444'!$D$51</definedName>
    <definedName name="OSRRefD22_7x_0" localSheetId="91">'450'!$D$51</definedName>
    <definedName name="OSRRefD22_7x_0" localSheetId="72">'491'!$D$53</definedName>
    <definedName name="OSRRefD22_7x_0" localSheetId="86">'492'!$D$52</definedName>
    <definedName name="OSRRefD22_7x_0" localSheetId="93">'501'!$D$49:$D$50</definedName>
    <definedName name="OSRRefD22_7x_0" localSheetId="39">'Div 2'!$D$48</definedName>
    <definedName name="OSRRefD22_7x_0" localSheetId="47">'Div 3'!$D$160</definedName>
    <definedName name="OSRRefD22_7x_0" localSheetId="70">'Div 4'!$D$56</definedName>
    <definedName name="OSRRefD22_7x_0" localSheetId="92">'Div 5'!$D$49:$D$50</definedName>
    <definedName name="OSRRefD22_7x_0" localSheetId="61">'Div 6'!$D$80</definedName>
    <definedName name="OSRRefD22_7x_0" localSheetId="2">Summary!$D$186</definedName>
    <definedName name="OSRRefD22_8x_0" localSheetId="41">'201'!$D$45:$D$47</definedName>
    <definedName name="OSRRefD22_8x_0" localSheetId="42">'202'!$D$48:$D$49</definedName>
    <definedName name="OSRRefD22_8x_0" localSheetId="43">'203'!$D$49:$D$50</definedName>
    <definedName name="OSRRefD22_8x_0" localSheetId="48">'300'!$D$157</definedName>
    <definedName name="OSRRefD22_8x_0" localSheetId="49">'300 &amp; 317'!$D$179</definedName>
    <definedName name="OSRRefD22_8x_0" localSheetId="50">'301'!$D$54</definedName>
    <definedName name="OSRRefD22_8x_0" localSheetId="52">'307'!$D$64:$D$65</definedName>
    <definedName name="OSRRefD22_8x_0" localSheetId="53">'308'!$D$91</definedName>
    <definedName name="OSRRefD22_8x_0" localSheetId="63">'310'!$D$58</definedName>
    <definedName name="OSRRefD22_8x_0" localSheetId="71">'310 &amp; 491'!$D$63:$D$64</definedName>
    <definedName name="OSRRefD22_8x_0" localSheetId="54">'311'!$D$91</definedName>
    <definedName name="OSRRefD22_8x_0" localSheetId="57">'315'!$D$116:$D$117</definedName>
    <definedName name="OSRRefD22_8x_0" localSheetId="60">'316'!$D$58:$D$60</definedName>
    <definedName name="OSRRefD22_8x_0" localSheetId="62">'317'!$D$82:$D$84</definedName>
    <definedName name="OSRRefD22_8x_0" localSheetId="66">'321'!$D$51:$D$52</definedName>
    <definedName name="OSRRefD22_8x_0" localSheetId="68">'325'!$D$50</definedName>
    <definedName name="OSRRefD22_8x_0" localSheetId="58">'326'!$D$76</definedName>
    <definedName name="OSRRefD22_8x_0" localSheetId="51">'330'!$D$69:$D$70</definedName>
    <definedName name="OSRRefD22_8x_0" localSheetId="56">'331'!$D$115</definedName>
    <definedName name="OSRRefD22_8x_0" localSheetId="59">'332'!$D$60:$D$62</definedName>
    <definedName name="OSRRefD22_8x_0" localSheetId="73">'405'!$D$51</definedName>
    <definedName name="OSRRefD22_8x_0" localSheetId="75">'411'!$D$48</definedName>
    <definedName name="OSRRefD22_8x_0" localSheetId="79">'415'!$D$51</definedName>
    <definedName name="OSRRefD22_8x_0" localSheetId="80">'418'!$D$48:$D$49</definedName>
    <definedName name="OSRRefD22_8x_0" localSheetId="84">'425'!$D$43</definedName>
    <definedName name="OSRRefD22_8x_0" localSheetId="88">'433'!$D$53</definedName>
    <definedName name="OSRRefD22_8x_0" localSheetId="90">'444'!$D$53</definedName>
    <definedName name="OSRRefD22_8x_0" localSheetId="91">'450'!$D$53</definedName>
    <definedName name="OSRRefD22_8x_0" localSheetId="72">'491'!$D$55</definedName>
    <definedName name="OSRRefD22_8x_0" localSheetId="86">'492'!$D$54</definedName>
    <definedName name="OSRRefD22_8x_0" localSheetId="93">'501'!$D$52:$D$53</definedName>
    <definedName name="OSRRefD22_8x_0" localSheetId="39">'Div 2'!$D$50</definedName>
    <definedName name="OSRRefD22_8x_0" localSheetId="47">'Div 3'!$D$162</definedName>
    <definedName name="OSRRefD22_8x_0" localSheetId="70">'Div 4'!$D$58</definedName>
    <definedName name="OSRRefD22_8x_0" localSheetId="92">'Div 5'!$D$52:$D$53</definedName>
    <definedName name="OSRRefD22_8x_0" localSheetId="61">'Div 6'!$D$82:$D$84</definedName>
    <definedName name="OSRRefD22_8x_0" localSheetId="2">Summary!$D$188</definedName>
    <definedName name="OSRRefD22_9x_0" localSheetId="41">'201'!$D$49:$D$50</definedName>
    <definedName name="OSRRefD22_9x_0" localSheetId="42">'202'!$D$51</definedName>
    <definedName name="OSRRefD22_9x_0" localSheetId="43">'203'!$D$52</definedName>
    <definedName name="OSRRefD22_9x_0" localSheetId="48">'300'!$D$159</definedName>
    <definedName name="OSRRefD22_9x_0" localSheetId="49">'300 &amp; 317'!$D$181</definedName>
    <definedName name="OSRRefD22_9x_0" localSheetId="50">'301'!$D$56</definedName>
    <definedName name="OSRRefD22_9x_0" localSheetId="52">'307'!$D$67:$D$68</definedName>
    <definedName name="OSRRefD22_9x_0" localSheetId="53">'308'!$D$93:$D$95</definedName>
    <definedName name="OSRRefD22_9x_0" localSheetId="63">'310'!$D$60</definedName>
    <definedName name="OSRRefD22_9x_0" localSheetId="71">'310 &amp; 491'!$D$66</definedName>
    <definedName name="OSRRefD22_9x_0" localSheetId="54">'311'!$D$93:$D$95</definedName>
    <definedName name="OSRRefD22_9x_0" localSheetId="57">'315'!$D$119:$D$120</definedName>
    <definedName name="OSRRefD22_9x_0" localSheetId="60">'316'!$D$62</definedName>
    <definedName name="OSRRefD22_9x_0" localSheetId="62">'317'!$D$86</definedName>
    <definedName name="OSRRefD22_9x_0" localSheetId="66">'321'!$D$54:$D$58</definedName>
    <definedName name="OSRRefD22_9x_0" localSheetId="68">'325'!$D$52:$D$53</definedName>
    <definedName name="OSRRefD22_9x_0" localSheetId="58">'326'!$D$78</definedName>
    <definedName name="OSRRefD22_9x_0" localSheetId="51">'330'!$D$72:$D$73</definedName>
    <definedName name="OSRRefD22_9x_0" localSheetId="56">'331'!$D$117</definedName>
    <definedName name="OSRRefD22_9x_0" localSheetId="59">'332'!$D$64</definedName>
    <definedName name="OSRRefD22_9x_0" localSheetId="73">'405'!$D$53</definedName>
    <definedName name="OSRRefD22_9x_0" localSheetId="75">'411'!$D$50:$D$52</definedName>
    <definedName name="OSRRefD22_9x_0" localSheetId="79">'415'!$D$53</definedName>
    <definedName name="OSRRefD22_9x_0" localSheetId="80">'418'!$D$51</definedName>
    <definedName name="OSRRefD22_9x_0" localSheetId="88">'433'!$D$55</definedName>
    <definedName name="OSRRefD22_9x_0" localSheetId="90">'444'!$D$55</definedName>
    <definedName name="OSRRefD22_9x_0" localSheetId="91">'450'!$D$55</definedName>
    <definedName name="OSRRefD22_9x_0" localSheetId="72">'491'!$D$57</definedName>
    <definedName name="OSRRefD22_9x_0" localSheetId="86">'492'!$D$56</definedName>
    <definedName name="OSRRefD22_9x_0" localSheetId="93">'501'!$D$55</definedName>
    <definedName name="OSRRefD22_9x_0" localSheetId="39">'Div 2'!$D$52:$D$53</definedName>
    <definedName name="OSRRefD22_9x_0" localSheetId="47">'Div 3'!$D$164</definedName>
    <definedName name="OSRRefD22_9x_0" localSheetId="70">'Div 4'!$D$60</definedName>
    <definedName name="OSRRefD22_9x_0" localSheetId="92">'Div 5'!$D$55</definedName>
    <definedName name="OSRRefD22_9x_0" localSheetId="61">'Div 6'!$D$86</definedName>
    <definedName name="OSRRefD22_9x_0" localSheetId="2">Summary!$D$190</definedName>
    <definedName name="OSRRefD22x_0" localSheetId="40">'200'!$D$20,'200'!$D$22,'200'!$D$24,'200'!$D$26</definedName>
    <definedName name="OSRRefD22x_0" localSheetId="41">'201'!$D$20:$D$27,'201'!$D$29:$D$31,'201'!$D$33,'201'!$D$35,'201'!$D$37,'201'!$D$39,'201'!$D$41,'201'!$D$43,'201'!$D$45:$D$47,'201'!$D$49:$D$50,'201'!$D$52,'201'!$D$54:$D$55,'201'!$D$57,'201'!$D$59</definedName>
    <definedName name="OSRRefD22x_0" localSheetId="42">'202'!$D$20:$D$27,'202'!$D$29:$D$31,'202'!$D$33,'202'!$D$35,'202'!$D$37:$D$38,'202'!$D$40,'202'!$D$42:$D$44,'202'!$D$46,'202'!$D$48:$D$49,'202'!$D$51,'202'!$D$53,'202'!$D$55</definedName>
    <definedName name="OSRRefD22x_0" localSheetId="43">'203'!$D$20:$D$28,'203'!$D$30:$D$34,'203'!$D$36,'203'!$D$38,'203'!$D$40,'203'!$D$42,'203'!$D$44,'203'!$D$46:$D$47,'203'!$D$49:$D$50,'203'!$D$52,'203'!$D$54:$D$57,'203'!$D$59,'203'!$D$61,'203'!$D$63</definedName>
    <definedName name="OSRRefD22x_0" localSheetId="44">'204'!$D$20:$D$28,'204'!$D$30:$D$32,'204'!$D$34,'204'!$D$36,'204'!$D$38,'204'!$D$40:$D$43,'204'!$D$45,'204'!$D$47:$D$48</definedName>
    <definedName name="OSRRefD22x_0" localSheetId="45">'205'!$D$20:$D$27,'205'!$D$29,'205'!$D$31,'205'!$D$33,'205'!$D$35:$D$36,'205'!$D$38:$D$40,'205'!$D$42</definedName>
    <definedName name="OSRRefD22x_0" localSheetId="46">'206'!$D$20:$D$26,'206'!$D$28:$D$30,'206'!$D$32,'206'!$D$34,'206'!$D$36,'206'!$D$38,'206'!$D$40</definedName>
    <definedName name="OSRRefD22x_0" localSheetId="48">'300'!$D$124:$D$133,'300'!$D$135:$D$141,'300'!$D$143,'300'!$D$145,'300'!$D$147,'300'!$D$149:$D$150,'300'!$D$152:$D$153,'300'!$D$155,'300'!$D$157,'300'!$D$159,'300'!$D$161:$D$162,'300'!$D$164,'300'!$D$166,'300'!$D$168:$D$169,'300'!$D$171,'300'!$D$173,'300'!$D$175:$D$178,'300'!$D$180:$D$182,'300'!$D$184:$D$187,'300'!$D$189:$D$190,'300'!$D$192:$D$198,'300'!$D$200:$D$201,'300'!$D$203,'300'!$D$205:$D$207,'300'!$D$209</definedName>
    <definedName name="OSRRefD22x_0" localSheetId="49">'300 &amp; 317'!$D$146:$D$155,'300 &amp; 317'!$D$157:$D$163,'300 &amp; 317'!$D$165,'300 &amp; 317'!$D$167,'300 &amp; 317'!$D$169,'300 &amp; 317'!$D$171:$D$172,'300 &amp; 317'!$D$174:$D$175,'300 &amp; 317'!$D$177,'300 &amp; 317'!$D$179,'300 &amp; 317'!$D$181,'300 &amp; 317'!$D$183:$D$184,'300 &amp; 317'!$D$186,'300 &amp; 317'!$D$188,'300 &amp; 317'!$D$190:$D$191,'300 &amp; 317'!$D$193,'300 &amp; 317'!$D$195,'300 &amp; 317'!$D$197:$D$200,'300 &amp; 317'!$D$202:$D$204,'300 &amp; 317'!$D$206:$D$209,'300 &amp; 317'!$D$211:$D$212,'300 &amp; 317'!$D$214:$D$220,'300 &amp; 317'!$D$222:$D$223,'300 &amp; 317'!$D$225,'300 &amp; 317'!$D$227:$D$229,'300 &amp; 317'!$D$231</definedName>
    <definedName name="OSRRefD22x_0" localSheetId="50">'301'!$D$21:$D$30,'301'!$D$32:$D$38,'301'!$D$40,'301'!$D$42,'301'!$D$44,'301'!$D$46:$D$47,'301'!$D$49:$D$50,'301'!$D$52,'301'!$D$54,'301'!$D$56,'301'!$D$58,'301'!$D$60,'301'!$D$62,'301'!$D$64,'301'!$D$66,'301'!$D$68:$D$71,'301'!$D$73:$D$75,'301'!$D$77,'301'!$D$79:$D$84,'301'!$D$86,'301'!$D$88,'301'!$D$90:$D$91,'301'!$D$93</definedName>
    <definedName name="OSRRefD22x_0" localSheetId="52">'307'!$D$43:$D$45,'307'!$D$47:$D$49,'307'!$D$51,'307'!$D$53,'307'!$D$55:$D$56,'307'!$D$58,'307'!$D$60,'307'!$D$62,'307'!$D$64:$D$65,'307'!$D$67:$D$68,'307'!$D$70:$D$73,'307'!$D$75,'307'!$D$77</definedName>
    <definedName name="OSRRefD22x_0" localSheetId="53">'308'!$D$61:$D$69,'308'!$D$71:$D$77,'308'!$D$79,'308'!$D$81,'308'!$D$83,'308'!$D$85,'308'!$D$87,'308'!$D$89,'308'!$D$91,'308'!$D$93:$D$95,'308'!$D$97,'308'!$D$99:$D$100,'308'!$D$102:$D$103,'308'!$D$105</definedName>
    <definedName name="OSRRefD22x_0" localSheetId="64">'309'!$D$20,'309'!$D$22,'309'!$D$24:$D$25,'309'!$D$27:$D$28,'309'!$D$30</definedName>
    <definedName name="OSRRefD22x_0" localSheetId="63">'310'!$D$31:$D$38,'310'!$D$40:$D$43,'310'!$D$45,'310'!$D$47,'310'!$D$49,'310'!$D$51:$D$52,'310'!$D$54,'310'!$D$56,'310'!$D$58,'310'!$D$60,'310'!$D$62:$D$63,'310'!$D$65,'310'!$D$67:$D$70,'310'!$D$72:$D$76,'310'!$D$78,'310'!$D$80</definedName>
    <definedName name="OSRRefD22x_0" localSheetId="71">'310 &amp; 491'!$D$35:$D$42,'310 &amp; 491'!$D$44:$D$48,'310 &amp; 491'!$D$50,'310 &amp; 491'!$D$52,'310 &amp; 491'!$D$54,'310 &amp; 491'!$D$56:$D$57,'310 &amp; 491'!$D$59,'310 &amp; 491'!$D$61,'310 &amp; 491'!$D$63:$D$64,'310 &amp; 491'!$D$66,'310 &amp; 491'!$D$68,'310 &amp; 491'!$D$70,'310 &amp; 491'!$D$72,'310 &amp; 491'!$D$74:$D$76,'310 &amp; 491'!$D$78,'310 &amp; 491'!$D$80:$D$83,'310 &amp; 491'!$D$85,'310 &amp; 491'!$D$87:$D$95,'310 &amp; 491'!$D$97,'310 &amp; 491'!$D$99,'310 &amp; 491'!$D$101:$D$102,'310 &amp; 491'!$D$104</definedName>
    <definedName name="OSRRefD22x_0" localSheetId="54">'311'!$D$61:$D$69,'311'!$D$71:$D$77,'311'!$D$79,'311'!$D$81,'311'!$D$83,'311'!$D$85,'311'!$D$87,'311'!$D$89,'311'!$D$91,'311'!$D$93:$D$95,'311'!$D$97,'311'!$D$99:$D$100,'311'!$D$102:$D$103,'311'!$D$105</definedName>
    <definedName name="OSRRefD22x_0" localSheetId="65">'313'!$D$25:$D$32,'313'!$D$34,'313'!$D$36,'313'!$D$38,'313'!$D$40,'313'!$D$42,'313'!$D$44</definedName>
    <definedName name="OSRRefD22x_0" localSheetId="57">'315'!$D$86:$D$93,'315'!$D$95:$D$99,'315'!$D$101,'315'!$D$103:$D$104,'315'!$D$106,'315'!$D$108:$D$109,'315'!$D$111:$D$112,'315'!$D$114,'315'!$D$116:$D$117,'315'!$D$119:$D$120,'315'!$D$122:$D$123,'315'!$D$125:$D$127,'315'!$D$129,'315'!$D$131</definedName>
    <definedName name="OSRRefD22x_0" localSheetId="60">'316'!$D$32:$D$39,'316'!$D$41:$D$43,'316'!$D$45,'316'!$D$47,'316'!$D$49,'316'!$D$51,'316'!$D$53:$D$54,'316'!$D$56,'316'!$D$58:$D$60,'316'!$D$62,'316'!$D$64:$D$68,'316'!$D$70,'316'!$D$72</definedName>
    <definedName name="OSRRefD22x_0" localSheetId="62">'317'!$D$53:$D$61,'317'!$D$63:$D$67,'317'!$D$69,'317'!$D$71,'317'!$D$73,'317'!$D$75:$D$76,'317'!$D$78,'317'!$D$80,'317'!$D$82:$D$84,'317'!$D$86,'317'!$D$88</definedName>
    <definedName name="OSRRefD22x_0" localSheetId="66">'321'!$D$24:$D$31,'321'!$D$33:$D$36,'321'!$D$38,'321'!$D$40,'321'!$D$42,'321'!$D$44,'321'!$D$46:$D$47,'321'!$D$49,'321'!$D$51:$D$52,'321'!$D$54:$D$58,'321'!$D$60,'321'!$D$62</definedName>
    <definedName name="OSRRefD22x_0" localSheetId="67">'322'!$D$21:$D$25,'322'!$D$27,'322'!$D$29,'322'!$D$31,'322'!$D$33:$D$34,'322'!$D$36,'322'!$D$38,'322'!$D$40</definedName>
    <definedName name="OSRRefD22x_0" localSheetId="68">'325'!$D$24:$D$31,'325'!$D$33:$D$35,'325'!$D$37,'325'!$D$39,'325'!$D$41,'325'!$D$43:$D$44,'325'!$D$46,'325'!$D$48,'325'!$D$50,'325'!$D$52:$D$53,'325'!$D$55:$D$58,'325'!$D$60:$D$63,'325'!$D$65,'325'!$D$67</definedName>
    <definedName name="OSRRefD22x_0" localSheetId="58">'326'!$D$49:$D$56,'326'!$D$58:$D$62,'326'!$D$64,'326'!$D$66,'326'!$D$68,'326'!$D$70,'326'!$D$72,'326'!$D$74,'326'!$D$76,'326'!$D$78,'326'!$D$80,'326'!$D$82:$D$84,'326'!$D$86:$D$88,'326'!$D$90,'326'!$D$92:$D$95,'326'!$D$97,'326'!$D$99,'326'!$D$101</definedName>
    <definedName name="OSRRefD22x_0" localSheetId="69">'327'!$D$24</definedName>
    <definedName name="OSRRefD22x_0" localSheetId="51">'330'!$D$46:$D$49,'330'!$D$51:$D$53,'330'!$D$55,'330'!$D$57,'330'!$D$59:$D$60,'330'!$D$62:$D$63,'330'!$D$65,'330'!$D$67,'330'!$D$69:$D$70,'330'!$D$72:$D$73,'330'!$D$75:$D$78,'330'!$D$80,'330'!$D$82</definedName>
    <definedName name="OSRRefD22x_0" localSheetId="56">'331'!$D$86:$D$93,'331'!$D$95:$D$99,'331'!$D$101,'331'!$D$103,'331'!$D$105,'331'!$D$107:$D$108,'331'!$D$110,'331'!$D$112:$D$113,'331'!$D$115,'331'!$D$117,'331'!$D$119:$D$120,'331'!$D$122,'331'!$D$124,'331'!$D$126:$D$128,'331'!$D$130:$D$131,'331'!$D$133:$D$135,'331'!$D$137:$D$138,'331'!$D$140:$D$143,'331'!$D$145,'331'!$D$147,'331'!$D$149</definedName>
    <definedName name="OSRRefD22x_0" localSheetId="59">'332'!$D$34:$D$41,'332'!$D$43:$D$45,'332'!$D$47,'332'!$D$49,'332'!$D$51,'332'!$D$53,'332'!$D$55:$D$56,'332'!$D$58,'332'!$D$60:$D$62,'332'!$D$64,'332'!$D$66:$D$70,'332'!$D$72,'332'!$D$74</definedName>
    <definedName name="OSRRefD22x_0" localSheetId="73">'405'!$D$24:$D$31,'405'!$D$33:$D$36,'405'!$D$38,'405'!$D$40,'405'!$D$42,'405'!$D$44:$D$45,'405'!$D$47,'405'!$D$49,'405'!$D$51,'405'!$D$53,'405'!$D$55:$D$56,'405'!$D$58:$D$61,'405'!$D$63,'405'!$D$65:$D$72,'405'!$D$74,'405'!$D$76</definedName>
    <definedName name="OSRRefD22x_0" localSheetId="74">'406'!$D$20,'406'!$D$22,'406'!$D$24,'406'!$D$26,'406'!$D$28</definedName>
    <definedName name="OSRRefD22x_0" localSheetId="75">'411'!$D$20:$D$27,'411'!$D$29:$D$33,'411'!$D$35,'411'!$D$37:$D$38,'411'!$D$40,'411'!$D$42,'411'!$D$44,'411'!$D$46,'411'!$D$48,'411'!$D$50:$D$52,'411'!$D$54:$D$56,'411'!$D$58:$D$59,'411'!$D$61,'411'!$D$63:$D$64,'411'!$D$66</definedName>
    <definedName name="OSRRefD22x_0" localSheetId="76">'412'!$D$20,'412'!$D$22,'412'!$D$24:$D$25,'412'!$D$27,'412'!$D$29</definedName>
    <definedName name="OSRRefD22x_0" localSheetId="77">'413'!$D$20:$D$24,'413'!$D$26,'413'!$D$28,'413'!$D$30,'413'!$D$32,'413'!$D$34</definedName>
    <definedName name="OSRRefD22x_0" localSheetId="78">'414'!$D$21,'414'!$D$23,'414'!$D$25,'414'!$D$27,'414'!$D$29:$D$30</definedName>
    <definedName name="OSRRefD22x_0" localSheetId="79">'415'!$D$24:$D$31,'415'!$D$33:$D$36,'415'!$D$38,'415'!$D$40,'415'!$D$42,'415'!$D$44:$D$45,'415'!$D$47,'415'!$D$49,'415'!$D$51,'415'!$D$53,'415'!$D$55:$D$56,'415'!$D$58:$D$61,'415'!$D$63,'415'!$D$65:$D$70,'415'!$D$72,'415'!$D$74,'415'!$D$76</definedName>
    <definedName name="OSRRefD22x_0" localSheetId="80">'418'!$D$21:$D$28,'418'!$D$30:$D$33,'418'!$D$35,'418'!$D$37,'418'!$D$39:$D$40,'418'!$D$42,'418'!$D$44,'418'!$D$46,'418'!$D$48:$D$49,'418'!$D$51,'418'!$D$53,'418'!$D$55:$D$59,'418'!$D$61</definedName>
    <definedName name="OSRRefD22x_0" localSheetId="81">'420'!$D$21</definedName>
    <definedName name="OSRRefD22x_0" localSheetId="82">'423'!$D$20:$D$21,'423'!$D$23,'423'!$D$25,'423'!$D$27</definedName>
    <definedName name="OSRRefD22x_0" localSheetId="83">'424'!$D$20,'424'!$D$22,'424'!$D$24,'424'!$D$26</definedName>
    <definedName name="OSRRefD22x_0" localSheetId="84">'425'!$D$22:$D$26,'425'!$D$28,'425'!$D$30,'425'!$D$32,'425'!$D$34,'425'!$D$36:$D$37,'425'!$D$39,'425'!$D$41,'425'!$D$43</definedName>
    <definedName name="OSRRefD22x_0" localSheetId="87">'430'!$D$20:$D$27,'430'!$D$29,'430'!$D$31,'430'!$D$33,'430'!$D$35,'430'!$D$37:$D$38,'430'!$D$40,'430'!$D$42</definedName>
    <definedName name="OSRRefD22x_0" localSheetId="88">'433'!$D$25:$D$33,'433'!$D$35:$D$39,'433'!$D$41,'433'!$D$43,'433'!$D$45,'433'!$D$47,'433'!$D$49,'433'!$D$51,'433'!$D$53,'433'!$D$55,'433'!$D$57,'433'!$D$59:$D$60,'433'!$D$62:$D$64,'433'!$D$66:$D$73,'433'!$D$75</definedName>
    <definedName name="OSRRefD22x_0" localSheetId="89">'435'!$D$20</definedName>
    <definedName name="OSRRefD22x_0" localSheetId="90">'444'!$D$25:$D$33,'444'!$D$35:$D$39,'444'!$D$41,'444'!$D$43,'444'!$D$45,'444'!$D$47,'444'!$D$49,'444'!$D$51,'444'!$D$53,'444'!$D$55,'444'!$D$57:$D$58,'444'!$D$60:$D$62,'444'!$D$64,'444'!$D$66:$D$72,'444'!$D$74,'444'!$D$76</definedName>
    <definedName name="OSRRefD22x_0" localSheetId="91">'450'!$D$25:$D$33,'450'!$D$35:$D$39,'450'!$D$41,'450'!$D$43,'450'!$D$45,'450'!$D$47,'450'!$D$49,'450'!$D$51,'450'!$D$53,'450'!$D$55,'450'!$D$57,'450'!$D$59,'450'!$D$61:$D$62,'450'!$D$64:$D$66,'450'!$D$68:$D$73,'450'!$D$75,'450'!$D$77</definedName>
    <definedName name="OSRRefD22x_0" localSheetId="72">'491'!$D$27:$D$34,'491'!$D$36:$D$40,'491'!$D$42,'491'!$D$44,'491'!$D$46,'491'!$D$48:$D$49,'491'!$D$51,'491'!$D$53,'491'!$D$55,'491'!$D$57,'491'!$D$59,'491'!$D$61,'491'!$D$63,'491'!$D$65:$D$67,'491'!$D$69,'491'!$D$71:$D$74,'491'!$D$76,'491'!$D$78:$D$86,'491'!$D$88,'491'!$D$90,'491'!$D$92:$D$93,'491'!$D$95</definedName>
    <definedName name="OSRRefD22x_0" localSheetId="86">'492'!$D$25:$D$33,'492'!$D$35:$D$40,'492'!$D$42,'492'!$D$44,'492'!$D$46,'492'!$D$48,'492'!$D$50,'492'!$D$52,'492'!$D$54,'492'!$D$56,'492'!$D$58,'492'!$D$60,'492'!$D$62:$D$64,'492'!$D$66:$D$68,'492'!$D$70,'492'!$D$72:$D$79,'492'!$D$81,'492'!$D$83,'492'!$D$85:$D$86</definedName>
    <definedName name="OSRRefD22x_0" localSheetId="93">'501'!$D$21:$D$29,'501'!$D$31:$D$36,'501'!$D$38,'501'!$D$40,'501'!$D$42:$D$43,'501'!$D$45,'501'!$D$47,'501'!$D$49:$D$50,'501'!$D$52:$D$53,'501'!$D$55,'501'!$D$57</definedName>
    <definedName name="OSRRefD22x_0" localSheetId="39">'Div 2'!$D$20:$D$29,'Div 2'!$D$31:$D$36,'Div 2'!$D$38,'Div 2'!$D$40,'Div 2'!$D$42,'Div 2'!$D$44,'Div 2'!$D$46,'Div 2'!$D$48,'Div 2'!$D$50,'Div 2'!$D$52:$D$53,'Div 2'!$D$55,'Div 2'!$D$57,'Div 2'!$D$59:$D$61,'Div 2'!$D$63:$D$66,'Div 2'!$D$68,'Div 2'!$D$70,'Div 2'!$D$72:$D$76,'Div 2'!$D$78:$D$79,'Div 2'!$D$81,'Div 2'!$D$83:$D$84</definedName>
    <definedName name="OSRRefD22x_0" localSheetId="47">'Div 3'!$D$129:$D$138,'Div 3'!$D$140:$D$146,'Div 3'!$D$148,'Div 3'!$D$150,'Div 3'!$D$152,'Div 3'!$D$154:$D$155,'Div 3'!$D$157:$D$158,'Div 3'!$D$160,'Div 3'!$D$162,'Div 3'!$D$164,'Div 3'!$D$166:$D$167,'Div 3'!$D$169,'Div 3'!$D$171,'Div 3'!$D$173,'Div 3'!$D$175:$D$176,'Div 3'!$D$178,'Div 3'!$D$180,'Div 3'!$D$182:$D$185,'Div 3'!$D$187:$D$189,'Div 3'!$D$191:$D$195,'Div 3'!$D$197:$D$198,'Div 3'!$D$200:$D$206,'Div 3'!$D$208:$D$209,'Div 3'!$D$211,'Div 3'!$D$213:$D$215,'Div 3'!$D$217</definedName>
    <definedName name="OSRRefD22x_0" localSheetId="70">'Div 4'!$D$28:$D$36,'Div 4'!$D$38:$D$43,'Div 4'!$D$45,'Div 4'!$D$47,'Div 4'!$D$49,'Div 4'!$D$51:$D$52,'Div 4'!$D$54,'Div 4'!$D$56,'Div 4'!$D$58,'Div 4'!$D$60,'Div 4'!$D$62,'Div 4'!$D$64,'Div 4'!$D$66,'Div 4'!$D$68,'Div 4'!$D$70,'Div 4'!$D$72:$D$74,'Div 4'!$D$76,'Div 4'!$D$78:$D$81,'Div 4'!$D$83:$D$84,'Div 4'!$D$86:$D$94,'Div 4'!$D$96,'Div 4'!$D$98,'Div 4'!$D$100:$D$101,'Div 4'!$D$103</definedName>
    <definedName name="OSRRefD22x_0" localSheetId="92">'Div 5'!$D$21:$D$29,'Div 5'!$D$31:$D$36,'Div 5'!$D$38,'Div 5'!$D$40,'Div 5'!$D$42:$D$43,'Div 5'!$D$45,'Div 5'!$D$47,'Div 5'!$D$49:$D$50,'Div 5'!$D$52:$D$53,'Div 5'!$D$55,'Div 5'!$D$57</definedName>
    <definedName name="OSRRefD22x_0" localSheetId="61">'Div 6'!$D$53:$D$61,'Div 6'!$D$63:$D$67,'Div 6'!$D$69,'Div 6'!$D$71,'Div 6'!$D$73,'Div 6'!$D$75:$D$76,'Div 6'!$D$78,'Div 6'!$D$80,'Div 6'!$D$82:$D$84,'Div 6'!$D$86,'Div 6'!$D$88</definedName>
    <definedName name="OSRRefD22x_0" localSheetId="2">Summary!$D$155:$D$164,Summary!$D$166:$D$172,Summary!$D$174,Summary!$D$176,Summary!$D$178,Summary!$D$180:$D$181,Summary!$D$183:$D$184,Summary!$D$186,Summary!$D$188,Summary!$D$190,Summary!$D$192:$D$193,Summary!$D$195,Summary!$D$197,Summary!$D$199,Summary!$D$201:$D$202,Summary!$D$204,Summary!$D$206,Summary!$D$208,Summary!$D$210:$D$213,Summary!$D$215:$D$217,Summary!$D$219:$D$223,Summary!$D$225:$D$226,Summary!$D$228:$D$236,Summary!$D$238:$D$239,Summary!$D$241,Summary!$D$243:$D$245,Summary!$D$247</definedName>
    <definedName name="OSRRefD25x_0" localSheetId="48">'300'!$D$212:$D$215</definedName>
    <definedName name="OSRRefD25x_0" localSheetId="49">'300 &amp; 317'!$D$234:$D$239</definedName>
    <definedName name="OSRRefD25x_0" localSheetId="50">'301'!$D$96</definedName>
    <definedName name="OSRRefD25x_0" localSheetId="53">'308'!$D$108:$D$110</definedName>
    <definedName name="OSRRefD25x_0" localSheetId="71">'310 &amp; 491'!$D$107:$D$109</definedName>
    <definedName name="OSRRefD25x_0" localSheetId="54">'311'!$D$108:$D$110</definedName>
    <definedName name="OSRRefD25x_0" localSheetId="57">'315'!$D$134:$D$135</definedName>
    <definedName name="OSRRefD25x_0" localSheetId="60">'316'!$D$75</definedName>
    <definedName name="OSRRefD25x_0" localSheetId="62">'317'!$D$91:$D$93</definedName>
    <definedName name="OSRRefD25x_0" localSheetId="56">'331'!$D$152:$D$153</definedName>
    <definedName name="OSRRefD25x_0" localSheetId="59">'332'!$D$77:$D$78</definedName>
    <definedName name="OSRRefD25x_0" localSheetId="73">'405'!$D$79</definedName>
    <definedName name="OSRRefD25x_0" localSheetId="75">'411'!$D$69:$D$70</definedName>
    <definedName name="OSRRefD25x_0" localSheetId="79">'415'!$D$79</definedName>
    <definedName name="OSRRefD25x_0" localSheetId="80">'418'!$D$64</definedName>
    <definedName name="OSRRefD25x_0" localSheetId="82">'423'!$D$30</definedName>
    <definedName name="OSRRefD25x_0" localSheetId="85">'455'!$D$21:$D$22</definedName>
    <definedName name="OSRRefD25x_0" localSheetId="72">'491'!$D$98:$D$100</definedName>
    <definedName name="OSRRefD25x_0" localSheetId="93">'501'!$D$60</definedName>
    <definedName name="OSRRefD25x_0" localSheetId="47">'Div 3'!$D$220:$D$223</definedName>
    <definedName name="OSRRefD25x_0" localSheetId="70">'Div 4'!$D$106:$D$108</definedName>
    <definedName name="OSRRefD25x_0" localSheetId="92">'Div 5'!$D$60</definedName>
    <definedName name="OSRRefD25x_0" localSheetId="61">'Div 6'!$D$91:$D$93</definedName>
    <definedName name="OSRRefD25x_0" localSheetId="2">Summary!$D$250:$D$257</definedName>
    <definedName name="OSRRefH13x_0" localSheetId="48">'300'!$H$13:$H$77</definedName>
    <definedName name="OSRRefH13x_0" localSheetId="49">'300 &amp; 317'!$H$13:$H$91</definedName>
    <definedName name="OSRRefH13x_0" localSheetId="52">'307'!$H$13:$H$25</definedName>
    <definedName name="OSRRefH13x_0" localSheetId="53">'308'!$H$13:$H$36</definedName>
    <definedName name="OSRRefH13x_0" localSheetId="63">'310'!$H$13:$H$21</definedName>
    <definedName name="OSRRefH13x_0" localSheetId="71">'310 &amp; 491'!$H$13:$H$25</definedName>
    <definedName name="OSRRefH13x_0" localSheetId="54">'311'!$H$13:$H$36</definedName>
    <definedName name="OSRRefH13x_0" localSheetId="65">'313'!$H$13:$H$16</definedName>
    <definedName name="OSRRefH13x_0" localSheetId="57">'315'!$H$13:$H$54</definedName>
    <definedName name="OSRRefH13x_0" localSheetId="60">'316'!$H$13:$H$23</definedName>
    <definedName name="OSRRefH13x_0" localSheetId="62">'317'!$H$13:$H$33</definedName>
    <definedName name="OSRRefH13x_0" localSheetId="66">'321'!$H$13:$H$14</definedName>
    <definedName name="OSRRefH13x_0" localSheetId="55">'324'!$H$13:$H$16</definedName>
    <definedName name="OSRRefH13x_0" localSheetId="68">'325'!$H$13:$H$14</definedName>
    <definedName name="OSRRefH13x_0" localSheetId="58">'326'!$H$13:$H$34</definedName>
    <definedName name="OSRRefH13x_0" localSheetId="69">'327'!$H$13:$H$14</definedName>
    <definedName name="OSRRefH13x_0" localSheetId="51">'330'!$H$13:$H$28</definedName>
    <definedName name="OSRRefH13x_0" localSheetId="56">'331'!$H$13:$H$54</definedName>
    <definedName name="OSRRefH13x_0" localSheetId="59">'332'!$H$13:$H$23</definedName>
    <definedName name="OSRRefH13x_0" localSheetId="73">'405'!$H$13:$H$14</definedName>
    <definedName name="OSRRefH13x_0" localSheetId="78">'414'!$H$13</definedName>
    <definedName name="OSRRefH13x_0" localSheetId="79">'415'!$H$13:$H$14</definedName>
    <definedName name="OSRRefH13x_0" localSheetId="81">'420'!$H$13</definedName>
    <definedName name="OSRRefH13x_0" localSheetId="84">'425'!$H$13</definedName>
    <definedName name="OSRRefH13x_0" localSheetId="88">'433'!$H$13:$H$15</definedName>
    <definedName name="OSRRefH13x_0" localSheetId="90">'444'!$H$13:$H$15</definedName>
    <definedName name="OSRRefH13x_0" localSheetId="91">'450'!$H$13:$H$15</definedName>
    <definedName name="OSRRefH13x_0" localSheetId="72">'491'!$H$13:$H$17</definedName>
    <definedName name="OSRRefH13x_0" localSheetId="86">'492'!$H$13:$H$15</definedName>
    <definedName name="OSRRefH13x_0" localSheetId="93">'501'!$H$13</definedName>
    <definedName name="OSRRefH13x_0" localSheetId="47">'Div 3'!$H$13:$H$80</definedName>
    <definedName name="OSRRefH13x_0" localSheetId="70">'Div 4'!$H$13:$H$18</definedName>
    <definedName name="OSRRefH13x_0" localSheetId="92">'Div 5'!$H$13</definedName>
    <definedName name="OSRRefH13x_0" localSheetId="61">'Div 6'!$H$13:$H$33</definedName>
    <definedName name="OSRRefH13x_0" localSheetId="2">Summary!$H$13:$H$98</definedName>
    <definedName name="OSRRefH16x_0" localSheetId="48">'300'!$H$80:$H$118</definedName>
    <definedName name="OSRRefH16x_0" localSheetId="49">'300 &amp; 317'!$H$94:$H$140</definedName>
    <definedName name="OSRRefH16x_0" localSheetId="50">'301'!$H$15</definedName>
    <definedName name="OSRRefH16x_0" localSheetId="52">'307'!$H$28:$H$37</definedName>
    <definedName name="OSRRefH16x_0" localSheetId="53">'308'!$H$39:$H$55</definedName>
    <definedName name="OSRRefH16x_0" localSheetId="63">'310'!$H$24:$H$25</definedName>
    <definedName name="OSRRefH16x_0" localSheetId="71">'310 &amp; 491'!$H$28:$H$29</definedName>
    <definedName name="OSRRefH16x_0" localSheetId="54">'311'!$H$39:$H$55</definedName>
    <definedName name="OSRRefH16x_0" localSheetId="65">'313'!$H$19</definedName>
    <definedName name="OSRRefH16x_0" localSheetId="57">'315'!$H$57:$H$80</definedName>
    <definedName name="OSRRefH16x_0" localSheetId="60">'316'!$H$26</definedName>
    <definedName name="OSRRefH16x_0" localSheetId="62">'317'!$H$36:$H$47</definedName>
    <definedName name="OSRRefH16x_0" localSheetId="66">'321'!$H$17:$H$18</definedName>
    <definedName name="OSRRefH16x_0" localSheetId="67">'322'!$H$15</definedName>
    <definedName name="OSRRefH16x_0" localSheetId="55">'324'!$H$19:$H$21</definedName>
    <definedName name="OSRRefH16x_0" localSheetId="68">'325'!$H$17:$H$18</definedName>
    <definedName name="OSRRefH16x_0" localSheetId="58">'326'!$H$37:$H$43</definedName>
    <definedName name="OSRRefH16x_0" localSheetId="69">'327'!$H$17:$H$18</definedName>
    <definedName name="OSRRefH16x_0" localSheetId="51">'330'!$H$31:$H$40</definedName>
    <definedName name="OSRRefH16x_0" localSheetId="56">'331'!$H$57:$H$80</definedName>
    <definedName name="OSRRefH16x_0" localSheetId="59">'332'!$H$26:$H$28</definedName>
    <definedName name="OSRRefH16x_0" localSheetId="73">'405'!$H$17:$H$18</definedName>
    <definedName name="OSRRefH16x_0" localSheetId="79">'415'!$H$17:$H$18</definedName>
    <definedName name="OSRRefH16x_0" localSheetId="80">'418'!$H$15</definedName>
    <definedName name="OSRRefH16x_0" localSheetId="84">'425'!$H$16</definedName>
    <definedName name="OSRRefH16x_0" localSheetId="88">'433'!$H$18:$H$19</definedName>
    <definedName name="OSRRefH16x_0" localSheetId="90">'444'!$H$18:$H$19</definedName>
    <definedName name="OSRRefH16x_0" localSheetId="91">'450'!$H$18:$H$19</definedName>
    <definedName name="OSRRefH16x_0" localSheetId="72">'491'!$H$20:$H$21</definedName>
    <definedName name="OSRRefH16x_0" localSheetId="86">'492'!$H$18:$H$19</definedName>
    <definedName name="OSRRefH16x_0" localSheetId="47">'Div 3'!$H$83:$H$123</definedName>
    <definedName name="OSRRefH16x_0" localSheetId="70">'Div 4'!$H$21:$H$22</definedName>
    <definedName name="OSRRefH16x_0" localSheetId="61">'Div 6'!$H$36:$H$47</definedName>
    <definedName name="OSRRefH16x_0" localSheetId="2">Summary!$H$101:$H$149</definedName>
    <definedName name="OSRRefH22_0x_0" localSheetId="40">'200'!$H$20</definedName>
    <definedName name="OSRRefH22_0x_0" localSheetId="41">'201'!$H$20:$H$27</definedName>
    <definedName name="OSRRefH22_0x_0" localSheetId="42">'202'!$H$20:$H$27</definedName>
    <definedName name="OSRRefH22_0x_0" localSheetId="43">'203'!$H$20:$H$28</definedName>
    <definedName name="OSRRefH22_0x_0" localSheetId="44">'204'!$H$20:$H$28</definedName>
    <definedName name="OSRRefH22_0x_0" localSheetId="45">'205'!$H$20:$H$27</definedName>
    <definedName name="OSRRefH22_0x_0" localSheetId="46">'206'!$H$20:$H$26</definedName>
    <definedName name="OSRRefH22_0x_0" localSheetId="48">'300'!$H$124:$H$133</definedName>
    <definedName name="OSRRefH22_0x_0" localSheetId="49">'300 &amp; 317'!$H$146:$H$155</definedName>
    <definedName name="OSRRefH22_0x_0" localSheetId="50">'301'!$H$21:$H$30</definedName>
    <definedName name="OSRRefH22_0x_0" localSheetId="52">'307'!$H$43:$H$45</definedName>
    <definedName name="OSRRefH22_0x_0" localSheetId="53">'308'!$H$61:$H$69</definedName>
    <definedName name="OSRRefH22_0x_0" localSheetId="64">'309'!$H$20</definedName>
    <definedName name="OSRRefH22_0x_0" localSheetId="63">'310'!$H$31:$H$38</definedName>
    <definedName name="OSRRefH22_0x_0" localSheetId="71">'310 &amp; 491'!$H$35:$H$42</definedName>
    <definedName name="OSRRefH22_0x_0" localSheetId="54">'311'!$H$61:$H$69</definedName>
    <definedName name="OSRRefH22_0x_0" localSheetId="65">'313'!$H$25:$H$32</definedName>
    <definedName name="OSRRefH22_0x_0" localSheetId="57">'315'!$H$86:$H$93</definedName>
    <definedName name="OSRRefH22_0x_0" localSheetId="60">'316'!$H$32:$H$39</definedName>
    <definedName name="OSRRefH22_0x_0" localSheetId="62">'317'!$H$53:$H$61</definedName>
    <definedName name="OSRRefH22_0x_0" localSheetId="66">'321'!$H$24:$H$31</definedName>
    <definedName name="OSRRefH22_0x_0" localSheetId="67">'322'!$H$21:$H$25</definedName>
    <definedName name="OSRRefH22_0x_0" localSheetId="68">'325'!$H$24:$H$31</definedName>
    <definedName name="OSRRefH22_0x_0" localSheetId="58">'326'!$H$49:$H$56</definedName>
    <definedName name="OSRRefH22_0x_0" localSheetId="69">'327'!$H$24</definedName>
    <definedName name="OSRRefH22_0x_0" localSheetId="51">'330'!$H$46:$H$49</definedName>
    <definedName name="OSRRefH22_0x_0" localSheetId="56">'331'!$H$86:$H$93</definedName>
    <definedName name="OSRRefH22_0x_0" localSheetId="59">'332'!$H$34:$H$41</definedName>
    <definedName name="OSRRefH22_0x_0" localSheetId="73">'405'!$H$24:$H$31</definedName>
    <definedName name="OSRRefH22_0x_0" localSheetId="74">'406'!$H$20</definedName>
    <definedName name="OSRRefH22_0x_0" localSheetId="75">'411'!$H$20:$H$27</definedName>
    <definedName name="OSRRefH22_0x_0" localSheetId="76">'412'!$H$20</definedName>
    <definedName name="OSRRefH22_0x_0" localSheetId="77">'413'!$H$20:$H$24</definedName>
    <definedName name="OSRRefH22_0x_0" localSheetId="78">'414'!$H$21</definedName>
    <definedName name="OSRRefH22_0x_0" localSheetId="79">'415'!$H$24:$H$31</definedName>
    <definedName name="OSRRefH22_0x_0" localSheetId="80">'418'!$H$21:$H$28</definedName>
    <definedName name="OSRRefH22_0x_0" localSheetId="81">'420'!$H$21</definedName>
    <definedName name="OSRRefH22_0x_0" localSheetId="82">'423'!$H$20:$H$21</definedName>
    <definedName name="OSRRefH22_0x_0" localSheetId="83">'424'!$H$20</definedName>
    <definedName name="OSRRefH22_0x_0" localSheetId="84">'425'!$H$22:$H$26</definedName>
    <definedName name="OSRRefH22_0x_0" localSheetId="87">'430'!$H$20:$H$27</definedName>
    <definedName name="OSRRefH22_0x_0" localSheetId="88">'433'!$H$25:$H$33</definedName>
    <definedName name="OSRRefH22_0x_0" localSheetId="89">'435'!$H$20</definedName>
    <definedName name="OSRRefH22_0x_0" localSheetId="90">'444'!$H$25:$H$33</definedName>
    <definedName name="OSRRefH22_0x_0" localSheetId="91">'450'!$H$25:$H$33</definedName>
    <definedName name="OSRRefH22_0x_0" localSheetId="72">'491'!$H$27:$H$34</definedName>
    <definedName name="OSRRefH22_0x_0" localSheetId="86">'492'!$H$25:$H$33</definedName>
    <definedName name="OSRRefH22_0x_0" localSheetId="93">'501'!$H$21:$H$29</definedName>
    <definedName name="OSRRefH22_0x_0" localSheetId="39">'Div 2'!$H$20:$H$29</definedName>
    <definedName name="OSRRefH22_0x_0" localSheetId="47">'Div 3'!$H$129:$H$138</definedName>
    <definedName name="OSRRefH22_0x_0" localSheetId="70">'Div 4'!$H$28:$H$36</definedName>
    <definedName name="OSRRefH22_0x_0" localSheetId="92">'Div 5'!$H$21:$H$29</definedName>
    <definedName name="OSRRefH22_0x_0" localSheetId="61">'Div 6'!$H$53:$H$61</definedName>
    <definedName name="OSRRefH22_0x_0" localSheetId="2">Summary!$H$155:$H$164</definedName>
    <definedName name="OSRRefH22_10x_0" localSheetId="41">'201'!$H$52</definedName>
    <definedName name="OSRRefH22_10x_0" localSheetId="42">'202'!$H$53</definedName>
    <definedName name="OSRRefH22_10x_0" localSheetId="43">'203'!$H$54:$H$57</definedName>
    <definedName name="OSRRefH22_10x_0" localSheetId="48">'300'!$H$161:$H$162</definedName>
    <definedName name="OSRRefH22_10x_0" localSheetId="49">'300 &amp; 317'!$H$183:$H$184</definedName>
    <definedName name="OSRRefH22_10x_0" localSheetId="50">'301'!$H$58</definedName>
    <definedName name="OSRRefH22_10x_0" localSheetId="52">'307'!$H$70:$H$73</definedName>
    <definedName name="OSRRefH22_10x_0" localSheetId="53">'308'!$H$97</definedName>
    <definedName name="OSRRefH22_10x_0" localSheetId="63">'310'!$H$62:$H$63</definedName>
    <definedName name="OSRRefH22_10x_0" localSheetId="71">'310 &amp; 491'!$H$68</definedName>
    <definedName name="OSRRefH22_10x_0" localSheetId="54">'311'!$H$97</definedName>
    <definedName name="OSRRefH22_10x_0" localSheetId="57">'315'!$H$122:$H$123</definedName>
    <definedName name="OSRRefH22_10x_0" localSheetId="60">'316'!$H$64:$H$68</definedName>
    <definedName name="OSRRefH22_10x_0" localSheetId="62">'317'!$H$88</definedName>
    <definedName name="OSRRefH22_10x_0" localSheetId="66">'321'!$H$60</definedName>
    <definedName name="OSRRefH22_10x_0" localSheetId="68">'325'!$H$55:$H$58</definedName>
    <definedName name="OSRRefH22_10x_0" localSheetId="58">'326'!$H$80</definedName>
    <definedName name="OSRRefH22_10x_0" localSheetId="51">'330'!$H$75:$H$78</definedName>
    <definedName name="OSRRefH22_10x_0" localSheetId="56">'331'!$H$119:$H$120</definedName>
    <definedName name="OSRRefH22_10x_0" localSheetId="59">'332'!$H$66:$H$70</definedName>
    <definedName name="OSRRefH22_10x_0" localSheetId="73">'405'!$H$55:$H$56</definedName>
    <definedName name="OSRRefH22_10x_0" localSheetId="75">'411'!$H$54:$H$56</definedName>
    <definedName name="OSRRefH22_10x_0" localSheetId="79">'415'!$H$55:$H$56</definedName>
    <definedName name="OSRRefH22_10x_0" localSheetId="80">'418'!$H$53</definedName>
    <definedName name="OSRRefH22_10x_0" localSheetId="88">'433'!$H$57</definedName>
    <definedName name="OSRRefH22_10x_0" localSheetId="90">'444'!$H$57:$H$58</definedName>
    <definedName name="OSRRefH22_10x_0" localSheetId="91">'450'!$H$57</definedName>
    <definedName name="OSRRefH22_10x_0" localSheetId="72">'491'!$H$59</definedName>
    <definedName name="OSRRefH22_10x_0" localSheetId="86">'492'!$H$58</definedName>
    <definedName name="OSRRefH22_10x_0" localSheetId="93">'501'!$H$57</definedName>
    <definedName name="OSRRefH22_10x_0" localSheetId="39">'Div 2'!$H$55</definedName>
    <definedName name="OSRRefH22_10x_0" localSheetId="47">'Div 3'!$H$166:$H$167</definedName>
    <definedName name="OSRRefH22_10x_0" localSheetId="70">'Div 4'!$H$62</definedName>
    <definedName name="OSRRefH22_10x_0" localSheetId="92">'Div 5'!$H$57</definedName>
    <definedName name="OSRRefH22_10x_0" localSheetId="61">'Div 6'!$H$88</definedName>
    <definedName name="OSRRefH22_10x_0" localSheetId="2">Summary!$H$192:$H$193</definedName>
    <definedName name="OSRRefH22_11x_0" localSheetId="41">'201'!$H$54:$H$55</definedName>
    <definedName name="OSRRefH22_11x_0" localSheetId="42">'202'!$H$55</definedName>
    <definedName name="OSRRefH22_11x_0" localSheetId="43">'203'!$H$59</definedName>
    <definedName name="OSRRefH22_11x_0" localSheetId="48">'300'!$H$164</definedName>
    <definedName name="OSRRefH22_11x_0" localSheetId="49">'300 &amp; 317'!$H$186</definedName>
    <definedName name="OSRRefH22_11x_0" localSheetId="50">'301'!$H$60</definedName>
    <definedName name="OSRRefH22_11x_0" localSheetId="52">'307'!$H$75</definedName>
    <definedName name="OSRRefH22_11x_0" localSheetId="53">'308'!$H$99:$H$100</definedName>
    <definedName name="OSRRefH22_11x_0" localSheetId="63">'310'!$H$65</definedName>
    <definedName name="OSRRefH22_11x_0" localSheetId="71">'310 &amp; 491'!$H$70</definedName>
    <definedName name="OSRRefH22_11x_0" localSheetId="54">'311'!$H$99:$H$100</definedName>
    <definedName name="OSRRefH22_11x_0" localSheetId="57">'315'!$H$125:$H$127</definedName>
    <definedName name="OSRRefH22_11x_0" localSheetId="60">'316'!$H$70</definedName>
    <definedName name="OSRRefH22_11x_0" localSheetId="66">'321'!$H$62</definedName>
    <definedName name="OSRRefH22_11x_0" localSheetId="68">'325'!$H$60:$H$63</definedName>
    <definedName name="OSRRefH22_11x_0" localSheetId="58">'326'!$H$82:$H$84</definedName>
    <definedName name="OSRRefH22_11x_0" localSheetId="51">'330'!$H$80</definedName>
    <definedName name="OSRRefH22_11x_0" localSheetId="56">'331'!$H$122</definedName>
    <definedName name="OSRRefH22_11x_0" localSheetId="59">'332'!$H$72</definedName>
    <definedName name="OSRRefH22_11x_0" localSheetId="73">'405'!$H$58:$H$61</definedName>
    <definedName name="OSRRefH22_11x_0" localSheetId="75">'411'!$H$58:$H$59</definedName>
    <definedName name="OSRRefH22_11x_0" localSheetId="79">'415'!$H$58:$H$61</definedName>
    <definedName name="OSRRefH22_11x_0" localSheetId="80">'418'!$H$55:$H$59</definedName>
    <definedName name="OSRRefH22_11x_0" localSheetId="88">'433'!$H$59:$H$60</definedName>
    <definedName name="OSRRefH22_11x_0" localSheetId="90">'444'!$H$60:$H$62</definedName>
    <definedName name="OSRRefH22_11x_0" localSheetId="91">'450'!$H$59</definedName>
    <definedName name="OSRRefH22_11x_0" localSheetId="72">'491'!$H$61</definedName>
    <definedName name="OSRRefH22_11x_0" localSheetId="86">'492'!$H$60</definedName>
    <definedName name="OSRRefH22_11x_0" localSheetId="39">'Div 2'!$H$57</definedName>
    <definedName name="OSRRefH22_11x_0" localSheetId="47">'Div 3'!$H$169</definedName>
    <definedName name="OSRRefH22_11x_0" localSheetId="70">'Div 4'!$H$64</definedName>
    <definedName name="OSRRefH22_11x_0" localSheetId="2">Summary!$H$195</definedName>
    <definedName name="OSRRefH22_12x_0" localSheetId="41">'201'!$H$57</definedName>
    <definedName name="OSRRefH22_12x_0" localSheetId="43">'203'!$H$61</definedName>
    <definedName name="OSRRefH22_12x_0" localSheetId="48">'300'!$H$166</definedName>
    <definedName name="OSRRefH22_12x_0" localSheetId="49">'300 &amp; 317'!$H$188</definedName>
    <definedName name="OSRRefH22_12x_0" localSheetId="50">'301'!$H$62</definedName>
    <definedName name="OSRRefH22_12x_0" localSheetId="52">'307'!$H$77</definedName>
    <definedName name="OSRRefH22_12x_0" localSheetId="53">'308'!$H$102:$H$103</definedName>
    <definedName name="OSRRefH22_12x_0" localSheetId="63">'310'!$H$67:$H$70</definedName>
    <definedName name="OSRRefH22_12x_0" localSheetId="71">'310 &amp; 491'!$H$72</definedName>
    <definedName name="OSRRefH22_12x_0" localSheetId="54">'311'!$H$102:$H$103</definedName>
    <definedName name="OSRRefH22_12x_0" localSheetId="57">'315'!$H$129</definedName>
    <definedName name="OSRRefH22_12x_0" localSheetId="60">'316'!$H$72</definedName>
    <definedName name="OSRRefH22_12x_0" localSheetId="68">'325'!$H$65</definedName>
    <definedName name="OSRRefH22_12x_0" localSheetId="58">'326'!$H$86:$H$88</definedName>
    <definedName name="OSRRefH22_12x_0" localSheetId="51">'330'!$H$82</definedName>
    <definedName name="OSRRefH22_12x_0" localSheetId="56">'331'!$H$124</definedName>
    <definedName name="OSRRefH22_12x_0" localSheetId="59">'332'!$H$74</definedName>
    <definedName name="OSRRefH22_12x_0" localSheetId="73">'405'!$H$63</definedName>
    <definedName name="OSRRefH22_12x_0" localSheetId="75">'411'!$H$61</definedName>
    <definedName name="OSRRefH22_12x_0" localSheetId="79">'415'!$H$63</definedName>
    <definedName name="OSRRefH22_12x_0" localSheetId="80">'418'!$H$61</definedName>
    <definedName name="OSRRefH22_12x_0" localSheetId="88">'433'!$H$62:$H$64</definedName>
    <definedName name="OSRRefH22_12x_0" localSheetId="90">'444'!$H$64</definedName>
    <definedName name="OSRRefH22_12x_0" localSheetId="91">'450'!$H$61:$H$62</definedName>
    <definedName name="OSRRefH22_12x_0" localSheetId="72">'491'!$H$63</definedName>
    <definedName name="OSRRefH22_12x_0" localSheetId="86">'492'!$H$62:$H$64</definedName>
    <definedName name="OSRRefH22_12x_0" localSheetId="39">'Div 2'!$H$59:$H$61</definedName>
    <definedName name="OSRRefH22_12x_0" localSheetId="47">'Div 3'!$H$171</definedName>
    <definedName name="OSRRefH22_12x_0" localSheetId="70">'Div 4'!$H$66</definedName>
    <definedName name="OSRRefH22_12x_0" localSheetId="2">Summary!$H$197</definedName>
    <definedName name="OSRRefH22_13x_0" localSheetId="41">'201'!$H$59</definedName>
    <definedName name="OSRRefH22_13x_0" localSheetId="43">'203'!$H$63</definedName>
    <definedName name="OSRRefH22_13x_0" localSheetId="48">'300'!$H$168:$H$169</definedName>
    <definedName name="OSRRefH22_13x_0" localSheetId="49">'300 &amp; 317'!$H$190:$H$191</definedName>
    <definedName name="OSRRefH22_13x_0" localSheetId="50">'301'!$H$64</definedName>
    <definedName name="OSRRefH22_13x_0" localSheetId="53">'308'!$H$105</definedName>
    <definedName name="OSRRefH22_13x_0" localSheetId="63">'310'!$H$72:$H$76</definedName>
    <definedName name="OSRRefH22_13x_0" localSheetId="71">'310 &amp; 491'!$H$74:$H$76</definedName>
    <definedName name="OSRRefH22_13x_0" localSheetId="54">'311'!$H$105</definedName>
    <definedName name="OSRRefH22_13x_0" localSheetId="57">'315'!$H$131</definedName>
    <definedName name="OSRRefH22_13x_0" localSheetId="68">'325'!$H$67</definedName>
    <definedName name="OSRRefH22_13x_0" localSheetId="58">'326'!$H$90</definedName>
    <definedName name="OSRRefH22_13x_0" localSheetId="56">'331'!$H$126:$H$128</definedName>
    <definedName name="OSRRefH22_13x_0" localSheetId="73">'405'!$H$65:$H$72</definedName>
    <definedName name="OSRRefH22_13x_0" localSheetId="75">'411'!$H$63:$H$64</definedName>
    <definedName name="OSRRefH22_13x_0" localSheetId="79">'415'!$H$65:$H$70</definedName>
    <definedName name="OSRRefH22_13x_0" localSheetId="88">'433'!$H$66:$H$73</definedName>
    <definedName name="OSRRefH22_13x_0" localSheetId="90">'444'!$H$66:$H$72</definedName>
    <definedName name="OSRRefH22_13x_0" localSheetId="91">'450'!$H$64:$H$66</definedName>
    <definedName name="OSRRefH22_13x_0" localSheetId="72">'491'!$H$65:$H$67</definedName>
    <definedName name="OSRRefH22_13x_0" localSheetId="86">'492'!$H$66:$H$68</definedName>
    <definedName name="OSRRefH22_13x_0" localSheetId="39">'Div 2'!$H$63:$H$66</definedName>
    <definedName name="OSRRefH22_13x_0" localSheetId="47">'Div 3'!$H$173</definedName>
    <definedName name="OSRRefH22_13x_0" localSheetId="70">'Div 4'!$H$68</definedName>
    <definedName name="OSRRefH22_13x_0" localSheetId="2">Summary!$H$199</definedName>
    <definedName name="OSRRefH22_14x_0" localSheetId="48">'300'!$H$171</definedName>
    <definedName name="OSRRefH22_14x_0" localSheetId="49">'300 &amp; 317'!$H$193</definedName>
    <definedName name="OSRRefH22_14x_0" localSheetId="50">'301'!$H$66</definedName>
    <definedName name="OSRRefH22_14x_0" localSheetId="63">'310'!$H$78</definedName>
    <definedName name="OSRRefH22_14x_0" localSheetId="71">'310 &amp; 491'!$H$78</definedName>
    <definedName name="OSRRefH22_14x_0" localSheetId="58">'326'!$H$92:$H$95</definedName>
    <definedName name="OSRRefH22_14x_0" localSheetId="56">'331'!$H$130:$H$131</definedName>
    <definedName name="OSRRefH22_14x_0" localSheetId="73">'405'!$H$74</definedName>
    <definedName name="OSRRefH22_14x_0" localSheetId="75">'411'!$H$66</definedName>
    <definedName name="OSRRefH22_14x_0" localSheetId="79">'415'!$H$72</definedName>
    <definedName name="OSRRefH22_14x_0" localSheetId="88">'433'!$H$75</definedName>
    <definedName name="OSRRefH22_14x_0" localSheetId="90">'444'!$H$74</definedName>
    <definedName name="OSRRefH22_14x_0" localSheetId="91">'450'!$H$68:$H$73</definedName>
    <definedName name="OSRRefH22_14x_0" localSheetId="72">'491'!$H$69</definedName>
    <definedName name="OSRRefH22_14x_0" localSheetId="86">'492'!$H$70</definedName>
    <definedName name="OSRRefH22_14x_0" localSheetId="39">'Div 2'!$H$68</definedName>
    <definedName name="OSRRefH22_14x_0" localSheetId="47">'Div 3'!$H$175:$H$176</definedName>
    <definedName name="OSRRefH22_14x_0" localSheetId="70">'Div 4'!$H$70</definedName>
    <definedName name="OSRRefH22_14x_0" localSheetId="2">Summary!$H$201:$H$202</definedName>
    <definedName name="OSRRefH22_15x_0" localSheetId="48">'300'!$H$173</definedName>
    <definedName name="OSRRefH22_15x_0" localSheetId="49">'300 &amp; 317'!$H$195</definedName>
    <definedName name="OSRRefH22_15x_0" localSheetId="50">'301'!$H$68:$H$71</definedName>
    <definedName name="OSRRefH22_15x_0" localSheetId="63">'310'!$H$80</definedName>
    <definedName name="OSRRefH22_15x_0" localSheetId="71">'310 &amp; 491'!$H$80:$H$83</definedName>
    <definedName name="OSRRefH22_15x_0" localSheetId="58">'326'!$H$97</definedName>
    <definedName name="OSRRefH22_15x_0" localSheetId="56">'331'!$H$133:$H$135</definedName>
    <definedName name="OSRRefH22_15x_0" localSheetId="73">'405'!$H$76</definedName>
    <definedName name="OSRRefH22_15x_0" localSheetId="79">'415'!$H$74</definedName>
    <definedName name="OSRRefH22_15x_0" localSheetId="90">'444'!$H$76</definedName>
    <definedName name="OSRRefH22_15x_0" localSheetId="91">'450'!$H$75</definedName>
    <definedName name="OSRRefH22_15x_0" localSheetId="72">'491'!$H$71:$H$74</definedName>
    <definedName name="OSRRefH22_15x_0" localSheetId="86">'492'!$H$72:$H$79</definedName>
    <definedName name="OSRRefH22_15x_0" localSheetId="39">'Div 2'!$H$70</definedName>
    <definedName name="OSRRefH22_15x_0" localSheetId="47">'Div 3'!$H$178</definedName>
    <definedName name="OSRRefH22_15x_0" localSheetId="70">'Div 4'!$H$72:$H$74</definedName>
    <definedName name="OSRRefH22_15x_0" localSheetId="2">Summary!$H$204</definedName>
    <definedName name="OSRRefH22_16x_0" localSheetId="48">'300'!$H$175:$H$178</definedName>
    <definedName name="OSRRefH22_16x_0" localSheetId="49">'300 &amp; 317'!$H$197:$H$200</definedName>
    <definedName name="OSRRefH22_16x_0" localSheetId="50">'301'!$H$73:$H$75</definedName>
    <definedName name="OSRRefH22_16x_0" localSheetId="71">'310 &amp; 491'!$H$85</definedName>
    <definedName name="OSRRefH22_16x_0" localSheetId="58">'326'!$H$99</definedName>
    <definedName name="OSRRefH22_16x_0" localSheetId="56">'331'!$H$137:$H$138</definedName>
    <definedName name="OSRRefH22_16x_0" localSheetId="79">'415'!$H$76</definedName>
    <definedName name="OSRRefH22_16x_0" localSheetId="91">'450'!$H$77</definedName>
    <definedName name="OSRRefH22_16x_0" localSheetId="72">'491'!$H$76</definedName>
    <definedName name="OSRRefH22_16x_0" localSheetId="86">'492'!$H$81</definedName>
    <definedName name="OSRRefH22_16x_0" localSheetId="39">'Div 2'!$H$72:$H$76</definedName>
    <definedName name="OSRRefH22_16x_0" localSheetId="47">'Div 3'!$H$180</definedName>
    <definedName name="OSRRefH22_16x_0" localSheetId="70">'Div 4'!$H$76</definedName>
    <definedName name="OSRRefH22_16x_0" localSheetId="2">Summary!$H$206</definedName>
    <definedName name="OSRRefH22_17x_0" localSheetId="48">'300'!$H$180:$H$182</definedName>
    <definedName name="OSRRefH22_17x_0" localSheetId="49">'300 &amp; 317'!$H$202:$H$204</definedName>
    <definedName name="OSRRefH22_17x_0" localSheetId="50">'301'!$H$77</definedName>
    <definedName name="OSRRefH22_17x_0" localSheetId="71">'310 &amp; 491'!$H$87:$H$95</definedName>
    <definedName name="OSRRefH22_17x_0" localSheetId="58">'326'!$H$101</definedName>
    <definedName name="OSRRefH22_17x_0" localSheetId="56">'331'!$H$140:$H$143</definedName>
    <definedName name="OSRRefH22_17x_0" localSheetId="72">'491'!$H$78:$H$86</definedName>
    <definedName name="OSRRefH22_17x_0" localSheetId="86">'492'!$H$83</definedName>
    <definedName name="OSRRefH22_17x_0" localSheetId="39">'Div 2'!$H$78:$H$79</definedName>
    <definedName name="OSRRefH22_17x_0" localSheetId="47">'Div 3'!$H$182:$H$185</definedName>
    <definedName name="OSRRefH22_17x_0" localSheetId="70">'Div 4'!$H$78:$H$81</definedName>
    <definedName name="OSRRefH22_17x_0" localSheetId="2">Summary!$H$208</definedName>
    <definedName name="OSRRefH22_18x_0" localSheetId="48">'300'!$H$184:$H$187</definedName>
    <definedName name="OSRRefH22_18x_0" localSheetId="49">'300 &amp; 317'!$H$206:$H$209</definedName>
    <definedName name="OSRRefH22_18x_0" localSheetId="50">'301'!$H$79:$H$84</definedName>
    <definedName name="OSRRefH22_18x_0" localSheetId="71">'310 &amp; 491'!$H$97</definedName>
    <definedName name="OSRRefH22_18x_0" localSheetId="56">'331'!$H$145</definedName>
    <definedName name="OSRRefH22_18x_0" localSheetId="72">'491'!$H$88</definedName>
    <definedName name="OSRRefH22_18x_0" localSheetId="86">'492'!$H$85:$H$86</definedName>
    <definedName name="OSRRefH22_18x_0" localSheetId="39">'Div 2'!$H$81</definedName>
    <definedName name="OSRRefH22_18x_0" localSheetId="47">'Div 3'!$H$187:$H$189</definedName>
    <definedName name="OSRRefH22_18x_0" localSheetId="70">'Div 4'!$H$83:$H$84</definedName>
    <definedName name="OSRRefH22_18x_0" localSheetId="2">Summary!$H$210:$H$213</definedName>
    <definedName name="OSRRefH22_19x_0" localSheetId="48">'300'!$H$189:$H$190</definedName>
    <definedName name="OSRRefH22_19x_0" localSheetId="49">'300 &amp; 317'!$H$211:$H$212</definedName>
    <definedName name="OSRRefH22_19x_0" localSheetId="50">'301'!$H$86</definedName>
    <definedName name="OSRRefH22_19x_0" localSheetId="71">'310 &amp; 491'!$H$99</definedName>
    <definedName name="OSRRefH22_19x_0" localSheetId="56">'331'!$H$147</definedName>
    <definedName name="OSRRefH22_19x_0" localSheetId="72">'491'!$H$90</definedName>
    <definedName name="OSRRefH22_19x_0" localSheetId="39">'Div 2'!$H$83:$H$84</definedName>
    <definedName name="OSRRefH22_19x_0" localSheetId="47">'Div 3'!$H$191:$H$195</definedName>
    <definedName name="OSRRefH22_19x_0" localSheetId="70">'Div 4'!$H$86:$H$94</definedName>
    <definedName name="OSRRefH22_19x_0" localSheetId="2">Summary!$H$215:$H$217</definedName>
    <definedName name="OSRRefH22_1x_0" localSheetId="40">'200'!$H$22</definedName>
    <definedName name="OSRRefH22_1x_0" localSheetId="41">'201'!$H$29:$H$31</definedName>
    <definedName name="OSRRefH22_1x_0" localSheetId="42">'202'!$H$29:$H$31</definedName>
    <definedName name="OSRRefH22_1x_0" localSheetId="43">'203'!$H$30:$H$34</definedName>
    <definedName name="OSRRefH22_1x_0" localSheetId="44">'204'!$H$30:$H$32</definedName>
    <definedName name="OSRRefH22_1x_0" localSheetId="45">'205'!$H$29</definedName>
    <definedName name="OSRRefH22_1x_0" localSheetId="46">'206'!$H$28:$H$30</definedName>
    <definedName name="OSRRefH22_1x_0" localSheetId="48">'300'!$H$135:$H$141</definedName>
    <definedName name="OSRRefH22_1x_0" localSheetId="49">'300 &amp; 317'!$H$157:$H$163</definedName>
    <definedName name="OSRRefH22_1x_0" localSheetId="50">'301'!$H$32:$H$38</definedName>
    <definedName name="OSRRefH22_1x_0" localSheetId="52">'307'!$H$47:$H$49</definedName>
    <definedName name="OSRRefH22_1x_0" localSheetId="53">'308'!$H$71:$H$77</definedName>
    <definedName name="OSRRefH22_1x_0" localSheetId="64">'309'!$H$22</definedName>
    <definedName name="OSRRefH22_1x_0" localSheetId="63">'310'!$H$40:$H$43</definedName>
    <definedName name="OSRRefH22_1x_0" localSheetId="71">'310 &amp; 491'!$H$44:$H$48</definedName>
    <definedName name="OSRRefH22_1x_0" localSheetId="54">'311'!$H$71:$H$77</definedName>
    <definedName name="OSRRefH22_1x_0" localSheetId="65">'313'!$H$34</definedName>
    <definedName name="OSRRefH22_1x_0" localSheetId="57">'315'!$H$95:$H$99</definedName>
    <definedName name="OSRRefH22_1x_0" localSheetId="60">'316'!$H$41:$H$43</definedName>
    <definedName name="OSRRefH22_1x_0" localSheetId="62">'317'!$H$63:$H$67</definedName>
    <definedName name="OSRRefH22_1x_0" localSheetId="66">'321'!$H$33:$H$36</definedName>
    <definedName name="OSRRefH22_1x_0" localSheetId="67">'322'!$H$27</definedName>
    <definedName name="OSRRefH22_1x_0" localSheetId="68">'325'!$H$33:$H$35</definedName>
    <definedName name="OSRRefH22_1x_0" localSheetId="58">'326'!$H$58:$H$62</definedName>
    <definedName name="OSRRefH22_1x_0" localSheetId="51">'330'!$H$51:$H$53</definedName>
    <definedName name="OSRRefH22_1x_0" localSheetId="56">'331'!$H$95:$H$99</definedName>
    <definedName name="OSRRefH22_1x_0" localSheetId="59">'332'!$H$43:$H$45</definedName>
    <definedName name="OSRRefH22_1x_0" localSheetId="73">'405'!$H$33:$H$36</definedName>
    <definedName name="OSRRefH22_1x_0" localSheetId="74">'406'!$H$22</definedName>
    <definedName name="OSRRefH22_1x_0" localSheetId="75">'411'!$H$29:$H$33</definedName>
    <definedName name="OSRRefH22_1x_0" localSheetId="76">'412'!$H$22</definedName>
    <definedName name="OSRRefH22_1x_0" localSheetId="77">'413'!$H$26</definedName>
    <definedName name="OSRRefH22_1x_0" localSheetId="78">'414'!$H$23</definedName>
    <definedName name="OSRRefH22_1x_0" localSheetId="79">'415'!$H$33:$H$36</definedName>
    <definedName name="OSRRefH22_1x_0" localSheetId="80">'418'!$H$30:$H$33</definedName>
    <definedName name="OSRRefH22_1x_0" localSheetId="82">'423'!$H$23</definedName>
    <definedName name="OSRRefH22_1x_0" localSheetId="83">'424'!$H$22</definedName>
    <definedName name="OSRRefH22_1x_0" localSheetId="84">'425'!$H$28</definedName>
    <definedName name="OSRRefH22_1x_0" localSheetId="87">'430'!$H$29</definedName>
    <definedName name="OSRRefH22_1x_0" localSheetId="88">'433'!$H$35:$H$39</definedName>
    <definedName name="OSRRefH22_1x_0" localSheetId="90">'444'!$H$35:$H$39</definedName>
    <definedName name="OSRRefH22_1x_0" localSheetId="91">'450'!$H$35:$H$39</definedName>
    <definedName name="OSRRefH22_1x_0" localSheetId="72">'491'!$H$36:$H$40</definedName>
    <definedName name="OSRRefH22_1x_0" localSheetId="86">'492'!$H$35:$H$40</definedName>
    <definedName name="OSRRefH22_1x_0" localSheetId="93">'501'!$H$31:$H$36</definedName>
    <definedName name="OSRRefH22_1x_0" localSheetId="39">'Div 2'!$H$31:$H$36</definedName>
    <definedName name="OSRRefH22_1x_0" localSheetId="47">'Div 3'!$H$140:$H$146</definedName>
    <definedName name="OSRRefH22_1x_0" localSheetId="70">'Div 4'!$H$38:$H$43</definedName>
    <definedName name="OSRRefH22_1x_0" localSheetId="92">'Div 5'!$H$31:$H$36</definedName>
    <definedName name="OSRRefH22_1x_0" localSheetId="61">'Div 6'!$H$63:$H$67</definedName>
    <definedName name="OSRRefH22_1x_0" localSheetId="2">Summary!$H$166:$H$172</definedName>
    <definedName name="OSRRefH22_20x_0" localSheetId="48">'300'!$H$192:$H$198</definedName>
    <definedName name="OSRRefH22_20x_0" localSheetId="49">'300 &amp; 317'!$H$214:$H$220</definedName>
    <definedName name="OSRRefH22_20x_0" localSheetId="50">'301'!$H$88</definedName>
    <definedName name="OSRRefH22_20x_0" localSheetId="71">'310 &amp; 491'!$H$101:$H$102</definedName>
    <definedName name="OSRRefH22_20x_0" localSheetId="56">'331'!$H$149</definedName>
    <definedName name="OSRRefH22_20x_0" localSheetId="72">'491'!$H$92:$H$93</definedName>
    <definedName name="OSRRefH22_20x_0" localSheetId="47">'Div 3'!$H$197:$H$198</definedName>
    <definedName name="OSRRefH22_20x_0" localSheetId="70">'Div 4'!$H$96</definedName>
    <definedName name="OSRRefH22_20x_0" localSheetId="2">Summary!$H$219:$H$223</definedName>
    <definedName name="OSRRefH22_21x_0" localSheetId="48">'300'!$H$200:$H$201</definedName>
    <definedName name="OSRRefH22_21x_0" localSheetId="49">'300 &amp; 317'!$H$222:$H$223</definedName>
    <definedName name="OSRRefH22_21x_0" localSheetId="50">'301'!$H$90:$H$91</definedName>
    <definedName name="OSRRefH22_21x_0" localSheetId="71">'310 &amp; 491'!$H$104</definedName>
    <definedName name="OSRRefH22_21x_0" localSheetId="72">'491'!$H$95</definedName>
    <definedName name="OSRRefH22_21x_0" localSheetId="47">'Div 3'!$H$200:$H$206</definedName>
    <definedName name="OSRRefH22_21x_0" localSheetId="70">'Div 4'!$H$98</definedName>
    <definedName name="OSRRefH22_21x_0" localSheetId="2">Summary!$H$225:$H$226</definedName>
    <definedName name="OSRRefH22_22x_0" localSheetId="48">'300'!$H$203</definedName>
    <definedName name="OSRRefH22_22x_0" localSheetId="49">'300 &amp; 317'!$H$225</definedName>
    <definedName name="OSRRefH22_22x_0" localSheetId="50">'301'!$H$93</definedName>
    <definedName name="OSRRefH22_22x_0" localSheetId="47">'Div 3'!$H$208:$H$209</definedName>
    <definedName name="OSRRefH22_22x_0" localSheetId="70">'Div 4'!$H$100:$H$101</definedName>
    <definedName name="OSRRefH22_22x_0" localSheetId="2">Summary!$H$228:$H$236</definedName>
    <definedName name="OSRRefH22_23x_0" localSheetId="48">'300'!$H$205:$H$207</definedName>
    <definedName name="OSRRefH22_23x_0" localSheetId="49">'300 &amp; 317'!$H$227:$H$229</definedName>
    <definedName name="OSRRefH22_23x_0" localSheetId="47">'Div 3'!$H$211</definedName>
    <definedName name="OSRRefH22_23x_0" localSheetId="70">'Div 4'!$H$103</definedName>
    <definedName name="OSRRefH22_23x_0" localSheetId="2">Summary!$H$238:$H$239</definedName>
    <definedName name="OSRRefH22_24x_0" localSheetId="48">'300'!$H$209</definedName>
    <definedName name="OSRRefH22_24x_0" localSheetId="49">'300 &amp; 317'!$H$231</definedName>
    <definedName name="OSRRefH22_24x_0" localSheetId="47">'Div 3'!$H$213:$H$215</definedName>
    <definedName name="OSRRefH22_24x_0" localSheetId="2">Summary!$H$241</definedName>
    <definedName name="OSRRefH22_25x_0" localSheetId="47">'Div 3'!$H$217</definedName>
    <definedName name="OSRRefH22_25x_0" localSheetId="2">Summary!$H$243:$H$245</definedName>
    <definedName name="OSRRefH22_26x_0" localSheetId="2">Summary!$H$247</definedName>
    <definedName name="OSRRefH22_2x_0" localSheetId="40">'200'!$H$24</definedName>
    <definedName name="OSRRefH22_2x_0" localSheetId="41">'201'!$H$33</definedName>
    <definedName name="OSRRefH22_2x_0" localSheetId="42">'202'!$H$33</definedName>
    <definedName name="OSRRefH22_2x_0" localSheetId="43">'203'!$H$36</definedName>
    <definedName name="OSRRefH22_2x_0" localSheetId="44">'204'!$H$34</definedName>
    <definedName name="OSRRefH22_2x_0" localSheetId="45">'205'!$H$31</definedName>
    <definedName name="OSRRefH22_2x_0" localSheetId="46">'206'!$H$32</definedName>
    <definedName name="OSRRefH22_2x_0" localSheetId="48">'300'!$H$143</definedName>
    <definedName name="OSRRefH22_2x_0" localSheetId="49">'300 &amp; 317'!$H$165</definedName>
    <definedName name="OSRRefH22_2x_0" localSheetId="50">'301'!$H$40</definedName>
    <definedName name="OSRRefH22_2x_0" localSheetId="52">'307'!$H$51</definedName>
    <definedName name="OSRRefH22_2x_0" localSheetId="53">'308'!$H$79</definedName>
    <definedName name="OSRRefH22_2x_0" localSheetId="64">'309'!$H$24:$H$25</definedName>
    <definedName name="OSRRefH22_2x_0" localSheetId="63">'310'!$H$45</definedName>
    <definedName name="OSRRefH22_2x_0" localSheetId="71">'310 &amp; 491'!$H$50</definedName>
    <definedName name="OSRRefH22_2x_0" localSheetId="54">'311'!$H$79</definedName>
    <definedName name="OSRRefH22_2x_0" localSheetId="65">'313'!$H$36</definedName>
    <definedName name="OSRRefH22_2x_0" localSheetId="57">'315'!$H$101</definedName>
    <definedName name="OSRRefH22_2x_0" localSheetId="60">'316'!$H$45</definedName>
    <definedName name="OSRRefH22_2x_0" localSheetId="62">'317'!$H$69</definedName>
    <definedName name="OSRRefH22_2x_0" localSheetId="66">'321'!$H$38</definedName>
    <definedName name="OSRRefH22_2x_0" localSheetId="67">'322'!$H$29</definedName>
    <definedName name="OSRRefH22_2x_0" localSheetId="68">'325'!$H$37</definedName>
    <definedName name="OSRRefH22_2x_0" localSheetId="58">'326'!$H$64</definedName>
    <definedName name="OSRRefH22_2x_0" localSheetId="51">'330'!$H$55</definedName>
    <definedName name="OSRRefH22_2x_0" localSheetId="56">'331'!$H$101</definedName>
    <definedName name="OSRRefH22_2x_0" localSheetId="59">'332'!$H$47</definedName>
    <definedName name="OSRRefH22_2x_0" localSheetId="73">'405'!$H$38</definedName>
    <definedName name="OSRRefH22_2x_0" localSheetId="74">'406'!$H$24</definedName>
    <definedName name="OSRRefH22_2x_0" localSheetId="75">'411'!$H$35</definedName>
    <definedName name="OSRRefH22_2x_0" localSheetId="76">'412'!$H$24:$H$25</definedName>
    <definedName name="OSRRefH22_2x_0" localSheetId="77">'413'!$H$28</definedName>
    <definedName name="OSRRefH22_2x_0" localSheetId="78">'414'!$H$25</definedName>
    <definedName name="OSRRefH22_2x_0" localSheetId="79">'415'!$H$38</definedName>
    <definedName name="OSRRefH22_2x_0" localSheetId="80">'418'!$H$35</definedName>
    <definedName name="OSRRefH22_2x_0" localSheetId="82">'423'!$H$25</definedName>
    <definedName name="OSRRefH22_2x_0" localSheetId="83">'424'!$H$24</definedName>
    <definedName name="OSRRefH22_2x_0" localSheetId="84">'425'!$H$30</definedName>
    <definedName name="OSRRefH22_2x_0" localSheetId="87">'430'!$H$31</definedName>
    <definedName name="OSRRefH22_2x_0" localSheetId="88">'433'!$H$41</definedName>
    <definedName name="OSRRefH22_2x_0" localSheetId="90">'444'!$H$41</definedName>
    <definedName name="OSRRefH22_2x_0" localSheetId="91">'450'!$H$41</definedName>
    <definedName name="OSRRefH22_2x_0" localSheetId="72">'491'!$H$42</definedName>
    <definedName name="OSRRefH22_2x_0" localSheetId="86">'492'!$H$42</definedName>
    <definedName name="OSRRefH22_2x_0" localSheetId="93">'501'!$H$38</definedName>
    <definedName name="OSRRefH22_2x_0" localSheetId="39">'Div 2'!$H$38</definedName>
    <definedName name="OSRRefH22_2x_0" localSheetId="47">'Div 3'!$H$148</definedName>
    <definedName name="OSRRefH22_2x_0" localSheetId="70">'Div 4'!$H$45</definedName>
    <definedName name="OSRRefH22_2x_0" localSheetId="92">'Div 5'!$H$38</definedName>
    <definedName name="OSRRefH22_2x_0" localSheetId="61">'Div 6'!$H$69</definedName>
    <definedName name="OSRRefH22_2x_0" localSheetId="2">Summary!$H$174</definedName>
    <definedName name="OSRRefH22_3x_0" localSheetId="40">'200'!$H$26</definedName>
    <definedName name="OSRRefH22_3x_0" localSheetId="41">'201'!$H$35</definedName>
    <definedName name="OSRRefH22_3x_0" localSheetId="42">'202'!$H$35</definedName>
    <definedName name="OSRRefH22_3x_0" localSheetId="43">'203'!$H$38</definedName>
    <definedName name="OSRRefH22_3x_0" localSheetId="44">'204'!$H$36</definedName>
    <definedName name="OSRRefH22_3x_0" localSheetId="45">'205'!$H$33</definedName>
    <definedName name="OSRRefH22_3x_0" localSheetId="46">'206'!$H$34</definedName>
    <definedName name="OSRRefH22_3x_0" localSheetId="48">'300'!$H$145</definedName>
    <definedName name="OSRRefH22_3x_0" localSheetId="49">'300 &amp; 317'!$H$167</definedName>
    <definedName name="OSRRefH22_3x_0" localSheetId="50">'301'!$H$42</definedName>
    <definedName name="OSRRefH22_3x_0" localSheetId="52">'307'!$H$53</definedName>
    <definedName name="OSRRefH22_3x_0" localSheetId="53">'308'!$H$81</definedName>
    <definedName name="OSRRefH22_3x_0" localSheetId="64">'309'!$H$27:$H$28</definedName>
    <definedName name="OSRRefH22_3x_0" localSheetId="63">'310'!$H$47</definedName>
    <definedName name="OSRRefH22_3x_0" localSheetId="71">'310 &amp; 491'!$H$52</definedName>
    <definedName name="OSRRefH22_3x_0" localSheetId="54">'311'!$H$81</definedName>
    <definedName name="OSRRefH22_3x_0" localSheetId="65">'313'!$H$38</definedName>
    <definedName name="OSRRefH22_3x_0" localSheetId="57">'315'!$H$103:$H$104</definedName>
    <definedName name="OSRRefH22_3x_0" localSheetId="60">'316'!$H$47</definedName>
    <definedName name="OSRRefH22_3x_0" localSheetId="62">'317'!$H$71</definedName>
    <definedName name="OSRRefH22_3x_0" localSheetId="66">'321'!$H$40</definedName>
    <definedName name="OSRRefH22_3x_0" localSheetId="67">'322'!$H$31</definedName>
    <definedName name="OSRRefH22_3x_0" localSheetId="68">'325'!$H$39</definedName>
    <definedName name="OSRRefH22_3x_0" localSheetId="58">'326'!$H$66</definedName>
    <definedName name="OSRRefH22_3x_0" localSheetId="51">'330'!$H$57</definedName>
    <definedName name="OSRRefH22_3x_0" localSheetId="56">'331'!$H$103</definedName>
    <definedName name="OSRRefH22_3x_0" localSheetId="59">'332'!$H$49</definedName>
    <definedName name="OSRRefH22_3x_0" localSheetId="73">'405'!$H$40</definedName>
    <definedName name="OSRRefH22_3x_0" localSheetId="74">'406'!$H$26</definedName>
    <definedName name="OSRRefH22_3x_0" localSheetId="75">'411'!$H$37:$H$38</definedName>
    <definedName name="OSRRefH22_3x_0" localSheetId="76">'412'!$H$27</definedName>
    <definedName name="OSRRefH22_3x_0" localSheetId="77">'413'!$H$30</definedName>
    <definedName name="OSRRefH22_3x_0" localSheetId="78">'414'!$H$27</definedName>
    <definedName name="OSRRefH22_3x_0" localSheetId="79">'415'!$H$40</definedName>
    <definedName name="OSRRefH22_3x_0" localSheetId="80">'418'!$H$37</definedName>
    <definedName name="OSRRefH22_3x_0" localSheetId="82">'423'!$H$27</definedName>
    <definedName name="OSRRefH22_3x_0" localSheetId="83">'424'!$H$26</definedName>
    <definedName name="OSRRefH22_3x_0" localSheetId="84">'425'!$H$32</definedName>
    <definedName name="OSRRefH22_3x_0" localSheetId="87">'430'!$H$33</definedName>
    <definedName name="OSRRefH22_3x_0" localSheetId="88">'433'!$H$43</definedName>
    <definedName name="OSRRefH22_3x_0" localSheetId="90">'444'!$H$43</definedName>
    <definedName name="OSRRefH22_3x_0" localSheetId="91">'450'!$H$43</definedName>
    <definedName name="OSRRefH22_3x_0" localSheetId="72">'491'!$H$44</definedName>
    <definedName name="OSRRefH22_3x_0" localSheetId="86">'492'!$H$44</definedName>
    <definedName name="OSRRefH22_3x_0" localSheetId="93">'501'!$H$40</definedName>
    <definedName name="OSRRefH22_3x_0" localSheetId="39">'Div 2'!$H$40</definedName>
    <definedName name="OSRRefH22_3x_0" localSheetId="47">'Div 3'!$H$150</definedName>
    <definedName name="OSRRefH22_3x_0" localSheetId="70">'Div 4'!$H$47</definedName>
    <definedName name="OSRRefH22_3x_0" localSheetId="92">'Div 5'!$H$40</definedName>
    <definedName name="OSRRefH22_3x_0" localSheetId="61">'Div 6'!$H$71</definedName>
    <definedName name="OSRRefH22_3x_0" localSheetId="2">Summary!$H$176</definedName>
    <definedName name="OSRRefH22_4x_0" localSheetId="41">'201'!$H$37</definedName>
    <definedName name="OSRRefH22_4x_0" localSheetId="42">'202'!$H$37:$H$38</definedName>
    <definedName name="OSRRefH22_4x_0" localSheetId="43">'203'!$H$40</definedName>
    <definedName name="OSRRefH22_4x_0" localSheetId="44">'204'!$H$38</definedName>
    <definedName name="OSRRefH22_4x_0" localSheetId="45">'205'!$H$35:$H$36</definedName>
    <definedName name="OSRRefH22_4x_0" localSheetId="46">'206'!$H$36</definedName>
    <definedName name="OSRRefH22_4x_0" localSheetId="48">'300'!$H$147</definedName>
    <definedName name="OSRRefH22_4x_0" localSheetId="49">'300 &amp; 317'!$H$169</definedName>
    <definedName name="OSRRefH22_4x_0" localSheetId="50">'301'!$H$44</definedName>
    <definedName name="OSRRefH22_4x_0" localSheetId="52">'307'!$H$55:$H$56</definedName>
    <definedName name="OSRRefH22_4x_0" localSheetId="53">'308'!$H$83</definedName>
    <definedName name="OSRRefH22_4x_0" localSheetId="64">'309'!$H$30</definedName>
    <definedName name="OSRRefH22_4x_0" localSheetId="63">'310'!$H$49</definedName>
    <definedName name="OSRRefH22_4x_0" localSheetId="71">'310 &amp; 491'!$H$54</definedName>
    <definedName name="OSRRefH22_4x_0" localSheetId="54">'311'!$H$83</definedName>
    <definedName name="OSRRefH22_4x_0" localSheetId="65">'313'!$H$40</definedName>
    <definedName name="OSRRefH22_4x_0" localSheetId="57">'315'!$H$106</definedName>
    <definedName name="OSRRefH22_4x_0" localSheetId="60">'316'!$H$49</definedName>
    <definedName name="OSRRefH22_4x_0" localSheetId="62">'317'!$H$73</definedName>
    <definedName name="OSRRefH22_4x_0" localSheetId="66">'321'!$H$42</definedName>
    <definedName name="OSRRefH22_4x_0" localSheetId="67">'322'!$H$33:$H$34</definedName>
    <definedName name="OSRRefH22_4x_0" localSheetId="68">'325'!$H$41</definedName>
    <definedName name="OSRRefH22_4x_0" localSheetId="58">'326'!$H$68</definedName>
    <definedName name="OSRRefH22_4x_0" localSheetId="51">'330'!$H$59:$H$60</definedName>
    <definedName name="OSRRefH22_4x_0" localSheetId="56">'331'!$H$105</definedName>
    <definedName name="OSRRefH22_4x_0" localSheetId="59">'332'!$H$51</definedName>
    <definedName name="OSRRefH22_4x_0" localSheetId="73">'405'!$H$42</definedName>
    <definedName name="OSRRefH22_4x_0" localSheetId="74">'406'!$H$28</definedName>
    <definedName name="OSRRefH22_4x_0" localSheetId="75">'411'!$H$40</definedName>
    <definedName name="OSRRefH22_4x_0" localSheetId="76">'412'!$H$29</definedName>
    <definedName name="OSRRefH22_4x_0" localSheetId="77">'413'!$H$32</definedName>
    <definedName name="OSRRefH22_4x_0" localSheetId="78">'414'!$H$29:$H$30</definedName>
    <definedName name="OSRRefH22_4x_0" localSheetId="79">'415'!$H$42</definedName>
    <definedName name="OSRRefH22_4x_0" localSheetId="80">'418'!$H$39:$H$40</definedName>
    <definedName name="OSRRefH22_4x_0" localSheetId="84">'425'!$H$34</definedName>
    <definedName name="OSRRefH22_4x_0" localSheetId="87">'430'!$H$35</definedName>
    <definedName name="OSRRefH22_4x_0" localSheetId="88">'433'!$H$45</definedName>
    <definedName name="OSRRefH22_4x_0" localSheetId="90">'444'!$H$45</definedName>
    <definedName name="OSRRefH22_4x_0" localSheetId="91">'450'!$H$45</definedName>
    <definedName name="OSRRefH22_4x_0" localSheetId="72">'491'!$H$46</definedName>
    <definedName name="OSRRefH22_4x_0" localSheetId="86">'492'!$H$46</definedName>
    <definedName name="OSRRefH22_4x_0" localSheetId="93">'501'!$H$42:$H$43</definedName>
    <definedName name="OSRRefH22_4x_0" localSheetId="39">'Div 2'!$H$42</definedName>
    <definedName name="OSRRefH22_4x_0" localSheetId="47">'Div 3'!$H$152</definedName>
    <definedName name="OSRRefH22_4x_0" localSheetId="70">'Div 4'!$H$49</definedName>
    <definedName name="OSRRefH22_4x_0" localSheetId="92">'Div 5'!$H$42:$H$43</definedName>
    <definedName name="OSRRefH22_4x_0" localSheetId="61">'Div 6'!$H$73</definedName>
    <definedName name="OSRRefH22_4x_0" localSheetId="2">Summary!$H$178</definedName>
    <definedName name="OSRRefH22_5x_0" localSheetId="41">'201'!$H$39</definedName>
    <definedName name="OSRRefH22_5x_0" localSheetId="42">'202'!$H$40</definedName>
    <definedName name="OSRRefH22_5x_0" localSheetId="43">'203'!$H$42</definedName>
    <definedName name="OSRRefH22_5x_0" localSheetId="44">'204'!$H$40:$H$43</definedName>
    <definedName name="OSRRefH22_5x_0" localSheetId="45">'205'!$H$38:$H$40</definedName>
    <definedName name="OSRRefH22_5x_0" localSheetId="46">'206'!$H$38</definedName>
    <definedName name="OSRRefH22_5x_0" localSheetId="48">'300'!$H$149:$H$150</definedName>
    <definedName name="OSRRefH22_5x_0" localSheetId="49">'300 &amp; 317'!$H$171:$H$172</definedName>
    <definedName name="OSRRefH22_5x_0" localSheetId="50">'301'!$H$46:$H$47</definedName>
    <definedName name="OSRRefH22_5x_0" localSheetId="52">'307'!$H$58</definedName>
    <definedName name="OSRRefH22_5x_0" localSheetId="53">'308'!$H$85</definedName>
    <definedName name="OSRRefH22_5x_0" localSheetId="63">'310'!$H$51:$H$52</definedName>
    <definedName name="OSRRefH22_5x_0" localSheetId="71">'310 &amp; 491'!$H$56:$H$57</definedName>
    <definedName name="OSRRefH22_5x_0" localSheetId="54">'311'!$H$85</definedName>
    <definedName name="OSRRefH22_5x_0" localSheetId="65">'313'!$H$42</definedName>
    <definedName name="OSRRefH22_5x_0" localSheetId="57">'315'!$H$108:$H$109</definedName>
    <definedName name="OSRRefH22_5x_0" localSheetId="60">'316'!$H$51</definedName>
    <definedName name="OSRRefH22_5x_0" localSheetId="62">'317'!$H$75:$H$76</definedName>
    <definedName name="OSRRefH22_5x_0" localSheetId="66">'321'!$H$44</definedName>
    <definedName name="OSRRefH22_5x_0" localSheetId="67">'322'!$H$36</definedName>
    <definedName name="OSRRefH22_5x_0" localSheetId="68">'325'!$H$43:$H$44</definedName>
    <definedName name="OSRRefH22_5x_0" localSheetId="58">'326'!$H$70</definedName>
    <definedName name="OSRRefH22_5x_0" localSheetId="51">'330'!$H$62:$H$63</definedName>
    <definedName name="OSRRefH22_5x_0" localSheetId="56">'331'!$H$107:$H$108</definedName>
    <definedName name="OSRRefH22_5x_0" localSheetId="59">'332'!$H$53</definedName>
    <definedName name="OSRRefH22_5x_0" localSheetId="73">'405'!$H$44:$H$45</definedName>
    <definedName name="OSRRefH22_5x_0" localSheetId="75">'411'!$H$42</definedName>
    <definedName name="OSRRefH22_5x_0" localSheetId="77">'413'!$H$34</definedName>
    <definedName name="OSRRefH22_5x_0" localSheetId="79">'415'!$H$44:$H$45</definedName>
    <definedName name="OSRRefH22_5x_0" localSheetId="80">'418'!$H$42</definedName>
    <definedName name="OSRRefH22_5x_0" localSheetId="84">'425'!$H$36:$H$37</definedName>
    <definedName name="OSRRefH22_5x_0" localSheetId="87">'430'!$H$37:$H$38</definedName>
    <definedName name="OSRRefH22_5x_0" localSheetId="88">'433'!$H$47</definedName>
    <definedName name="OSRRefH22_5x_0" localSheetId="90">'444'!$H$47</definedName>
    <definedName name="OSRRefH22_5x_0" localSheetId="91">'450'!$H$47</definedName>
    <definedName name="OSRRefH22_5x_0" localSheetId="72">'491'!$H$48:$H$49</definedName>
    <definedName name="OSRRefH22_5x_0" localSheetId="86">'492'!$H$48</definedName>
    <definedName name="OSRRefH22_5x_0" localSheetId="93">'501'!$H$45</definedName>
    <definedName name="OSRRefH22_5x_0" localSheetId="39">'Div 2'!$H$44</definedName>
    <definedName name="OSRRefH22_5x_0" localSheetId="47">'Div 3'!$H$154:$H$155</definedName>
    <definedName name="OSRRefH22_5x_0" localSheetId="70">'Div 4'!$H$51:$H$52</definedName>
    <definedName name="OSRRefH22_5x_0" localSheetId="92">'Div 5'!$H$45</definedName>
    <definedName name="OSRRefH22_5x_0" localSheetId="61">'Div 6'!$H$75:$H$76</definedName>
    <definedName name="OSRRefH22_5x_0" localSheetId="2">Summary!$H$180:$H$181</definedName>
    <definedName name="OSRRefH22_6x_0" localSheetId="41">'201'!$H$41</definedName>
    <definedName name="OSRRefH22_6x_0" localSheetId="42">'202'!$H$42:$H$44</definedName>
    <definedName name="OSRRefH22_6x_0" localSheetId="43">'203'!$H$44</definedName>
    <definedName name="OSRRefH22_6x_0" localSheetId="44">'204'!$H$45</definedName>
    <definedName name="OSRRefH22_6x_0" localSheetId="45">'205'!$H$42</definedName>
    <definedName name="OSRRefH22_6x_0" localSheetId="46">'206'!$H$40</definedName>
    <definedName name="OSRRefH22_6x_0" localSheetId="48">'300'!$H$152:$H$153</definedName>
    <definedName name="OSRRefH22_6x_0" localSheetId="49">'300 &amp; 317'!$H$174:$H$175</definedName>
    <definedName name="OSRRefH22_6x_0" localSheetId="50">'301'!$H$49:$H$50</definedName>
    <definedName name="OSRRefH22_6x_0" localSheetId="52">'307'!$H$60</definedName>
    <definedName name="OSRRefH22_6x_0" localSheetId="53">'308'!$H$87</definedName>
    <definedName name="OSRRefH22_6x_0" localSheetId="63">'310'!$H$54</definedName>
    <definedName name="OSRRefH22_6x_0" localSheetId="71">'310 &amp; 491'!$H$59</definedName>
    <definedName name="OSRRefH22_6x_0" localSheetId="54">'311'!$H$87</definedName>
    <definedName name="OSRRefH22_6x_0" localSheetId="65">'313'!$H$44</definedName>
    <definedName name="OSRRefH22_6x_0" localSheetId="57">'315'!$H$111:$H$112</definedName>
    <definedName name="OSRRefH22_6x_0" localSheetId="60">'316'!$H$53:$H$54</definedName>
    <definedName name="OSRRefH22_6x_0" localSheetId="62">'317'!$H$78</definedName>
    <definedName name="OSRRefH22_6x_0" localSheetId="66">'321'!$H$46:$H$47</definedName>
    <definedName name="OSRRefH22_6x_0" localSheetId="67">'322'!$H$38</definedName>
    <definedName name="OSRRefH22_6x_0" localSheetId="68">'325'!$H$46</definedName>
    <definedName name="OSRRefH22_6x_0" localSheetId="58">'326'!$H$72</definedName>
    <definedName name="OSRRefH22_6x_0" localSheetId="51">'330'!$H$65</definedName>
    <definedName name="OSRRefH22_6x_0" localSheetId="56">'331'!$H$110</definedName>
    <definedName name="OSRRefH22_6x_0" localSheetId="59">'332'!$H$55:$H$56</definedName>
    <definedName name="OSRRefH22_6x_0" localSheetId="73">'405'!$H$47</definedName>
    <definedName name="OSRRefH22_6x_0" localSheetId="75">'411'!$H$44</definedName>
    <definedName name="OSRRefH22_6x_0" localSheetId="79">'415'!$H$47</definedName>
    <definedName name="OSRRefH22_6x_0" localSheetId="80">'418'!$H$44</definedName>
    <definedName name="OSRRefH22_6x_0" localSheetId="84">'425'!$H$39</definedName>
    <definedName name="OSRRefH22_6x_0" localSheetId="87">'430'!$H$40</definedName>
    <definedName name="OSRRefH22_6x_0" localSheetId="88">'433'!$H$49</definedName>
    <definedName name="OSRRefH22_6x_0" localSheetId="90">'444'!$H$49</definedName>
    <definedName name="OSRRefH22_6x_0" localSheetId="91">'450'!$H$49</definedName>
    <definedName name="OSRRefH22_6x_0" localSheetId="72">'491'!$H$51</definedName>
    <definedName name="OSRRefH22_6x_0" localSheetId="86">'492'!$H$50</definedName>
    <definedName name="OSRRefH22_6x_0" localSheetId="93">'501'!$H$47</definedName>
    <definedName name="OSRRefH22_6x_0" localSheetId="39">'Div 2'!$H$46</definedName>
    <definedName name="OSRRefH22_6x_0" localSheetId="47">'Div 3'!$H$157:$H$158</definedName>
    <definedName name="OSRRefH22_6x_0" localSheetId="70">'Div 4'!$H$54</definedName>
    <definedName name="OSRRefH22_6x_0" localSheetId="92">'Div 5'!$H$47</definedName>
    <definedName name="OSRRefH22_6x_0" localSheetId="61">'Div 6'!$H$78</definedName>
    <definedName name="OSRRefH22_6x_0" localSheetId="2">Summary!$H$183:$H$184</definedName>
    <definedName name="OSRRefH22_7x_0" localSheetId="41">'201'!$H$43</definedName>
    <definedName name="OSRRefH22_7x_0" localSheetId="42">'202'!$H$46</definedName>
    <definedName name="OSRRefH22_7x_0" localSheetId="43">'203'!$H$46:$H$47</definedName>
    <definedName name="OSRRefH22_7x_0" localSheetId="44">'204'!$H$47:$H$48</definedName>
    <definedName name="OSRRefH22_7x_0" localSheetId="48">'300'!$H$155</definedName>
    <definedName name="OSRRefH22_7x_0" localSheetId="49">'300 &amp; 317'!$H$177</definedName>
    <definedName name="OSRRefH22_7x_0" localSheetId="50">'301'!$H$52</definedName>
    <definedName name="OSRRefH22_7x_0" localSheetId="52">'307'!$H$62</definedName>
    <definedName name="OSRRefH22_7x_0" localSheetId="53">'308'!$H$89</definedName>
    <definedName name="OSRRefH22_7x_0" localSheetId="63">'310'!$H$56</definedName>
    <definedName name="OSRRefH22_7x_0" localSheetId="71">'310 &amp; 491'!$H$61</definedName>
    <definedName name="OSRRefH22_7x_0" localSheetId="54">'311'!$H$89</definedName>
    <definedName name="OSRRefH22_7x_0" localSheetId="57">'315'!$H$114</definedName>
    <definedName name="OSRRefH22_7x_0" localSheetId="60">'316'!$H$56</definedName>
    <definedName name="OSRRefH22_7x_0" localSheetId="62">'317'!$H$80</definedName>
    <definedName name="OSRRefH22_7x_0" localSheetId="66">'321'!$H$49</definedName>
    <definedName name="OSRRefH22_7x_0" localSheetId="67">'322'!$H$40</definedName>
    <definedName name="OSRRefH22_7x_0" localSheetId="68">'325'!$H$48</definedName>
    <definedName name="OSRRefH22_7x_0" localSheetId="58">'326'!$H$74</definedName>
    <definedName name="OSRRefH22_7x_0" localSheetId="51">'330'!$H$67</definedName>
    <definedName name="OSRRefH22_7x_0" localSheetId="56">'331'!$H$112:$H$113</definedName>
    <definedName name="OSRRefH22_7x_0" localSheetId="59">'332'!$H$58</definedName>
    <definedName name="OSRRefH22_7x_0" localSheetId="73">'405'!$H$49</definedName>
    <definedName name="OSRRefH22_7x_0" localSheetId="75">'411'!$H$46</definedName>
    <definedName name="OSRRefH22_7x_0" localSheetId="79">'415'!$H$49</definedName>
    <definedName name="OSRRefH22_7x_0" localSheetId="80">'418'!$H$46</definedName>
    <definedName name="OSRRefH22_7x_0" localSheetId="84">'425'!$H$41</definedName>
    <definedName name="OSRRefH22_7x_0" localSheetId="87">'430'!$H$42</definedName>
    <definedName name="OSRRefH22_7x_0" localSheetId="88">'433'!$H$51</definedName>
    <definedName name="OSRRefH22_7x_0" localSheetId="90">'444'!$H$51</definedName>
    <definedName name="OSRRefH22_7x_0" localSheetId="91">'450'!$H$51</definedName>
    <definedName name="OSRRefH22_7x_0" localSheetId="72">'491'!$H$53</definedName>
    <definedName name="OSRRefH22_7x_0" localSheetId="86">'492'!$H$52</definedName>
    <definedName name="OSRRefH22_7x_0" localSheetId="93">'501'!$H$49:$H$50</definedName>
    <definedName name="OSRRefH22_7x_0" localSheetId="39">'Div 2'!$H$48</definedName>
    <definedName name="OSRRefH22_7x_0" localSheetId="47">'Div 3'!$H$160</definedName>
    <definedName name="OSRRefH22_7x_0" localSheetId="70">'Div 4'!$H$56</definedName>
    <definedName name="OSRRefH22_7x_0" localSheetId="92">'Div 5'!$H$49:$H$50</definedName>
    <definedName name="OSRRefH22_7x_0" localSheetId="61">'Div 6'!$H$80</definedName>
    <definedName name="OSRRefH22_7x_0" localSheetId="2">Summary!$H$186</definedName>
    <definedName name="OSRRefH22_8x_0" localSheetId="41">'201'!$H$45:$H$47</definedName>
    <definedName name="OSRRefH22_8x_0" localSheetId="42">'202'!$H$48:$H$49</definedName>
    <definedName name="OSRRefH22_8x_0" localSheetId="43">'203'!$H$49:$H$50</definedName>
    <definedName name="OSRRefH22_8x_0" localSheetId="48">'300'!$H$157</definedName>
    <definedName name="OSRRefH22_8x_0" localSheetId="49">'300 &amp; 317'!$H$179</definedName>
    <definedName name="OSRRefH22_8x_0" localSheetId="50">'301'!$H$54</definedName>
    <definedName name="OSRRefH22_8x_0" localSheetId="52">'307'!$H$64:$H$65</definedName>
    <definedName name="OSRRefH22_8x_0" localSheetId="53">'308'!$H$91</definedName>
    <definedName name="OSRRefH22_8x_0" localSheetId="63">'310'!$H$58</definedName>
    <definedName name="OSRRefH22_8x_0" localSheetId="71">'310 &amp; 491'!$H$63:$H$64</definedName>
    <definedName name="OSRRefH22_8x_0" localSheetId="54">'311'!$H$91</definedName>
    <definedName name="OSRRefH22_8x_0" localSheetId="57">'315'!$H$116:$H$117</definedName>
    <definedName name="OSRRefH22_8x_0" localSheetId="60">'316'!$H$58:$H$60</definedName>
    <definedName name="OSRRefH22_8x_0" localSheetId="62">'317'!$H$82:$H$84</definedName>
    <definedName name="OSRRefH22_8x_0" localSheetId="66">'321'!$H$51:$H$52</definedName>
    <definedName name="OSRRefH22_8x_0" localSheetId="68">'325'!$H$50</definedName>
    <definedName name="OSRRefH22_8x_0" localSheetId="58">'326'!$H$76</definedName>
    <definedName name="OSRRefH22_8x_0" localSheetId="51">'330'!$H$69:$H$70</definedName>
    <definedName name="OSRRefH22_8x_0" localSheetId="56">'331'!$H$115</definedName>
    <definedName name="OSRRefH22_8x_0" localSheetId="59">'332'!$H$60:$H$62</definedName>
    <definedName name="OSRRefH22_8x_0" localSheetId="73">'405'!$H$51</definedName>
    <definedName name="OSRRefH22_8x_0" localSheetId="75">'411'!$H$48</definedName>
    <definedName name="OSRRefH22_8x_0" localSheetId="79">'415'!$H$51</definedName>
    <definedName name="OSRRefH22_8x_0" localSheetId="80">'418'!$H$48:$H$49</definedName>
    <definedName name="OSRRefH22_8x_0" localSheetId="84">'425'!$H$43</definedName>
    <definedName name="OSRRefH22_8x_0" localSheetId="88">'433'!$H$53</definedName>
    <definedName name="OSRRefH22_8x_0" localSheetId="90">'444'!$H$53</definedName>
    <definedName name="OSRRefH22_8x_0" localSheetId="91">'450'!$H$53</definedName>
    <definedName name="OSRRefH22_8x_0" localSheetId="72">'491'!$H$55</definedName>
    <definedName name="OSRRefH22_8x_0" localSheetId="86">'492'!$H$54</definedName>
    <definedName name="OSRRefH22_8x_0" localSheetId="93">'501'!$H$52:$H$53</definedName>
    <definedName name="OSRRefH22_8x_0" localSheetId="39">'Div 2'!$H$50</definedName>
    <definedName name="OSRRefH22_8x_0" localSheetId="47">'Div 3'!$H$162</definedName>
    <definedName name="OSRRefH22_8x_0" localSheetId="70">'Div 4'!$H$58</definedName>
    <definedName name="OSRRefH22_8x_0" localSheetId="92">'Div 5'!$H$52:$H$53</definedName>
    <definedName name="OSRRefH22_8x_0" localSheetId="61">'Div 6'!$H$82:$H$84</definedName>
    <definedName name="OSRRefH22_8x_0" localSheetId="2">Summary!$H$188</definedName>
    <definedName name="OSRRefH22_9x_0" localSheetId="41">'201'!$H$49:$H$50</definedName>
    <definedName name="OSRRefH22_9x_0" localSheetId="42">'202'!$H$51</definedName>
    <definedName name="OSRRefH22_9x_0" localSheetId="43">'203'!$H$52</definedName>
    <definedName name="OSRRefH22_9x_0" localSheetId="48">'300'!$H$159</definedName>
    <definedName name="OSRRefH22_9x_0" localSheetId="49">'300 &amp; 317'!$H$181</definedName>
    <definedName name="OSRRefH22_9x_0" localSheetId="50">'301'!$H$56</definedName>
    <definedName name="OSRRefH22_9x_0" localSheetId="52">'307'!$H$67:$H$68</definedName>
    <definedName name="OSRRefH22_9x_0" localSheetId="53">'308'!$H$93:$H$95</definedName>
    <definedName name="OSRRefH22_9x_0" localSheetId="63">'310'!$H$60</definedName>
    <definedName name="OSRRefH22_9x_0" localSheetId="71">'310 &amp; 491'!$H$66</definedName>
    <definedName name="OSRRefH22_9x_0" localSheetId="54">'311'!$H$93:$H$95</definedName>
    <definedName name="OSRRefH22_9x_0" localSheetId="57">'315'!$H$119:$H$120</definedName>
    <definedName name="OSRRefH22_9x_0" localSheetId="60">'316'!$H$62</definedName>
    <definedName name="OSRRefH22_9x_0" localSheetId="62">'317'!$H$86</definedName>
    <definedName name="OSRRefH22_9x_0" localSheetId="66">'321'!$H$54:$H$58</definedName>
    <definedName name="OSRRefH22_9x_0" localSheetId="68">'325'!$H$52:$H$53</definedName>
    <definedName name="OSRRefH22_9x_0" localSheetId="58">'326'!$H$78</definedName>
    <definedName name="OSRRefH22_9x_0" localSheetId="51">'330'!$H$72:$H$73</definedName>
    <definedName name="OSRRefH22_9x_0" localSheetId="56">'331'!$H$117</definedName>
    <definedName name="OSRRefH22_9x_0" localSheetId="59">'332'!$H$64</definedName>
    <definedName name="OSRRefH22_9x_0" localSheetId="73">'405'!$H$53</definedName>
    <definedName name="OSRRefH22_9x_0" localSheetId="75">'411'!$H$50:$H$52</definedName>
    <definedName name="OSRRefH22_9x_0" localSheetId="79">'415'!$H$53</definedName>
    <definedName name="OSRRefH22_9x_0" localSheetId="80">'418'!$H$51</definedName>
    <definedName name="OSRRefH22_9x_0" localSheetId="88">'433'!$H$55</definedName>
    <definedName name="OSRRefH22_9x_0" localSheetId="90">'444'!$H$55</definedName>
    <definedName name="OSRRefH22_9x_0" localSheetId="91">'450'!$H$55</definedName>
    <definedName name="OSRRefH22_9x_0" localSheetId="72">'491'!$H$57</definedName>
    <definedName name="OSRRefH22_9x_0" localSheetId="86">'492'!$H$56</definedName>
    <definedName name="OSRRefH22_9x_0" localSheetId="93">'501'!$H$55</definedName>
    <definedName name="OSRRefH22_9x_0" localSheetId="39">'Div 2'!$H$52:$H$53</definedName>
    <definedName name="OSRRefH22_9x_0" localSheetId="47">'Div 3'!$H$164</definedName>
    <definedName name="OSRRefH22_9x_0" localSheetId="70">'Div 4'!$H$60</definedName>
    <definedName name="OSRRefH22_9x_0" localSheetId="92">'Div 5'!$H$55</definedName>
    <definedName name="OSRRefH22_9x_0" localSheetId="61">'Div 6'!$H$86</definedName>
    <definedName name="OSRRefH22_9x_0" localSheetId="2">Summary!$H$190</definedName>
    <definedName name="OSRRefH22x_0" localSheetId="40">'200'!$H$20,'200'!$H$22,'200'!$H$24,'200'!$H$26</definedName>
    <definedName name="OSRRefH22x_0" localSheetId="41">'201'!$H$20:$H$27,'201'!$H$29:$H$31,'201'!$H$33,'201'!$H$35,'201'!$H$37,'201'!$H$39,'201'!$H$41,'201'!$H$43,'201'!$H$45:$H$47,'201'!$H$49:$H$50,'201'!$H$52,'201'!$H$54:$H$55,'201'!$H$57,'201'!$H$59</definedName>
    <definedName name="OSRRefH22x_0" localSheetId="42">'202'!$H$20:$H$27,'202'!$H$29:$H$31,'202'!$H$33,'202'!$H$35,'202'!$H$37:$H$38,'202'!$H$40,'202'!$H$42:$H$44,'202'!$H$46,'202'!$H$48:$H$49,'202'!$H$51,'202'!$H$53,'202'!$H$55</definedName>
    <definedName name="OSRRefH22x_0" localSheetId="43">'203'!$H$20:$H$28,'203'!$H$30:$H$34,'203'!$H$36,'203'!$H$38,'203'!$H$40,'203'!$H$42,'203'!$H$44,'203'!$H$46:$H$47,'203'!$H$49:$H$50,'203'!$H$52,'203'!$H$54:$H$57,'203'!$H$59,'203'!$H$61,'203'!$H$63</definedName>
    <definedName name="OSRRefH22x_0" localSheetId="44">'204'!$H$20:$H$28,'204'!$H$30:$H$32,'204'!$H$34,'204'!$H$36,'204'!$H$38,'204'!$H$40:$H$43,'204'!$H$45,'204'!$H$47:$H$48</definedName>
    <definedName name="OSRRefH22x_0" localSheetId="45">'205'!$H$20:$H$27,'205'!$H$29,'205'!$H$31,'205'!$H$33,'205'!$H$35:$H$36,'205'!$H$38:$H$40,'205'!$H$42</definedName>
    <definedName name="OSRRefH22x_0" localSheetId="46">'206'!$H$20:$H$26,'206'!$H$28:$H$30,'206'!$H$32,'206'!$H$34,'206'!$H$36,'206'!$H$38,'206'!$H$40</definedName>
    <definedName name="OSRRefH22x_0" localSheetId="48">'300'!$H$124:$H$133,'300'!$H$135:$H$141,'300'!$H$143,'300'!$H$145,'300'!$H$147,'300'!$H$149:$H$150,'300'!$H$152:$H$153,'300'!$H$155,'300'!$H$157,'300'!$H$159,'300'!$H$161:$H$162,'300'!$H$164,'300'!$H$166,'300'!$H$168:$H$169,'300'!$H$171,'300'!$H$173,'300'!$H$175:$H$178,'300'!$H$180:$H$182,'300'!$H$184:$H$187,'300'!$H$189:$H$190,'300'!$H$192:$H$198,'300'!$H$200:$H$201,'300'!$H$203,'300'!$H$205:$H$207,'300'!$H$209</definedName>
    <definedName name="OSRRefH22x_0" localSheetId="49">'300 &amp; 317'!$H$146:$H$155,'300 &amp; 317'!$H$157:$H$163,'300 &amp; 317'!$H$165,'300 &amp; 317'!$H$167,'300 &amp; 317'!$H$169,'300 &amp; 317'!$H$171:$H$172,'300 &amp; 317'!$H$174:$H$175,'300 &amp; 317'!$H$177,'300 &amp; 317'!$H$179,'300 &amp; 317'!$H$181,'300 &amp; 317'!$H$183:$H$184,'300 &amp; 317'!$H$186,'300 &amp; 317'!$H$188,'300 &amp; 317'!$H$190:$H$191,'300 &amp; 317'!$H$193,'300 &amp; 317'!$H$195,'300 &amp; 317'!$H$197:$H$200,'300 &amp; 317'!$H$202:$H$204,'300 &amp; 317'!$H$206:$H$209,'300 &amp; 317'!$H$211:$H$212,'300 &amp; 317'!$H$214:$H$220,'300 &amp; 317'!$H$222:$H$223,'300 &amp; 317'!$H$225,'300 &amp; 317'!$H$227:$H$229,'300 &amp; 317'!$H$231</definedName>
    <definedName name="OSRRefH22x_0" localSheetId="50">'301'!$H$21:$H$30,'301'!$H$32:$H$38,'301'!$H$40,'301'!$H$42,'301'!$H$44,'301'!$H$46:$H$47,'301'!$H$49:$H$50,'301'!$H$52,'301'!$H$54,'301'!$H$56,'301'!$H$58,'301'!$H$60,'301'!$H$62,'301'!$H$64,'301'!$H$66,'301'!$H$68:$H$71,'301'!$H$73:$H$75,'301'!$H$77,'301'!$H$79:$H$84,'301'!$H$86,'301'!$H$88,'301'!$H$90:$H$91,'301'!$H$93</definedName>
    <definedName name="OSRRefH22x_0" localSheetId="52">'307'!$H$43:$H$45,'307'!$H$47:$H$49,'307'!$H$51,'307'!$H$53,'307'!$H$55:$H$56,'307'!$H$58,'307'!$H$60,'307'!$H$62,'307'!$H$64:$H$65,'307'!$H$67:$H$68,'307'!$H$70:$H$73,'307'!$H$75,'307'!$H$77</definedName>
    <definedName name="OSRRefH22x_0" localSheetId="53">'308'!$H$61:$H$69,'308'!$H$71:$H$77,'308'!$H$79,'308'!$H$81,'308'!$H$83,'308'!$H$85,'308'!$H$87,'308'!$H$89,'308'!$H$91,'308'!$H$93:$H$95,'308'!$H$97,'308'!$H$99:$H$100,'308'!$H$102:$H$103,'308'!$H$105</definedName>
    <definedName name="OSRRefH22x_0" localSheetId="64">'309'!$H$20,'309'!$H$22,'309'!$H$24:$H$25,'309'!$H$27:$H$28,'309'!$H$30</definedName>
    <definedName name="OSRRefH22x_0" localSheetId="63">'310'!$H$31:$H$38,'310'!$H$40:$H$43,'310'!$H$45,'310'!$H$47,'310'!$H$49,'310'!$H$51:$H$52,'310'!$H$54,'310'!$H$56,'310'!$H$58,'310'!$H$60,'310'!$H$62:$H$63,'310'!$H$65,'310'!$H$67:$H$70,'310'!$H$72:$H$76,'310'!$H$78,'310'!$H$80</definedName>
    <definedName name="OSRRefH22x_0" localSheetId="71">'310 &amp; 491'!$H$35:$H$42,'310 &amp; 491'!$H$44:$H$48,'310 &amp; 491'!$H$50,'310 &amp; 491'!$H$52,'310 &amp; 491'!$H$54,'310 &amp; 491'!$H$56:$H$57,'310 &amp; 491'!$H$59,'310 &amp; 491'!$H$61,'310 &amp; 491'!$H$63:$H$64,'310 &amp; 491'!$H$66,'310 &amp; 491'!$H$68,'310 &amp; 491'!$H$70,'310 &amp; 491'!$H$72,'310 &amp; 491'!$H$74:$H$76,'310 &amp; 491'!$H$78,'310 &amp; 491'!$H$80:$H$83,'310 &amp; 491'!$H$85,'310 &amp; 491'!$H$87:$H$95,'310 &amp; 491'!$H$97,'310 &amp; 491'!$H$99,'310 &amp; 491'!$H$101:$H$102,'310 &amp; 491'!$H$104</definedName>
    <definedName name="OSRRefH22x_0" localSheetId="54">'311'!$H$61:$H$69,'311'!$H$71:$H$77,'311'!$H$79,'311'!$H$81,'311'!$H$83,'311'!$H$85,'311'!$H$87,'311'!$H$89,'311'!$H$91,'311'!$H$93:$H$95,'311'!$H$97,'311'!$H$99:$H$100,'311'!$H$102:$H$103,'311'!$H$105</definedName>
    <definedName name="OSRRefH22x_0" localSheetId="65">'313'!$H$25:$H$32,'313'!$H$34,'313'!$H$36,'313'!$H$38,'313'!$H$40,'313'!$H$42,'313'!$H$44</definedName>
    <definedName name="OSRRefH22x_0" localSheetId="57">'315'!$H$86:$H$93,'315'!$H$95:$H$99,'315'!$H$101,'315'!$H$103:$H$104,'315'!$H$106,'315'!$H$108:$H$109,'315'!$H$111:$H$112,'315'!$H$114,'315'!$H$116:$H$117,'315'!$H$119:$H$120,'315'!$H$122:$H$123,'315'!$H$125:$H$127,'315'!$H$129,'315'!$H$131</definedName>
    <definedName name="OSRRefH22x_0" localSheetId="60">'316'!$H$32:$H$39,'316'!$H$41:$H$43,'316'!$H$45,'316'!$H$47,'316'!$H$49,'316'!$H$51,'316'!$H$53:$H$54,'316'!$H$56,'316'!$H$58:$H$60,'316'!$H$62,'316'!$H$64:$H$68,'316'!$H$70,'316'!$H$72</definedName>
    <definedName name="OSRRefH22x_0" localSheetId="62">'317'!$H$53:$H$61,'317'!$H$63:$H$67,'317'!$H$69,'317'!$H$71,'317'!$H$73,'317'!$H$75:$H$76,'317'!$H$78,'317'!$H$80,'317'!$H$82:$H$84,'317'!$H$86,'317'!$H$88</definedName>
    <definedName name="OSRRefH22x_0" localSheetId="66">'321'!$H$24:$H$31,'321'!$H$33:$H$36,'321'!$H$38,'321'!$H$40,'321'!$H$42,'321'!$H$44,'321'!$H$46:$H$47,'321'!$H$49,'321'!$H$51:$H$52,'321'!$H$54:$H$58,'321'!$H$60,'321'!$H$62</definedName>
    <definedName name="OSRRefH22x_0" localSheetId="67">'322'!$H$21:$H$25,'322'!$H$27,'322'!$H$29,'322'!$H$31,'322'!$H$33:$H$34,'322'!$H$36,'322'!$H$38,'322'!$H$40</definedName>
    <definedName name="OSRRefH22x_0" localSheetId="68">'325'!$H$24:$H$31,'325'!$H$33:$H$35,'325'!$H$37,'325'!$H$39,'325'!$H$41,'325'!$H$43:$H$44,'325'!$H$46,'325'!$H$48,'325'!$H$50,'325'!$H$52:$H$53,'325'!$H$55:$H$58,'325'!$H$60:$H$63,'325'!$H$65,'325'!$H$67</definedName>
    <definedName name="OSRRefH22x_0" localSheetId="58">'326'!$H$49:$H$56,'326'!$H$58:$H$62,'326'!$H$64,'326'!$H$66,'326'!$H$68,'326'!$H$70,'326'!$H$72,'326'!$H$74,'326'!$H$76,'326'!$H$78,'326'!$H$80,'326'!$H$82:$H$84,'326'!$H$86:$H$88,'326'!$H$90,'326'!$H$92:$H$95,'326'!$H$97,'326'!$H$99,'326'!$H$101</definedName>
    <definedName name="OSRRefH22x_0" localSheetId="69">'327'!$H$24</definedName>
    <definedName name="OSRRefH22x_0" localSheetId="51">'330'!$H$46:$H$49,'330'!$H$51:$H$53,'330'!$H$55,'330'!$H$57,'330'!$H$59:$H$60,'330'!$H$62:$H$63,'330'!$H$65,'330'!$H$67,'330'!$H$69:$H$70,'330'!$H$72:$H$73,'330'!$H$75:$H$78,'330'!$H$80,'330'!$H$82</definedName>
    <definedName name="OSRRefH22x_0" localSheetId="56">'331'!$H$86:$H$93,'331'!$H$95:$H$99,'331'!$H$101,'331'!$H$103,'331'!$H$105,'331'!$H$107:$H$108,'331'!$H$110,'331'!$H$112:$H$113,'331'!$H$115,'331'!$H$117,'331'!$H$119:$H$120,'331'!$H$122,'331'!$H$124,'331'!$H$126:$H$128,'331'!$H$130:$H$131,'331'!$H$133:$H$135,'331'!$H$137:$H$138,'331'!$H$140:$H$143,'331'!$H$145,'331'!$H$147,'331'!$H$149</definedName>
    <definedName name="OSRRefH22x_0" localSheetId="59">'332'!$H$34:$H$41,'332'!$H$43:$H$45,'332'!$H$47,'332'!$H$49,'332'!$H$51,'332'!$H$53,'332'!$H$55:$H$56,'332'!$H$58,'332'!$H$60:$H$62,'332'!$H$64,'332'!$H$66:$H$70,'332'!$H$72,'332'!$H$74</definedName>
    <definedName name="OSRRefH22x_0" localSheetId="73">'405'!$H$24:$H$31,'405'!$H$33:$H$36,'405'!$H$38,'405'!$H$40,'405'!$H$42,'405'!$H$44:$H$45,'405'!$H$47,'405'!$H$49,'405'!$H$51,'405'!$H$53,'405'!$H$55:$H$56,'405'!$H$58:$H$61,'405'!$H$63,'405'!$H$65:$H$72,'405'!$H$74,'405'!$H$76</definedName>
    <definedName name="OSRRefH22x_0" localSheetId="74">'406'!$H$20,'406'!$H$22,'406'!$H$24,'406'!$H$26,'406'!$H$28</definedName>
    <definedName name="OSRRefH22x_0" localSheetId="75">'411'!$H$20:$H$27,'411'!$H$29:$H$33,'411'!$H$35,'411'!$H$37:$H$38,'411'!$H$40,'411'!$H$42,'411'!$H$44,'411'!$H$46,'411'!$H$48,'411'!$H$50:$H$52,'411'!$H$54:$H$56,'411'!$H$58:$H$59,'411'!$H$61,'411'!$H$63:$H$64,'411'!$H$66</definedName>
    <definedName name="OSRRefH22x_0" localSheetId="76">'412'!$H$20,'412'!$H$22,'412'!$H$24:$H$25,'412'!$H$27,'412'!$H$29</definedName>
    <definedName name="OSRRefH22x_0" localSheetId="77">'413'!$H$20:$H$24,'413'!$H$26,'413'!$H$28,'413'!$H$30,'413'!$H$32,'413'!$H$34</definedName>
    <definedName name="OSRRefH22x_0" localSheetId="78">'414'!$H$21,'414'!$H$23,'414'!$H$25,'414'!$H$27,'414'!$H$29:$H$30</definedName>
    <definedName name="OSRRefH22x_0" localSheetId="79">'415'!$H$24:$H$31,'415'!$H$33:$H$36,'415'!$H$38,'415'!$H$40,'415'!$H$42,'415'!$H$44:$H$45,'415'!$H$47,'415'!$H$49,'415'!$H$51,'415'!$H$53,'415'!$H$55:$H$56,'415'!$H$58:$H$61,'415'!$H$63,'415'!$H$65:$H$70,'415'!$H$72,'415'!$H$74,'415'!$H$76</definedName>
    <definedName name="OSRRefH22x_0" localSheetId="80">'418'!$H$21:$H$28,'418'!$H$30:$H$33,'418'!$H$35,'418'!$H$37,'418'!$H$39:$H$40,'418'!$H$42,'418'!$H$44,'418'!$H$46,'418'!$H$48:$H$49,'418'!$H$51,'418'!$H$53,'418'!$H$55:$H$59,'418'!$H$61</definedName>
    <definedName name="OSRRefH22x_0" localSheetId="81">'420'!$H$21</definedName>
    <definedName name="OSRRefH22x_0" localSheetId="82">'423'!$H$20:$H$21,'423'!$H$23,'423'!$H$25,'423'!$H$27</definedName>
    <definedName name="OSRRefH22x_0" localSheetId="83">'424'!$H$20,'424'!$H$22,'424'!$H$24,'424'!$H$26</definedName>
    <definedName name="OSRRefH22x_0" localSheetId="84">'425'!$H$22:$H$26,'425'!$H$28,'425'!$H$30,'425'!$H$32,'425'!$H$34,'425'!$H$36:$H$37,'425'!$H$39,'425'!$H$41,'425'!$H$43</definedName>
    <definedName name="OSRRefH22x_0" localSheetId="87">'430'!$H$20:$H$27,'430'!$H$29,'430'!$H$31,'430'!$H$33,'430'!$H$35,'430'!$H$37:$H$38,'430'!$H$40,'430'!$H$42</definedName>
    <definedName name="OSRRefH22x_0" localSheetId="88">'433'!$H$25:$H$33,'433'!$H$35:$H$39,'433'!$H$41,'433'!$H$43,'433'!$H$45,'433'!$H$47,'433'!$H$49,'433'!$H$51,'433'!$H$53,'433'!$H$55,'433'!$H$57,'433'!$H$59:$H$60,'433'!$H$62:$H$64,'433'!$H$66:$H$73,'433'!$H$75</definedName>
    <definedName name="OSRRefH22x_0" localSheetId="89">'435'!$H$20</definedName>
    <definedName name="OSRRefH22x_0" localSheetId="90">'444'!$H$25:$H$33,'444'!$H$35:$H$39,'444'!$H$41,'444'!$H$43,'444'!$H$45,'444'!$H$47,'444'!$H$49,'444'!$H$51,'444'!$H$53,'444'!$H$55,'444'!$H$57:$H$58,'444'!$H$60:$H$62,'444'!$H$64,'444'!$H$66:$H$72,'444'!$H$74,'444'!$H$76</definedName>
    <definedName name="OSRRefH22x_0" localSheetId="91">'450'!$H$25:$H$33,'450'!$H$35:$H$39,'450'!$H$41,'450'!$H$43,'450'!$H$45,'450'!$H$47,'450'!$H$49,'450'!$H$51,'450'!$H$53,'450'!$H$55,'450'!$H$57,'450'!$H$59,'450'!$H$61:$H$62,'450'!$H$64:$H$66,'450'!$H$68:$H$73,'450'!$H$75,'450'!$H$77</definedName>
    <definedName name="OSRRefH22x_0" localSheetId="72">'491'!$H$27:$H$34,'491'!$H$36:$H$40,'491'!$H$42,'491'!$H$44,'491'!$H$46,'491'!$H$48:$H$49,'491'!$H$51,'491'!$H$53,'491'!$H$55,'491'!$H$57,'491'!$H$59,'491'!$H$61,'491'!$H$63,'491'!$H$65:$H$67,'491'!$H$69,'491'!$H$71:$H$74,'491'!$H$76,'491'!$H$78:$H$86,'491'!$H$88,'491'!$H$90,'491'!$H$92:$H$93,'491'!$H$95</definedName>
    <definedName name="OSRRefH22x_0" localSheetId="86">'492'!$H$25:$H$33,'492'!$H$35:$H$40,'492'!$H$42,'492'!$H$44,'492'!$H$46,'492'!$H$48,'492'!$H$50,'492'!$H$52,'492'!$H$54,'492'!$H$56,'492'!$H$58,'492'!$H$60,'492'!$H$62:$H$64,'492'!$H$66:$H$68,'492'!$H$70,'492'!$H$72:$H$79,'492'!$H$81,'492'!$H$83,'492'!$H$85:$H$86</definedName>
    <definedName name="OSRRefH22x_0" localSheetId="93">'501'!$H$21:$H$29,'501'!$H$31:$H$36,'501'!$H$38,'501'!$H$40,'501'!$H$42:$H$43,'501'!$H$45,'501'!$H$47,'501'!$H$49:$H$50,'501'!$H$52:$H$53,'501'!$H$55,'501'!$H$57</definedName>
    <definedName name="OSRRefH22x_0" localSheetId="39">'Div 2'!$H$20:$H$29,'Div 2'!$H$31:$H$36,'Div 2'!$H$38,'Div 2'!$H$40,'Div 2'!$H$42,'Div 2'!$H$44,'Div 2'!$H$46,'Div 2'!$H$48,'Div 2'!$H$50,'Div 2'!$H$52:$H$53,'Div 2'!$H$55,'Div 2'!$H$57,'Div 2'!$H$59:$H$61,'Div 2'!$H$63:$H$66,'Div 2'!$H$68,'Div 2'!$H$70,'Div 2'!$H$72:$H$76,'Div 2'!$H$78:$H$79,'Div 2'!$H$81,'Div 2'!$H$83:$H$84</definedName>
    <definedName name="OSRRefH22x_0" localSheetId="47">'Div 3'!$H$129:$H$138,'Div 3'!$H$140:$H$146,'Div 3'!$H$148,'Div 3'!$H$150,'Div 3'!$H$152,'Div 3'!$H$154:$H$155,'Div 3'!$H$157:$H$158,'Div 3'!$H$160,'Div 3'!$H$162,'Div 3'!$H$164,'Div 3'!$H$166:$H$167,'Div 3'!$H$169,'Div 3'!$H$171,'Div 3'!$H$173,'Div 3'!$H$175:$H$176,'Div 3'!$H$178,'Div 3'!$H$180,'Div 3'!$H$182:$H$185,'Div 3'!$H$187:$H$189,'Div 3'!$H$191:$H$195,'Div 3'!$H$197:$H$198,'Div 3'!$H$200:$H$206,'Div 3'!$H$208:$H$209,'Div 3'!$H$211,'Div 3'!$H$213:$H$215,'Div 3'!$H$217</definedName>
    <definedName name="OSRRefH22x_0" localSheetId="70">'Div 4'!$H$28:$H$36,'Div 4'!$H$38:$H$43,'Div 4'!$H$45,'Div 4'!$H$47,'Div 4'!$H$49,'Div 4'!$H$51:$H$52,'Div 4'!$H$54,'Div 4'!$H$56,'Div 4'!$H$58,'Div 4'!$H$60,'Div 4'!$H$62,'Div 4'!$H$64,'Div 4'!$H$66,'Div 4'!$H$68,'Div 4'!$H$70,'Div 4'!$H$72:$H$74,'Div 4'!$H$76,'Div 4'!$H$78:$H$81,'Div 4'!$H$83:$H$84,'Div 4'!$H$86:$H$94,'Div 4'!$H$96,'Div 4'!$H$98,'Div 4'!$H$100:$H$101,'Div 4'!$H$103</definedName>
    <definedName name="OSRRefH22x_0" localSheetId="92">'Div 5'!$H$21:$H$29,'Div 5'!$H$31:$H$36,'Div 5'!$H$38,'Div 5'!$H$40,'Div 5'!$H$42:$H$43,'Div 5'!$H$45,'Div 5'!$H$47,'Div 5'!$H$49:$H$50,'Div 5'!$H$52:$H$53,'Div 5'!$H$55,'Div 5'!$H$57</definedName>
    <definedName name="OSRRefH22x_0" localSheetId="61">'Div 6'!$H$53:$H$61,'Div 6'!$H$63:$H$67,'Div 6'!$H$69,'Div 6'!$H$71,'Div 6'!$H$73,'Div 6'!$H$75:$H$76,'Div 6'!$H$78,'Div 6'!$H$80,'Div 6'!$H$82:$H$84,'Div 6'!$H$86,'Div 6'!$H$88</definedName>
    <definedName name="OSRRefH22x_0" localSheetId="2">Summary!$H$155:$H$164,Summary!$H$166:$H$172,Summary!$H$174,Summary!$H$176,Summary!$H$178,Summary!$H$180:$H$181,Summary!$H$183:$H$184,Summary!$H$186,Summary!$H$188,Summary!$H$190,Summary!$H$192:$H$193,Summary!$H$195,Summary!$H$197,Summary!$H$199,Summary!$H$201:$H$202,Summary!$H$204,Summary!$H$206,Summary!$H$208,Summary!$H$210:$H$213,Summary!$H$215:$H$217,Summary!$H$219:$H$223,Summary!$H$225:$H$226,Summary!$H$228:$H$236,Summary!$H$238:$H$239,Summary!$H$241,Summary!$H$243:$H$245,Summary!$H$247</definedName>
    <definedName name="OSRRefH25x_0" localSheetId="48">'300'!$H$212:$H$215</definedName>
    <definedName name="OSRRefH25x_0" localSheetId="49">'300 &amp; 317'!$H$234:$H$239</definedName>
    <definedName name="OSRRefH25x_0" localSheetId="50">'301'!$H$96</definedName>
    <definedName name="OSRRefH25x_0" localSheetId="53">'308'!$H$108:$H$110</definedName>
    <definedName name="OSRRefH25x_0" localSheetId="71">'310 &amp; 491'!$H$107:$H$109</definedName>
    <definedName name="OSRRefH25x_0" localSheetId="54">'311'!$H$108:$H$110</definedName>
    <definedName name="OSRRefH25x_0" localSheetId="57">'315'!$H$134:$H$135</definedName>
    <definedName name="OSRRefH25x_0" localSheetId="60">'316'!$H$75</definedName>
    <definedName name="OSRRefH25x_0" localSheetId="62">'317'!$H$91:$H$93</definedName>
    <definedName name="OSRRefH25x_0" localSheetId="56">'331'!$H$152:$H$153</definedName>
    <definedName name="OSRRefH25x_0" localSheetId="59">'332'!$H$77:$H$78</definedName>
    <definedName name="OSRRefH25x_0" localSheetId="73">'405'!$H$79</definedName>
    <definedName name="OSRRefH25x_0" localSheetId="75">'411'!$H$69:$H$70</definedName>
    <definedName name="OSRRefH25x_0" localSheetId="79">'415'!$H$79</definedName>
    <definedName name="OSRRefH25x_0" localSheetId="80">'418'!$H$64</definedName>
    <definedName name="OSRRefH25x_0" localSheetId="82">'423'!$H$30</definedName>
    <definedName name="OSRRefH25x_0" localSheetId="85">'455'!$H$21:$H$22</definedName>
    <definedName name="OSRRefH25x_0" localSheetId="72">'491'!$H$98:$H$100</definedName>
    <definedName name="OSRRefH25x_0" localSheetId="93">'501'!$H$60</definedName>
    <definedName name="OSRRefH25x_0" localSheetId="47">'Div 3'!$H$220:$H$223</definedName>
    <definedName name="OSRRefH25x_0" localSheetId="70">'Div 4'!$H$106:$H$108</definedName>
    <definedName name="OSRRefH25x_0" localSheetId="92">'Div 5'!$H$60</definedName>
    <definedName name="OSRRefH25x_0" localSheetId="61">'Div 6'!$H$91:$H$93</definedName>
    <definedName name="OSRRefH25x_0" localSheetId="2">Summary!$H$250:$H$257</definedName>
    <definedName name="OSRRefP13x_0" localSheetId="48">'300'!$P$13:$P$77</definedName>
    <definedName name="OSRRefP13x_0" localSheetId="49">'300 &amp; 317'!$P$13:$P$91</definedName>
    <definedName name="OSRRefP13x_0" localSheetId="52">'307'!$P$13:$P$25</definedName>
    <definedName name="OSRRefP13x_0" localSheetId="53">'308'!$P$13:$P$36</definedName>
    <definedName name="OSRRefP13x_0" localSheetId="63">'310'!$P$13:$P$21</definedName>
    <definedName name="OSRRefP13x_0" localSheetId="71">'310 &amp; 491'!$P$13:$P$25</definedName>
    <definedName name="OSRRefP13x_0" localSheetId="54">'311'!$P$13:$P$36</definedName>
    <definedName name="OSRRefP13x_0" localSheetId="65">'313'!$P$13:$P$16</definedName>
    <definedName name="OSRRefP13x_0" localSheetId="57">'315'!$P$13:$P$54</definedName>
    <definedName name="OSRRefP13x_0" localSheetId="60">'316'!$P$13:$P$23</definedName>
    <definedName name="OSRRefP13x_0" localSheetId="62">'317'!$P$13:$P$33</definedName>
    <definedName name="OSRRefP13x_0" localSheetId="66">'321'!$P$13:$P$14</definedName>
    <definedName name="OSRRefP13x_0" localSheetId="55">'324'!$P$13:$P$16</definedName>
    <definedName name="OSRRefP13x_0" localSheetId="68">'325'!$P$13:$P$14</definedName>
    <definedName name="OSRRefP13x_0" localSheetId="58">'326'!$P$13:$P$34</definedName>
    <definedName name="OSRRefP13x_0" localSheetId="69">'327'!$P$13:$P$14</definedName>
    <definedName name="OSRRefP13x_0" localSheetId="51">'330'!$P$13:$P$28</definedName>
    <definedName name="OSRRefP13x_0" localSheetId="56">'331'!$P$13:$P$54</definedName>
    <definedName name="OSRRefP13x_0" localSheetId="59">'332'!$P$13:$P$23</definedName>
    <definedName name="OSRRefP13x_0" localSheetId="73">'405'!$P$13:$P$14</definedName>
    <definedName name="OSRRefP13x_0" localSheetId="78">'414'!$P$13</definedName>
    <definedName name="OSRRefP13x_0" localSheetId="79">'415'!$P$13:$P$14</definedName>
    <definedName name="OSRRefP13x_0" localSheetId="81">'420'!$P$13</definedName>
    <definedName name="OSRRefP13x_0" localSheetId="84">'425'!$P$13</definedName>
    <definedName name="OSRRefP13x_0" localSheetId="88">'433'!$P$13:$P$15</definedName>
    <definedName name="OSRRefP13x_0" localSheetId="90">'444'!$P$13:$P$15</definedName>
    <definedName name="OSRRefP13x_0" localSheetId="91">'450'!$P$13:$P$15</definedName>
    <definedName name="OSRRefP13x_0" localSheetId="72">'491'!$P$13:$P$17</definedName>
    <definedName name="OSRRefP13x_0" localSheetId="86">'492'!$P$13:$P$15</definedName>
    <definedName name="OSRRefP13x_0" localSheetId="93">'501'!$P$13</definedName>
    <definedName name="OSRRefP13x_0" localSheetId="47">'Div 3'!$P$13:$P$80</definedName>
    <definedName name="OSRRefP13x_0" localSheetId="70">'Div 4'!$P$13:$P$18</definedName>
    <definedName name="OSRRefP13x_0" localSheetId="92">'Div 5'!$P$13</definedName>
    <definedName name="OSRRefP13x_0" localSheetId="61">'Div 6'!$P$13:$P$33</definedName>
    <definedName name="OSRRefP13x_0" localSheetId="2">Summary!$P$13:$P$98</definedName>
    <definedName name="OSRRefP16x_0" localSheetId="48">'300'!$P$80:$P$118</definedName>
    <definedName name="OSRRefP16x_0" localSheetId="49">'300 &amp; 317'!$P$94:$P$140</definedName>
    <definedName name="OSRRefP16x_0" localSheetId="50">'301'!$P$15</definedName>
    <definedName name="OSRRefP16x_0" localSheetId="52">'307'!$P$28:$P$37</definedName>
    <definedName name="OSRRefP16x_0" localSheetId="53">'308'!$P$39:$P$55</definedName>
    <definedName name="OSRRefP16x_0" localSheetId="63">'310'!$P$24:$P$25</definedName>
    <definedName name="OSRRefP16x_0" localSheetId="71">'310 &amp; 491'!$P$28:$P$29</definedName>
    <definedName name="OSRRefP16x_0" localSheetId="54">'311'!$P$39:$P$55</definedName>
    <definedName name="OSRRefP16x_0" localSheetId="65">'313'!$P$19</definedName>
    <definedName name="OSRRefP16x_0" localSheetId="57">'315'!$P$57:$P$80</definedName>
    <definedName name="OSRRefP16x_0" localSheetId="60">'316'!$P$26</definedName>
    <definedName name="OSRRefP16x_0" localSheetId="62">'317'!$P$36:$P$47</definedName>
    <definedName name="OSRRefP16x_0" localSheetId="66">'321'!$P$17:$P$18</definedName>
    <definedName name="OSRRefP16x_0" localSheetId="67">'322'!$P$15</definedName>
    <definedName name="OSRRefP16x_0" localSheetId="55">'324'!$P$19:$P$21</definedName>
    <definedName name="OSRRefP16x_0" localSheetId="68">'325'!$P$17:$P$18</definedName>
    <definedName name="OSRRefP16x_0" localSheetId="58">'326'!$P$37:$P$43</definedName>
    <definedName name="OSRRefP16x_0" localSheetId="69">'327'!$P$17:$P$18</definedName>
    <definedName name="OSRRefP16x_0" localSheetId="51">'330'!$P$31:$P$40</definedName>
    <definedName name="OSRRefP16x_0" localSheetId="56">'331'!$P$57:$P$80</definedName>
    <definedName name="OSRRefP16x_0" localSheetId="59">'332'!$P$26:$P$28</definedName>
    <definedName name="OSRRefP16x_0" localSheetId="73">'405'!$P$17:$P$18</definedName>
    <definedName name="OSRRefP16x_0" localSheetId="79">'415'!$P$17:$P$18</definedName>
    <definedName name="OSRRefP16x_0" localSheetId="80">'418'!$P$15</definedName>
    <definedName name="OSRRefP16x_0" localSheetId="84">'425'!$P$16</definedName>
    <definedName name="OSRRefP16x_0" localSheetId="88">'433'!$P$18:$P$19</definedName>
    <definedName name="OSRRefP16x_0" localSheetId="90">'444'!$P$18:$P$19</definedName>
    <definedName name="OSRRefP16x_0" localSheetId="91">'450'!$P$18:$P$19</definedName>
    <definedName name="OSRRefP16x_0" localSheetId="72">'491'!$P$20:$P$21</definedName>
    <definedName name="OSRRefP16x_0" localSheetId="86">'492'!$P$18:$P$19</definedName>
    <definedName name="OSRRefP16x_0" localSheetId="47">'Div 3'!$P$83:$P$123</definedName>
    <definedName name="OSRRefP16x_0" localSheetId="70">'Div 4'!$P$21:$P$22</definedName>
    <definedName name="OSRRefP16x_0" localSheetId="61">'Div 6'!$P$36:$P$47</definedName>
    <definedName name="OSRRefP16x_0" localSheetId="2">Summary!$P$101:$P$149</definedName>
    <definedName name="OSRRefP22_0x_0" localSheetId="40">'200'!$P$20</definedName>
    <definedName name="OSRRefP22_0x_0" localSheetId="41">'201'!$P$20:$P$27</definedName>
    <definedName name="OSRRefP22_0x_0" localSheetId="42">'202'!$P$20:$P$27</definedName>
    <definedName name="OSRRefP22_0x_0" localSheetId="43">'203'!$P$20:$P$28</definedName>
    <definedName name="OSRRefP22_0x_0" localSheetId="44">'204'!$P$20:$P$28</definedName>
    <definedName name="OSRRefP22_0x_0" localSheetId="45">'205'!$P$20:$P$27</definedName>
    <definedName name="OSRRefP22_0x_0" localSheetId="46">'206'!$P$20:$P$26</definedName>
    <definedName name="OSRRefP22_0x_0" localSheetId="48">'300'!$P$124:$P$133</definedName>
    <definedName name="OSRRefP22_0x_0" localSheetId="49">'300 &amp; 317'!$P$146:$P$155</definedName>
    <definedName name="OSRRefP22_0x_0" localSheetId="50">'301'!$P$21:$P$30</definedName>
    <definedName name="OSRRefP22_0x_0" localSheetId="52">'307'!$P$43:$P$45</definedName>
    <definedName name="OSRRefP22_0x_0" localSheetId="53">'308'!$P$61:$P$69</definedName>
    <definedName name="OSRRefP22_0x_0" localSheetId="64">'309'!$P$20</definedName>
    <definedName name="OSRRefP22_0x_0" localSheetId="63">'310'!$P$31:$P$38</definedName>
    <definedName name="OSRRefP22_0x_0" localSheetId="71">'310 &amp; 491'!$P$35:$P$42</definedName>
    <definedName name="OSRRefP22_0x_0" localSheetId="54">'311'!$P$61:$P$69</definedName>
    <definedName name="OSRRefP22_0x_0" localSheetId="65">'313'!$P$25:$P$32</definedName>
    <definedName name="OSRRefP22_0x_0" localSheetId="57">'315'!$P$86:$P$93</definedName>
    <definedName name="OSRRefP22_0x_0" localSheetId="60">'316'!$P$32:$P$39</definedName>
    <definedName name="OSRRefP22_0x_0" localSheetId="62">'317'!$P$53:$P$61</definedName>
    <definedName name="OSRRefP22_0x_0" localSheetId="66">'321'!$P$24:$P$31</definedName>
    <definedName name="OSRRefP22_0x_0" localSheetId="67">'322'!$P$21:$P$25</definedName>
    <definedName name="OSRRefP22_0x_0" localSheetId="68">'325'!$P$24:$P$31</definedName>
    <definedName name="OSRRefP22_0x_0" localSheetId="58">'326'!$P$49:$P$56</definedName>
    <definedName name="OSRRefP22_0x_0" localSheetId="69">'327'!$P$24</definedName>
    <definedName name="OSRRefP22_0x_0" localSheetId="51">'330'!$P$46:$P$49</definedName>
    <definedName name="OSRRefP22_0x_0" localSheetId="56">'331'!$P$86:$P$93</definedName>
    <definedName name="OSRRefP22_0x_0" localSheetId="59">'332'!$P$34:$P$41</definedName>
    <definedName name="OSRRefP22_0x_0" localSheetId="73">'405'!$P$24:$P$31</definedName>
    <definedName name="OSRRefP22_0x_0" localSheetId="74">'406'!$P$20</definedName>
    <definedName name="OSRRefP22_0x_0" localSheetId="75">'411'!$P$20:$P$27</definedName>
    <definedName name="OSRRefP22_0x_0" localSheetId="76">'412'!$P$20</definedName>
    <definedName name="OSRRefP22_0x_0" localSheetId="77">'413'!$P$20:$P$24</definedName>
    <definedName name="OSRRefP22_0x_0" localSheetId="78">'414'!$P$21</definedName>
    <definedName name="OSRRefP22_0x_0" localSheetId="79">'415'!$P$24:$P$31</definedName>
    <definedName name="OSRRefP22_0x_0" localSheetId="80">'418'!$P$21:$P$28</definedName>
    <definedName name="OSRRefP22_0x_0" localSheetId="81">'420'!$P$21</definedName>
    <definedName name="OSRRefP22_0x_0" localSheetId="82">'423'!$P$20:$P$21</definedName>
    <definedName name="OSRRefP22_0x_0" localSheetId="83">'424'!$P$20</definedName>
    <definedName name="OSRRefP22_0x_0" localSheetId="84">'425'!$P$22:$P$26</definedName>
    <definedName name="OSRRefP22_0x_0" localSheetId="87">'430'!$P$20:$P$27</definedName>
    <definedName name="OSRRefP22_0x_0" localSheetId="88">'433'!$P$25:$P$33</definedName>
    <definedName name="OSRRefP22_0x_0" localSheetId="89">'435'!$P$20</definedName>
    <definedName name="OSRRefP22_0x_0" localSheetId="90">'444'!$P$25:$P$33</definedName>
    <definedName name="OSRRefP22_0x_0" localSheetId="91">'450'!$P$25:$P$33</definedName>
    <definedName name="OSRRefP22_0x_0" localSheetId="72">'491'!$P$27:$P$34</definedName>
    <definedName name="OSRRefP22_0x_0" localSheetId="86">'492'!$P$25:$P$33</definedName>
    <definedName name="OSRRefP22_0x_0" localSheetId="93">'501'!$P$21:$P$29</definedName>
    <definedName name="OSRRefP22_0x_0" localSheetId="39">'Div 2'!$P$20:$P$29</definedName>
    <definedName name="OSRRefP22_0x_0" localSheetId="47">'Div 3'!$P$129:$P$138</definedName>
    <definedName name="OSRRefP22_0x_0" localSheetId="70">'Div 4'!$P$28:$P$36</definedName>
    <definedName name="OSRRefP22_0x_0" localSheetId="92">'Div 5'!$P$21:$P$29</definedName>
    <definedName name="OSRRefP22_0x_0" localSheetId="61">'Div 6'!$P$53:$P$61</definedName>
    <definedName name="OSRRefP22_0x_0" localSheetId="2">Summary!$P$155:$P$164</definedName>
    <definedName name="OSRRefP22_10x_0" localSheetId="41">'201'!$P$52</definedName>
    <definedName name="OSRRefP22_10x_0" localSheetId="42">'202'!$P$53</definedName>
    <definedName name="OSRRefP22_10x_0" localSheetId="43">'203'!$P$54:$P$57</definedName>
    <definedName name="OSRRefP22_10x_0" localSheetId="48">'300'!$P$161:$P$162</definedName>
    <definedName name="OSRRefP22_10x_0" localSheetId="49">'300 &amp; 317'!$P$183:$P$184</definedName>
    <definedName name="OSRRefP22_10x_0" localSheetId="50">'301'!$P$58</definedName>
    <definedName name="OSRRefP22_10x_0" localSheetId="52">'307'!$P$70:$P$73</definedName>
    <definedName name="OSRRefP22_10x_0" localSheetId="53">'308'!$P$97</definedName>
    <definedName name="OSRRefP22_10x_0" localSheetId="63">'310'!$P$62:$P$63</definedName>
    <definedName name="OSRRefP22_10x_0" localSheetId="71">'310 &amp; 491'!$P$68</definedName>
    <definedName name="OSRRefP22_10x_0" localSheetId="54">'311'!$P$97</definedName>
    <definedName name="OSRRefP22_10x_0" localSheetId="57">'315'!$P$122:$P$123</definedName>
    <definedName name="OSRRefP22_10x_0" localSheetId="60">'316'!$P$64:$P$68</definedName>
    <definedName name="OSRRefP22_10x_0" localSheetId="62">'317'!$P$88</definedName>
    <definedName name="OSRRefP22_10x_0" localSheetId="66">'321'!$P$60</definedName>
    <definedName name="OSRRefP22_10x_0" localSheetId="68">'325'!$P$55:$P$58</definedName>
    <definedName name="OSRRefP22_10x_0" localSheetId="58">'326'!$P$80</definedName>
    <definedName name="OSRRefP22_10x_0" localSheetId="51">'330'!$P$75:$P$78</definedName>
    <definedName name="OSRRefP22_10x_0" localSheetId="56">'331'!$P$119:$P$120</definedName>
    <definedName name="OSRRefP22_10x_0" localSheetId="59">'332'!$P$66:$P$70</definedName>
    <definedName name="OSRRefP22_10x_0" localSheetId="73">'405'!$P$55:$P$56</definedName>
    <definedName name="OSRRefP22_10x_0" localSheetId="75">'411'!$P$54:$P$56</definedName>
    <definedName name="OSRRefP22_10x_0" localSheetId="79">'415'!$P$55:$P$56</definedName>
    <definedName name="OSRRefP22_10x_0" localSheetId="80">'418'!$P$53</definedName>
    <definedName name="OSRRefP22_10x_0" localSheetId="88">'433'!$P$57</definedName>
    <definedName name="OSRRefP22_10x_0" localSheetId="90">'444'!$P$57:$P$58</definedName>
    <definedName name="OSRRefP22_10x_0" localSheetId="91">'450'!$P$57</definedName>
    <definedName name="OSRRefP22_10x_0" localSheetId="72">'491'!$P$59</definedName>
    <definedName name="OSRRefP22_10x_0" localSheetId="86">'492'!$P$58</definedName>
    <definedName name="OSRRefP22_10x_0" localSheetId="93">'501'!$P$57</definedName>
    <definedName name="OSRRefP22_10x_0" localSheetId="39">'Div 2'!$P$55</definedName>
    <definedName name="OSRRefP22_10x_0" localSheetId="47">'Div 3'!$P$166:$P$167</definedName>
    <definedName name="OSRRefP22_10x_0" localSheetId="70">'Div 4'!$P$62</definedName>
    <definedName name="OSRRefP22_10x_0" localSheetId="92">'Div 5'!$P$57</definedName>
    <definedName name="OSRRefP22_10x_0" localSheetId="61">'Div 6'!$P$88</definedName>
    <definedName name="OSRRefP22_10x_0" localSheetId="2">Summary!$P$192:$P$193</definedName>
    <definedName name="OSRRefP22_11x_0" localSheetId="41">'201'!$P$54:$P$55</definedName>
    <definedName name="OSRRefP22_11x_0" localSheetId="42">'202'!$P$55</definedName>
    <definedName name="OSRRefP22_11x_0" localSheetId="43">'203'!$P$59</definedName>
    <definedName name="OSRRefP22_11x_0" localSheetId="48">'300'!$P$164</definedName>
    <definedName name="OSRRefP22_11x_0" localSheetId="49">'300 &amp; 317'!$P$186</definedName>
    <definedName name="OSRRefP22_11x_0" localSheetId="50">'301'!$P$60</definedName>
    <definedName name="OSRRefP22_11x_0" localSheetId="52">'307'!$P$75</definedName>
    <definedName name="OSRRefP22_11x_0" localSheetId="53">'308'!$P$99:$P$100</definedName>
    <definedName name="OSRRefP22_11x_0" localSheetId="63">'310'!$P$65</definedName>
    <definedName name="OSRRefP22_11x_0" localSheetId="71">'310 &amp; 491'!$P$70</definedName>
    <definedName name="OSRRefP22_11x_0" localSheetId="54">'311'!$P$99:$P$100</definedName>
    <definedName name="OSRRefP22_11x_0" localSheetId="57">'315'!$P$125:$P$127</definedName>
    <definedName name="OSRRefP22_11x_0" localSheetId="60">'316'!$P$70</definedName>
    <definedName name="OSRRefP22_11x_0" localSheetId="66">'321'!$P$62</definedName>
    <definedName name="OSRRefP22_11x_0" localSheetId="68">'325'!$P$60:$P$63</definedName>
    <definedName name="OSRRefP22_11x_0" localSheetId="58">'326'!$P$82:$P$84</definedName>
    <definedName name="OSRRefP22_11x_0" localSheetId="51">'330'!$P$80</definedName>
    <definedName name="OSRRefP22_11x_0" localSheetId="56">'331'!$P$122</definedName>
    <definedName name="OSRRefP22_11x_0" localSheetId="59">'332'!$P$72</definedName>
    <definedName name="OSRRefP22_11x_0" localSheetId="73">'405'!$P$58:$P$61</definedName>
    <definedName name="OSRRefP22_11x_0" localSheetId="75">'411'!$P$58:$P$59</definedName>
    <definedName name="OSRRefP22_11x_0" localSheetId="79">'415'!$P$58:$P$61</definedName>
    <definedName name="OSRRefP22_11x_0" localSheetId="80">'418'!$P$55:$P$59</definedName>
    <definedName name="OSRRefP22_11x_0" localSheetId="88">'433'!$P$59:$P$60</definedName>
    <definedName name="OSRRefP22_11x_0" localSheetId="90">'444'!$P$60:$P$62</definedName>
    <definedName name="OSRRefP22_11x_0" localSheetId="91">'450'!$P$59</definedName>
    <definedName name="OSRRefP22_11x_0" localSheetId="72">'491'!$P$61</definedName>
    <definedName name="OSRRefP22_11x_0" localSheetId="86">'492'!$P$60</definedName>
    <definedName name="OSRRefP22_11x_0" localSheetId="39">'Div 2'!$P$57</definedName>
    <definedName name="OSRRefP22_11x_0" localSheetId="47">'Div 3'!$P$169</definedName>
    <definedName name="OSRRefP22_11x_0" localSheetId="70">'Div 4'!$P$64</definedName>
    <definedName name="OSRRefP22_11x_0" localSheetId="2">Summary!$P$195</definedName>
    <definedName name="OSRRefP22_12x_0" localSheetId="41">'201'!$P$57</definedName>
    <definedName name="OSRRefP22_12x_0" localSheetId="43">'203'!$P$61</definedName>
    <definedName name="OSRRefP22_12x_0" localSheetId="48">'300'!$P$166</definedName>
    <definedName name="OSRRefP22_12x_0" localSheetId="49">'300 &amp; 317'!$P$188</definedName>
    <definedName name="OSRRefP22_12x_0" localSheetId="50">'301'!$P$62</definedName>
    <definedName name="OSRRefP22_12x_0" localSheetId="52">'307'!$P$77</definedName>
    <definedName name="OSRRefP22_12x_0" localSheetId="53">'308'!$P$102:$P$103</definedName>
    <definedName name="OSRRefP22_12x_0" localSheetId="63">'310'!$P$67:$P$70</definedName>
    <definedName name="OSRRefP22_12x_0" localSheetId="71">'310 &amp; 491'!$P$72</definedName>
    <definedName name="OSRRefP22_12x_0" localSheetId="54">'311'!$P$102:$P$103</definedName>
    <definedName name="OSRRefP22_12x_0" localSheetId="57">'315'!$P$129</definedName>
    <definedName name="OSRRefP22_12x_0" localSheetId="60">'316'!$P$72</definedName>
    <definedName name="OSRRefP22_12x_0" localSheetId="68">'325'!$P$65</definedName>
    <definedName name="OSRRefP22_12x_0" localSheetId="58">'326'!$P$86:$P$88</definedName>
    <definedName name="OSRRefP22_12x_0" localSheetId="51">'330'!$P$82</definedName>
    <definedName name="OSRRefP22_12x_0" localSheetId="56">'331'!$P$124</definedName>
    <definedName name="OSRRefP22_12x_0" localSheetId="59">'332'!$P$74</definedName>
    <definedName name="OSRRefP22_12x_0" localSheetId="73">'405'!$P$63</definedName>
    <definedName name="OSRRefP22_12x_0" localSheetId="75">'411'!$P$61</definedName>
    <definedName name="OSRRefP22_12x_0" localSheetId="79">'415'!$P$63</definedName>
    <definedName name="OSRRefP22_12x_0" localSheetId="80">'418'!$P$61</definedName>
    <definedName name="OSRRefP22_12x_0" localSheetId="88">'433'!$P$62:$P$64</definedName>
    <definedName name="OSRRefP22_12x_0" localSheetId="90">'444'!$P$64</definedName>
    <definedName name="OSRRefP22_12x_0" localSheetId="91">'450'!$P$61:$P$62</definedName>
    <definedName name="OSRRefP22_12x_0" localSheetId="72">'491'!$P$63</definedName>
    <definedName name="OSRRefP22_12x_0" localSheetId="86">'492'!$P$62:$P$64</definedName>
    <definedName name="OSRRefP22_12x_0" localSheetId="39">'Div 2'!$P$59:$P$61</definedName>
    <definedName name="OSRRefP22_12x_0" localSheetId="47">'Div 3'!$P$171</definedName>
    <definedName name="OSRRefP22_12x_0" localSheetId="70">'Div 4'!$P$66</definedName>
    <definedName name="OSRRefP22_12x_0" localSheetId="2">Summary!$P$197</definedName>
    <definedName name="OSRRefP22_13x_0" localSheetId="41">'201'!$P$59</definedName>
    <definedName name="OSRRefP22_13x_0" localSheetId="43">'203'!$P$63</definedName>
    <definedName name="OSRRefP22_13x_0" localSheetId="48">'300'!$P$168:$P$169</definedName>
    <definedName name="OSRRefP22_13x_0" localSheetId="49">'300 &amp; 317'!$P$190:$P$191</definedName>
    <definedName name="OSRRefP22_13x_0" localSheetId="50">'301'!$P$64</definedName>
    <definedName name="OSRRefP22_13x_0" localSheetId="53">'308'!$P$105</definedName>
    <definedName name="OSRRefP22_13x_0" localSheetId="63">'310'!$P$72:$P$76</definedName>
    <definedName name="OSRRefP22_13x_0" localSheetId="71">'310 &amp; 491'!$P$74:$P$76</definedName>
    <definedName name="OSRRefP22_13x_0" localSheetId="54">'311'!$P$105</definedName>
    <definedName name="OSRRefP22_13x_0" localSheetId="57">'315'!$P$131</definedName>
    <definedName name="OSRRefP22_13x_0" localSheetId="68">'325'!$P$67</definedName>
    <definedName name="OSRRefP22_13x_0" localSheetId="58">'326'!$P$90</definedName>
    <definedName name="OSRRefP22_13x_0" localSheetId="56">'331'!$P$126:$P$128</definedName>
    <definedName name="OSRRefP22_13x_0" localSheetId="73">'405'!$P$65:$P$72</definedName>
    <definedName name="OSRRefP22_13x_0" localSheetId="75">'411'!$P$63:$P$64</definedName>
    <definedName name="OSRRefP22_13x_0" localSheetId="79">'415'!$P$65:$P$70</definedName>
    <definedName name="OSRRefP22_13x_0" localSheetId="88">'433'!$P$66:$P$73</definedName>
    <definedName name="OSRRefP22_13x_0" localSheetId="90">'444'!$P$66:$P$72</definedName>
    <definedName name="OSRRefP22_13x_0" localSheetId="91">'450'!$P$64:$P$66</definedName>
    <definedName name="OSRRefP22_13x_0" localSheetId="72">'491'!$P$65:$P$67</definedName>
    <definedName name="OSRRefP22_13x_0" localSheetId="86">'492'!$P$66:$P$68</definedName>
    <definedName name="OSRRefP22_13x_0" localSheetId="39">'Div 2'!$P$63:$P$66</definedName>
    <definedName name="OSRRefP22_13x_0" localSheetId="47">'Div 3'!$P$173</definedName>
    <definedName name="OSRRefP22_13x_0" localSheetId="70">'Div 4'!$P$68</definedName>
    <definedName name="OSRRefP22_13x_0" localSheetId="2">Summary!$P$199</definedName>
    <definedName name="OSRRefP22_14x_0" localSheetId="48">'300'!$P$171</definedName>
    <definedName name="OSRRefP22_14x_0" localSheetId="49">'300 &amp; 317'!$P$193</definedName>
    <definedName name="OSRRefP22_14x_0" localSheetId="50">'301'!$P$66</definedName>
    <definedName name="OSRRefP22_14x_0" localSheetId="63">'310'!$P$78</definedName>
    <definedName name="OSRRefP22_14x_0" localSheetId="71">'310 &amp; 491'!$P$78</definedName>
    <definedName name="OSRRefP22_14x_0" localSheetId="58">'326'!$P$92:$P$95</definedName>
    <definedName name="OSRRefP22_14x_0" localSheetId="56">'331'!$P$130:$P$131</definedName>
    <definedName name="OSRRefP22_14x_0" localSheetId="73">'405'!$P$74</definedName>
    <definedName name="OSRRefP22_14x_0" localSheetId="75">'411'!$P$66</definedName>
    <definedName name="OSRRefP22_14x_0" localSheetId="79">'415'!$P$72</definedName>
    <definedName name="OSRRefP22_14x_0" localSheetId="88">'433'!$P$75</definedName>
    <definedName name="OSRRefP22_14x_0" localSheetId="90">'444'!$P$74</definedName>
    <definedName name="OSRRefP22_14x_0" localSheetId="91">'450'!$P$68:$P$73</definedName>
    <definedName name="OSRRefP22_14x_0" localSheetId="72">'491'!$P$69</definedName>
    <definedName name="OSRRefP22_14x_0" localSheetId="86">'492'!$P$70</definedName>
    <definedName name="OSRRefP22_14x_0" localSheetId="39">'Div 2'!$P$68</definedName>
    <definedName name="OSRRefP22_14x_0" localSheetId="47">'Div 3'!$P$175:$P$176</definedName>
    <definedName name="OSRRefP22_14x_0" localSheetId="70">'Div 4'!$P$70</definedName>
    <definedName name="OSRRefP22_14x_0" localSheetId="2">Summary!$P$201:$P$202</definedName>
    <definedName name="OSRRefP22_15x_0" localSheetId="48">'300'!$P$173</definedName>
    <definedName name="OSRRefP22_15x_0" localSheetId="49">'300 &amp; 317'!$P$195</definedName>
    <definedName name="OSRRefP22_15x_0" localSheetId="50">'301'!$P$68:$P$71</definedName>
    <definedName name="OSRRefP22_15x_0" localSheetId="63">'310'!$P$80</definedName>
    <definedName name="OSRRefP22_15x_0" localSheetId="71">'310 &amp; 491'!$P$80:$P$83</definedName>
    <definedName name="OSRRefP22_15x_0" localSheetId="58">'326'!$P$97</definedName>
    <definedName name="OSRRefP22_15x_0" localSheetId="56">'331'!$P$133:$P$135</definedName>
    <definedName name="OSRRefP22_15x_0" localSheetId="73">'405'!$P$76</definedName>
    <definedName name="OSRRefP22_15x_0" localSheetId="79">'415'!$P$74</definedName>
    <definedName name="OSRRefP22_15x_0" localSheetId="90">'444'!$P$76</definedName>
    <definedName name="OSRRefP22_15x_0" localSheetId="91">'450'!$P$75</definedName>
    <definedName name="OSRRefP22_15x_0" localSheetId="72">'491'!$P$71:$P$74</definedName>
    <definedName name="OSRRefP22_15x_0" localSheetId="86">'492'!$P$72:$P$79</definedName>
    <definedName name="OSRRefP22_15x_0" localSheetId="39">'Div 2'!$P$70</definedName>
    <definedName name="OSRRefP22_15x_0" localSheetId="47">'Div 3'!$P$178</definedName>
    <definedName name="OSRRefP22_15x_0" localSheetId="70">'Div 4'!$P$72:$P$74</definedName>
    <definedName name="OSRRefP22_15x_0" localSheetId="2">Summary!$P$204</definedName>
    <definedName name="OSRRefP22_16x_0" localSheetId="48">'300'!$P$175:$P$178</definedName>
    <definedName name="OSRRefP22_16x_0" localSheetId="49">'300 &amp; 317'!$P$197:$P$200</definedName>
    <definedName name="OSRRefP22_16x_0" localSheetId="50">'301'!$P$73:$P$75</definedName>
    <definedName name="OSRRefP22_16x_0" localSheetId="71">'310 &amp; 491'!$P$85</definedName>
    <definedName name="OSRRefP22_16x_0" localSheetId="58">'326'!$P$99</definedName>
    <definedName name="OSRRefP22_16x_0" localSheetId="56">'331'!$P$137:$P$138</definedName>
    <definedName name="OSRRefP22_16x_0" localSheetId="79">'415'!$P$76</definedName>
    <definedName name="OSRRefP22_16x_0" localSheetId="91">'450'!$P$77</definedName>
    <definedName name="OSRRefP22_16x_0" localSheetId="72">'491'!$P$76</definedName>
    <definedName name="OSRRefP22_16x_0" localSheetId="86">'492'!$P$81</definedName>
    <definedName name="OSRRefP22_16x_0" localSheetId="39">'Div 2'!$P$72:$P$76</definedName>
    <definedName name="OSRRefP22_16x_0" localSheetId="47">'Div 3'!$P$180</definedName>
    <definedName name="OSRRefP22_16x_0" localSheetId="70">'Div 4'!$P$76</definedName>
    <definedName name="OSRRefP22_16x_0" localSheetId="2">Summary!$P$206</definedName>
    <definedName name="OSRRefP22_17x_0" localSheetId="48">'300'!$P$180:$P$182</definedName>
    <definedName name="OSRRefP22_17x_0" localSheetId="49">'300 &amp; 317'!$P$202:$P$204</definedName>
    <definedName name="OSRRefP22_17x_0" localSheetId="50">'301'!$P$77</definedName>
    <definedName name="OSRRefP22_17x_0" localSheetId="71">'310 &amp; 491'!$P$87:$P$95</definedName>
    <definedName name="OSRRefP22_17x_0" localSheetId="58">'326'!$P$101</definedName>
    <definedName name="OSRRefP22_17x_0" localSheetId="56">'331'!$P$140:$P$143</definedName>
    <definedName name="OSRRefP22_17x_0" localSheetId="72">'491'!$P$78:$P$86</definedName>
    <definedName name="OSRRefP22_17x_0" localSheetId="86">'492'!$P$83</definedName>
    <definedName name="OSRRefP22_17x_0" localSheetId="39">'Div 2'!$P$78:$P$79</definedName>
    <definedName name="OSRRefP22_17x_0" localSheetId="47">'Div 3'!$P$182:$P$185</definedName>
    <definedName name="OSRRefP22_17x_0" localSheetId="70">'Div 4'!$P$78:$P$81</definedName>
    <definedName name="OSRRefP22_17x_0" localSheetId="2">Summary!$P$208</definedName>
    <definedName name="OSRRefP22_18x_0" localSheetId="48">'300'!$P$184:$P$187</definedName>
    <definedName name="OSRRefP22_18x_0" localSheetId="49">'300 &amp; 317'!$P$206:$P$209</definedName>
    <definedName name="OSRRefP22_18x_0" localSheetId="50">'301'!$P$79:$P$84</definedName>
    <definedName name="OSRRefP22_18x_0" localSheetId="71">'310 &amp; 491'!$P$97</definedName>
    <definedName name="OSRRefP22_18x_0" localSheetId="56">'331'!$P$145</definedName>
    <definedName name="OSRRefP22_18x_0" localSheetId="72">'491'!$P$88</definedName>
    <definedName name="OSRRefP22_18x_0" localSheetId="86">'492'!$P$85:$P$86</definedName>
    <definedName name="OSRRefP22_18x_0" localSheetId="39">'Div 2'!$P$81</definedName>
    <definedName name="OSRRefP22_18x_0" localSheetId="47">'Div 3'!$P$187:$P$189</definedName>
    <definedName name="OSRRefP22_18x_0" localSheetId="70">'Div 4'!$P$83:$P$84</definedName>
    <definedName name="OSRRefP22_18x_0" localSheetId="2">Summary!$P$210:$P$213</definedName>
    <definedName name="OSRRefP22_19x_0" localSheetId="48">'300'!$P$189:$P$190</definedName>
    <definedName name="OSRRefP22_19x_0" localSheetId="49">'300 &amp; 317'!$P$211:$P$212</definedName>
    <definedName name="OSRRefP22_19x_0" localSheetId="50">'301'!$P$86</definedName>
    <definedName name="OSRRefP22_19x_0" localSheetId="71">'310 &amp; 491'!$P$99</definedName>
    <definedName name="OSRRefP22_19x_0" localSheetId="56">'331'!$P$147</definedName>
    <definedName name="OSRRefP22_19x_0" localSheetId="72">'491'!$P$90</definedName>
    <definedName name="OSRRefP22_19x_0" localSheetId="39">'Div 2'!$P$83:$P$84</definedName>
    <definedName name="OSRRefP22_19x_0" localSheetId="47">'Div 3'!$P$191:$P$195</definedName>
    <definedName name="OSRRefP22_19x_0" localSheetId="70">'Div 4'!$P$86:$P$94</definedName>
    <definedName name="OSRRefP22_19x_0" localSheetId="2">Summary!$P$215:$P$217</definedName>
    <definedName name="OSRRefP22_1x_0" localSheetId="40">'200'!$P$22</definedName>
    <definedName name="OSRRefP22_1x_0" localSheetId="41">'201'!$P$29:$P$31</definedName>
    <definedName name="OSRRefP22_1x_0" localSheetId="42">'202'!$P$29:$P$31</definedName>
    <definedName name="OSRRefP22_1x_0" localSheetId="43">'203'!$P$30:$P$34</definedName>
    <definedName name="OSRRefP22_1x_0" localSheetId="44">'204'!$P$30:$P$32</definedName>
    <definedName name="OSRRefP22_1x_0" localSheetId="45">'205'!$P$29</definedName>
    <definedName name="OSRRefP22_1x_0" localSheetId="46">'206'!$P$28:$P$30</definedName>
    <definedName name="OSRRefP22_1x_0" localSheetId="48">'300'!$P$135:$P$141</definedName>
    <definedName name="OSRRefP22_1x_0" localSheetId="49">'300 &amp; 317'!$P$157:$P$163</definedName>
    <definedName name="OSRRefP22_1x_0" localSheetId="50">'301'!$P$32:$P$38</definedName>
    <definedName name="OSRRefP22_1x_0" localSheetId="52">'307'!$P$47:$P$49</definedName>
    <definedName name="OSRRefP22_1x_0" localSheetId="53">'308'!$P$71:$P$77</definedName>
    <definedName name="OSRRefP22_1x_0" localSheetId="64">'309'!$P$22</definedName>
    <definedName name="OSRRefP22_1x_0" localSheetId="63">'310'!$P$40:$P$43</definedName>
    <definedName name="OSRRefP22_1x_0" localSheetId="71">'310 &amp; 491'!$P$44:$P$48</definedName>
    <definedName name="OSRRefP22_1x_0" localSheetId="54">'311'!$P$71:$P$77</definedName>
    <definedName name="OSRRefP22_1x_0" localSheetId="65">'313'!$P$34</definedName>
    <definedName name="OSRRefP22_1x_0" localSheetId="57">'315'!$P$95:$P$99</definedName>
    <definedName name="OSRRefP22_1x_0" localSheetId="60">'316'!$P$41:$P$43</definedName>
    <definedName name="OSRRefP22_1x_0" localSheetId="62">'317'!$P$63:$P$67</definedName>
    <definedName name="OSRRefP22_1x_0" localSheetId="66">'321'!$P$33:$P$36</definedName>
    <definedName name="OSRRefP22_1x_0" localSheetId="67">'322'!$P$27</definedName>
    <definedName name="OSRRefP22_1x_0" localSheetId="68">'325'!$P$33:$P$35</definedName>
    <definedName name="OSRRefP22_1x_0" localSheetId="58">'326'!$P$58:$P$62</definedName>
    <definedName name="OSRRefP22_1x_0" localSheetId="51">'330'!$P$51:$P$53</definedName>
    <definedName name="OSRRefP22_1x_0" localSheetId="56">'331'!$P$95:$P$99</definedName>
    <definedName name="OSRRefP22_1x_0" localSheetId="59">'332'!$P$43:$P$45</definedName>
    <definedName name="OSRRefP22_1x_0" localSheetId="73">'405'!$P$33:$P$36</definedName>
    <definedName name="OSRRefP22_1x_0" localSheetId="74">'406'!$P$22</definedName>
    <definedName name="OSRRefP22_1x_0" localSheetId="75">'411'!$P$29:$P$33</definedName>
    <definedName name="OSRRefP22_1x_0" localSheetId="76">'412'!$P$22</definedName>
    <definedName name="OSRRefP22_1x_0" localSheetId="77">'413'!$P$26</definedName>
    <definedName name="OSRRefP22_1x_0" localSheetId="78">'414'!$P$23</definedName>
    <definedName name="OSRRefP22_1x_0" localSheetId="79">'415'!$P$33:$P$36</definedName>
    <definedName name="OSRRefP22_1x_0" localSheetId="80">'418'!$P$30:$P$33</definedName>
    <definedName name="OSRRefP22_1x_0" localSheetId="82">'423'!$P$23</definedName>
    <definedName name="OSRRefP22_1x_0" localSheetId="83">'424'!$P$22</definedName>
    <definedName name="OSRRefP22_1x_0" localSheetId="84">'425'!$P$28</definedName>
    <definedName name="OSRRefP22_1x_0" localSheetId="87">'430'!$P$29</definedName>
    <definedName name="OSRRefP22_1x_0" localSheetId="88">'433'!$P$35:$P$39</definedName>
    <definedName name="OSRRefP22_1x_0" localSheetId="90">'444'!$P$35:$P$39</definedName>
    <definedName name="OSRRefP22_1x_0" localSheetId="91">'450'!$P$35:$P$39</definedName>
    <definedName name="OSRRefP22_1x_0" localSheetId="72">'491'!$P$36:$P$40</definedName>
    <definedName name="OSRRefP22_1x_0" localSheetId="86">'492'!$P$35:$P$40</definedName>
    <definedName name="OSRRefP22_1x_0" localSheetId="93">'501'!$P$31:$P$36</definedName>
    <definedName name="OSRRefP22_1x_0" localSheetId="39">'Div 2'!$P$31:$P$36</definedName>
    <definedName name="OSRRefP22_1x_0" localSheetId="47">'Div 3'!$P$140:$P$146</definedName>
    <definedName name="OSRRefP22_1x_0" localSheetId="70">'Div 4'!$P$38:$P$43</definedName>
    <definedName name="OSRRefP22_1x_0" localSheetId="92">'Div 5'!$P$31:$P$36</definedName>
    <definedName name="OSRRefP22_1x_0" localSheetId="61">'Div 6'!$P$63:$P$67</definedName>
    <definedName name="OSRRefP22_1x_0" localSheetId="2">Summary!$P$166:$P$172</definedName>
    <definedName name="OSRRefP22_20x_0" localSheetId="48">'300'!$P$192:$P$198</definedName>
    <definedName name="OSRRefP22_20x_0" localSheetId="49">'300 &amp; 317'!$P$214:$P$220</definedName>
    <definedName name="OSRRefP22_20x_0" localSheetId="50">'301'!$P$88</definedName>
    <definedName name="OSRRefP22_20x_0" localSheetId="71">'310 &amp; 491'!$P$101:$P$102</definedName>
    <definedName name="OSRRefP22_20x_0" localSheetId="56">'331'!$P$149</definedName>
    <definedName name="OSRRefP22_20x_0" localSheetId="72">'491'!$P$92:$P$93</definedName>
    <definedName name="OSRRefP22_20x_0" localSheetId="47">'Div 3'!$P$197:$P$198</definedName>
    <definedName name="OSRRefP22_20x_0" localSheetId="70">'Div 4'!$P$96</definedName>
    <definedName name="OSRRefP22_20x_0" localSheetId="2">Summary!$P$219:$P$223</definedName>
    <definedName name="OSRRefP22_21x_0" localSheetId="48">'300'!$P$200:$P$201</definedName>
    <definedName name="OSRRefP22_21x_0" localSheetId="49">'300 &amp; 317'!$P$222:$P$223</definedName>
    <definedName name="OSRRefP22_21x_0" localSheetId="50">'301'!$P$90:$P$91</definedName>
    <definedName name="OSRRefP22_21x_0" localSheetId="71">'310 &amp; 491'!$P$104</definedName>
    <definedName name="OSRRefP22_21x_0" localSheetId="72">'491'!$P$95</definedName>
    <definedName name="OSRRefP22_21x_0" localSheetId="47">'Div 3'!$P$200:$P$206</definedName>
    <definedName name="OSRRefP22_21x_0" localSheetId="70">'Div 4'!$P$98</definedName>
    <definedName name="OSRRefP22_21x_0" localSheetId="2">Summary!$P$225:$P$226</definedName>
    <definedName name="OSRRefP22_22x_0" localSheetId="48">'300'!$P$203</definedName>
    <definedName name="OSRRefP22_22x_0" localSheetId="49">'300 &amp; 317'!$P$225</definedName>
    <definedName name="OSRRefP22_22x_0" localSheetId="50">'301'!$P$93</definedName>
    <definedName name="OSRRefP22_22x_0" localSheetId="47">'Div 3'!$P$208:$P$209</definedName>
    <definedName name="OSRRefP22_22x_0" localSheetId="70">'Div 4'!$P$100:$P$101</definedName>
    <definedName name="OSRRefP22_22x_0" localSheetId="2">Summary!$P$228:$P$236</definedName>
    <definedName name="OSRRefP22_23x_0" localSheetId="48">'300'!$P$205:$P$207</definedName>
    <definedName name="OSRRefP22_23x_0" localSheetId="49">'300 &amp; 317'!$P$227:$P$229</definedName>
    <definedName name="OSRRefP22_23x_0" localSheetId="47">'Div 3'!$P$211</definedName>
    <definedName name="OSRRefP22_23x_0" localSheetId="70">'Div 4'!$P$103</definedName>
    <definedName name="OSRRefP22_23x_0" localSheetId="2">Summary!$P$238:$P$239</definedName>
    <definedName name="OSRRefP22_24x_0" localSheetId="48">'300'!$P$209</definedName>
    <definedName name="OSRRefP22_24x_0" localSheetId="49">'300 &amp; 317'!$P$231</definedName>
    <definedName name="OSRRefP22_24x_0" localSheetId="47">'Div 3'!$P$213:$P$215</definedName>
    <definedName name="OSRRefP22_24x_0" localSheetId="2">Summary!$P$241</definedName>
    <definedName name="OSRRefP22_25x_0" localSheetId="47">'Div 3'!$P$217</definedName>
    <definedName name="OSRRefP22_25x_0" localSheetId="2">Summary!$P$243:$P$245</definedName>
    <definedName name="OSRRefP22_26x_0" localSheetId="2">Summary!$P$247</definedName>
    <definedName name="OSRRefP22_2x_0" localSheetId="40">'200'!$P$24</definedName>
    <definedName name="OSRRefP22_2x_0" localSheetId="41">'201'!$P$33</definedName>
    <definedName name="OSRRefP22_2x_0" localSheetId="42">'202'!$P$33</definedName>
    <definedName name="OSRRefP22_2x_0" localSheetId="43">'203'!$P$36</definedName>
    <definedName name="OSRRefP22_2x_0" localSheetId="44">'204'!$P$34</definedName>
    <definedName name="OSRRefP22_2x_0" localSheetId="45">'205'!$P$31</definedName>
    <definedName name="OSRRefP22_2x_0" localSheetId="46">'206'!$P$32</definedName>
    <definedName name="OSRRefP22_2x_0" localSheetId="48">'300'!$P$143</definedName>
    <definedName name="OSRRefP22_2x_0" localSheetId="49">'300 &amp; 317'!$P$165</definedName>
    <definedName name="OSRRefP22_2x_0" localSheetId="50">'301'!$P$40</definedName>
    <definedName name="OSRRefP22_2x_0" localSheetId="52">'307'!$P$51</definedName>
    <definedName name="OSRRefP22_2x_0" localSheetId="53">'308'!$P$79</definedName>
    <definedName name="OSRRefP22_2x_0" localSheetId="64">'309'!$P$24:$P$25</definedName>
    <definedName name="OSRRefP22_2x_0" localSheetId="63">'310'!$P$45</definedName>
    <definedName name="OSRRefP22_2x_0" localSheetId="71">'310 &amp; 491'!$P$50</definedName>
    <definedName name="OSRRefP22_2x_0" localSheetId="54">'311'!$P$79</definedName>
    <definedName name="OSRRefP22_2x_0" localSheetId="65">'313'!$P$36</definedName>
    <definedName name="OSRRefP22_2x_0" localSheetId="57">'315'!$P$101</definedName>
    <definedName name="OSRRefP22_2x_0" localSheetId="60">'316'!$P$45</definedName>
    <definedName name="OSRRefP22_2x_0" localSheetId="62">'317'!$P$69</definedName>
    <definedName name="OSRRefP22_2x_0" localSheetId="66">'321'!$P$38</definedName>
    <definedName name="OSRRefP22_2x_0" localSheetId="67">'322'!$P$29</definedName>
    <definedName name="OSRRefP22_2x_0" localSheetId="68">'325'!$P$37</definedName>
    <definedName name="OSRRefP22_2x_0" localSheetId="58">'326'!$P$64</definedName>
    <definedName name="OSRRefP22_2x_0" localSheetId="51">'330'!$P$55</definedName>
    <definedName name="OSRRefP22_2x_0" localSheetId="56">'331'!$P$101</definedName>
    <definedName name="OSRRefP22_2x_0" localSheetId="59">'332'!$P$47</definedName>
    <definedName name="OSRRefP22_2x_0" localSheetId="73">'405'!$P$38</definedName>
    <definedName name="OSRRefP22_2x_0" localSheetId="74">'406'!$P$24</definedName>
    <definedName name="OSRRefP22_2x_0" localSheetId="75">'411'!$P$35</definedName>
    <definedName name="OSRRefP22_2x_0" localSheetId="76">'412'!$P$24:$P$25</definedName>
    <definedName name="OSRRefP22_2x_0" localSheetId="77">'413'!$P$28</definedName>
    <definedName name="OSRRefP22_2x_0" localSheetId="78">'414'!$P$25</definedName>
    <definedName name="OSRRefP22_2x_0" localSheetId="79">'415'!$P$38</definedName>
    <definedName name="OSRRefP22_2x_0" localSheetId="80">'418'!$P$35</definedName>
    <definedName name="OSRRefP22_2x_0" localSheetId="82">'423'!$P$25</definedName>
    <definedName name="OSRRefP22_2x_0" localSheetId="83">'424'!$P$24</definedName>
    <definedName name="OSRRefP22_2x_0" localSheetId="84">'425'!$P$30</definedName>
    <definedName name="OSRRefP22_2x_0" localSheetId="87">'430'!$P$31</definedName>
    <definedName name="OSRRefP22_2x_0" localSheetId="88">'433'!$P$41</definedName>
    <definedName name="OSRRefP22_2x_0" localSheetId="90">'444'!$P$41</definedName>
    <definedName name="OSRRefP22_2x_0" localSheetId="91">'450'!$P$41</definedName>
    <definedName name="OSRRefP22_2x_0" localSheetId="72">'491'!$P$42</definedName>
    <definedName name="OSRRefP22_2x_0" localSheetId="86">'492'!$P$42</definedName>
    <definedName name="OSRRefP22_2x_0" localSheetId="93">'501'!$P$38</definedName>
    <definedName name="OSRRefP22_2x_0" localSheetId="39">'Div 2'!$P$38</definedName>
    <definedName name="OSRRefP22_2x_0" localSheetId="47">'Div 3'!$P$148</definedName>
    <definedName name="OSRRefP22_2x_0" localSheetId="70">'Div 4'!$P$45</definedName>
    <definedName name="OSRRefP22_2x_0" localSheetId="92">'Div 5'!$P$38</definedName>
    <definedName name="OSRRefP22_2x_0" localSheetId="61">'Div 6'!$P$69</definedName>
    <definedName name="OSRRefP22_2x_0" localSheetId="2">Summary!$P$174</definedName>
    <definedName name="OSRRefP22_3x_0" localSheetId="40">'200'!$P$26</definedName>
    <definedName name="OSRRefP22_3x_0" localSheetId="41">'201'!$P$35</definedName>
    <definedName name="OSRRefP22_3x_0" localSheetId="42">'202'!$P$35</definedName>
    <definedName name="OSRRefP22_3x_0" localSheetId="43">'203'!$P$38</definedName>
    <definedName name="OSRRefP22_3x_0" localSheetId="44">'204'!$P$36</definedName>
    <definedName name="OSRRefP22_3x_0" localSheetId="45">'205'!$P$33</definedName>
    <definedName name="OSRRefP22_3x_0" localSheetId="46">'206'!$P$34</definedName>
    <definedName name="OSRRefP22_3x_0" localSheetId="48">'300'!$P$145</definedName>
    <definedName name="OSRRefP22_3x_0" localSheetId="49">'300 &amp; 317'!$P$167</definedName>
    <definedName name="OSRRefP22_3x_0" localSheetId="50">'301'!$P$42</definedName>
    <definedName name="OSRRefP22_3x_0" localSheetId="52">'307'!$P$53</definedName>
    <definedName name="OSRRefP22_3x_0" localSheetId="53">'308'!$P$81</definedName>
    <definedName name="OSRRefP22_3x_0" localSheetId="64">'309'!$P$27:$P$28</definedName>
    <definedName name="OSRRefP22_3x_0" localSheetId="63">'310'!$P$47</definedName>
    <definedName name="OSRRefP22_3x_0" localSheetId="71">'310 &amp; 491'!$P$52</definedName>
    <definedName name="OSRRefP22_3x_0" localSheetId="54">'311'!$P$81</definedName>
    <definedName name="OSRRefP22_3x_0" localSheetId="65">'313'!$P$38</definedName>
    <definedName name="OSRRefP22_3x_0" localSheetId="57">'315'!$P$103:$P$104</definedName>
    <definedName name="OSRRefP22_3x_0" localSheetId="60">'316'!$P$47</definedName>
    <definedName name="OSRRefP22_3x_0" localSheetId="62">'317'!$P$71</definedName>
    <definedName name="OSRRefP22_3x_0" localSheetId="66">'321'!$P$40</definedName>
    <definedName name="OSRRefP22_3x_0" localSheetId="67">'322'!$P$31</definedName>
    <definedName name="OSRRefP22_3x_0" localSheetId="68">'325'!$P$39</definedName>
    <definedName name="OSRRefP22_3x_0" localSheetId="58">'326'!$P$66</definedName>
    <definedName name="OSRRefP22_3x_0" localSheetId="51">'330'!$P$57</definedName>
    <definedName name="OSRRefP22_3x_0" localSheetId="56">'331'!$P$103</definedName>
    <definedName name="OSRRefP22_3x_0" localSheetId="59">'332'!$P$49</definedName>
    <definedName name="OSRRefP22_3x_0" localSheetId="73">'405'!$P$40</definedName>
    <definedName name="OSRRefP22_3x_0" localSheetId="74">'406'!$P$26</definedName>
    <definedName name="OSRRefP22_3x_0" localSheetId="75">'411'!$P$37:$P$38</definedName>
    <definedName name="OSRRefP22_3x_0" localSheetId="76">'412'!$P$27</definedName>
    <definedName name="OSRRefP22_3x_0" localSheetId="77">'413'!$P$30</definedName>
    <definedName name="OSRRefP22_3x_0" localSheetId="78">'414'!$P$27</definedName>
    <definedName name="OSRRefP22_3x_0" localSheetId="79">'415'!$P$40</definedName>
    <definedName name="OSRRefP22_3x_0" localSheetId="80">'418'!$P$37</definedName>
    <definedName name="OSRRefP22_3x_0" localSheetId="82">'423'!$P$27</definedName>
    <definedName name="OSRRefP22_3x_0" localSheetId="83">'424'!$P$26</definedName>
    <definedName name="OSRRefP22_3x_0" localSheetId="84">'425'!$P$32</definedName>
    <definedName name="OSRRefP22_3x_0" localSheetId="87">'430'!$P$33</definedName>
    <definedName name="OSRRefP22_3x_0" localSheetId="88">'433'!$P$43</definedName>
    <definedName name="OSRRefP22_3x_0" localSheetId="90">'444'!$P$43</definedName>
    <definedName name="OSRRefP22_3x_0" localSheetId="91">'450'!$P$43</definedName>
    <definedName name="OSRRefP22_3x_0" localSheetId="72">'491'!$P$44</definedName>
    <definedName name="OSRRefP22_3x_0" localSheetId="86">'492'!$P$44</definedName>
    <definedName name="OSRRefP22_3x_0" localSheetId="93">'501'!$P$40</definedName>
    <definedName name="OSRRefP22_3x_0" localSheetId="39">'Div 2'!$P$40</definedName>
    <definedName name="OSRRefP22_3x_0" localSheetId="47">'Div 3'!$P$150</definedName>
    <definedName name="OSRRefP22_3x_0" localSheetId="70">'Div 4'!$P$47</definedName>
    <definedName name="OSRRefP22_3x_0" localSheetId="92">'Div 5'!$P$40</definedName>
    <definedName name="OSRRefP22_3x_0" localSheetId="61">'Div 6'!$P$71</definedName>
    <definedName name="OSRRefP22_3x_0" localSheetId="2">Summary!$P$176</definedName>
    <definedName name="OSRRefP22_4x_0" localSheetId="41">'201'!$P$37</definedName>
    <definedName name="OSRRefP22_4x_0" localSheetId="42">'202'!$P$37:$P$38</definedName>
    <definedName name="OSRRefP22_4x_0" localSheetId="43">'203'!$P$40</definedName>
    <definedName name="OSRRefP22_4x_0" localSheetId="44">'204'!$P$38</definedName>
    <definedName name="OSRRefP22_4x_0" localSheetId="45">'205'!$P$35:$P$36</definedName>
    <definedName name="OSRRefP22_4x_0" localSheetId="46">'206'!$P$36</definedName>
    <definedName name="OSRRefP22_4x_0" localSheetId="48">'300'!$P$147</definedName>
    <definedName name="OSRRefP22_4x_0" localSheetId="49">'300 &amp; 317'!$P$169</definedName>
    <definedName name="OSRRefP22_4x_0" localSheetId="50">'301'!$P$44</definedName>
    <definedName name="OSRRefP22_4x_0" localSheetId="52">'307'!$P$55:$P$56</definedName>
    <definedName name="OSRRefP22_4x_0" localSheetId="53">'308'!$P$83</definedName>
    <definedName name="OSRRefP22_4x_0" localSheetId="64">'309'!$P$30</definedName>
    <definedName name="OSRRefP22_4x_0" localSheetId="63">'310'!$P$49</definedName>
    <definedName name="OSRRefP22_4x_0" localSheetId="71">'310 &amp; 491'!$P$54</definedName>
    <definedName name="OSRRefP22_4x_0" localSheetId="54">'311'!$P$83</definedName>
    <definedName name="OSRRefP22_4x_0" localSheetId="65">'313'!$P$40</definedName>
    <definedName name="OSRRefP22_4x_0" localSheetId="57">'315'!$P$106</definedName>
    <definedName name="OSRRefP22_4x_0" localSheetId="60">'316'!$P$49</definedName>
    <definedName name="OSRRefP22_4x_0" localSheetId="62">'317'!$P$73</definedName>
    <definedName name="OSRRefP22_4x_0" localSheetId="66">'321'!$P$42</definedName>
    <definedName name="OSRRefP22_4x_0" localSheetId="67">'322'!$P$33:$P$34</definedName>
    <definedName name="OSRRefP22_4x_0" localSheetId="68">'325'!$P$41</definedName>
    <definedName name="OSRRefP22_4x_0" localSheetId="58">'326'!$P$68</definedName>
    <definedName name="OSRRefP22_4x_0" localSheetId="51">'330'!$P$59:$P$60</definedName>
    <definedName name="OSRRefP22_4x_0" localSheetId="56">'331'!$P$105</definedName>
    <definedName name="OSRRefP22_4x_0" localSheetId="59">'332'!$P$51</definedName>
    <definedName name="OSRRefP22_4x_0" localSheetId="73">'405'!$P$42</definedName>
    <definedName name="OSRRefP22_4x_0" localSheetId="74">'406'!$P$28</definedName>
    <definedName name="OSRRefP22_4x_0" localSheetId="75">'411'!$P$40</definedName>
    <definedName name="OSRRefP22_4x_0" localSheetId="76">'412'!$P$29</definedName>
    <definedName name="OSRRefP22_4x_0" localSheetId="77">'413'!$P$32</definedName>
    <definedName name="OSRRefP22_4x_0" localSheetId="78">'414'!$P$29:$P$30</definedName>
    <definedName name="OSRRefP22_4x_0" localSheetId="79">'415'!$P$42</definedName>
    <definedName name="OSRRefP22_4x_0" localSheetId="80">'418'!$P$39:$P$40</definedName>
    <definedName name="OSRRefP22_4x_0" localSheetId="84">'425'!$P$34</definedName>
    <definedName name="OSRRefP22_4x_0" localSheetId="87">'430'!$P$35</definedName>
    <definedName name="OSRRefP22_4x_0" localSheetId="88">'433'!$P$45</definedName>
    <definedName name="OSRRefP22_4x_0" localSheetId="90">'444'!$P$45</definedName>
    <definedName name="OSRRefP22_4x_0" localSheetId="91">'450'!$P$45</definedName>
    <definedName name="OSRRefP22_4x_0" localSheetId="72">'491'!$P$46</definedName>
    <definedName name="OSRRefP22_4x_0" localSheetId="86">'492'!$P$46</definedName>
    <definedName name="OSRRefP22_4x_0" localSheetId="93">'501'!$P$42:$P$43</definedName>
    <definedName name="OSRRefP22_4x_0" localSheetId="39">'Div 2'!$P$42</definedName>
    <definedName name="OSRRefP22_4x_0" localSheetId="47">'Div 3'!$P$152</definedName>
    <definedName name="OSRRefP22_4x_0" localSheetId="70">'Div 4'!$P$49</definedName>
    <definedName name="OSRRefP22_4x_0" localSheetId="92">'Div 5'!$P$42:$P$43</definedName>
    <definedName name="OSRRefP22_4x_0" localSheetId="61">'Div 6'!$P$73</definedName>
    <definedName name="OSRRefP22_4x_0" localSheetId="2">Summary!$P$178</definedName>
    <definedName name="OSRRefP22_5x_0" localSheetId="41">'201'!$P$39</definedName>
    <definedName name="OSRRefP22_5x_0" localSheetId="42">'202'!$P$40</definedName>
    <definedName name="OSRRefP22_5x_0" localSheetId="43">'203'!$P$42</definedName>
    <definedName name="OSRRefP22_5x_0" localSheetId="44">'204'!$P$40:$P$43</definedName>
    <definedName name="OSRRefP22_5x_0" localSheetId="45">'205'!$P$38:$P$40</definedName>
    <definedName name="OSRRefP22_5x_0" localSheetId="46">'206'!$P$38</definedName>
    <definedName name="OSRRefP22_5x_0" localSheetId="48">'300'!$P$149:$P$150</definedName>
    <definedName name="OSRRefP22_5x_0" localSheetId="49">'300 &amp; 317'!$P$171:$P$172</definedName>
    <definedName name="OSRRefP22_5x_0" localSheetId="50">'301'!$P$46:$P$47</definedName>
    <definedName name="OSRRefP22_5x_0" localSheetId="52">'307'!$P$58</definedName>
    <definedName name="OSRRefP22_5x_0" localSheetId="53">'308'!$P$85</definedName>
    <definedName name="OSRRefP22_5x_0" localSheetId="63">'310'!$P$51:$P$52</definedName>
    <definedName name="OSRRefP22_5x_0" localSheetId="71">'310 &amp; 491'!$P$56:$P$57</definedName>
    <definedName name="OSRRefP22_5x_0" localSheetId="54">'311'!$P$85</definedName>
    <definedName name="OSRRefP22_5x_0" localSheetId="65">'313'!$P$42</definedName>
    <definedName name="OSRRefP22_5x_0" localSheetId="57">'315'!$P$108:$P$109</definedName>
    <definedName name="OSRRefP22_5x_0" localSheetId="60">'316'!$P$51</definedName>
    <definedName name="OSRRefP22_5x_0" localSheetId="62">'317'!$P$75:$P$76</definedName>
    <definedName name="OSRRefP22_5x_0" localSheetId="66">'321'!$P$44</definedName>
    <definedName name="OSRRefP22_5x_0" localSheetId="67">'322'!$P$36</definedName>
    <definedName name="OSRRefP22_5x_0" localSheetId="68">'325'!$P$43:$P$44</definedName>
    <definedName name="OSRRefP22_5x_0" localSheetId="58">'326'!$P$70</definedName>
    <definedName name="OSRRefP22_5x_0" localSheetId="51">'330'!$P$62:$P$63</definedName>
    <definedName name="OSRRefP22_5x_0" localSheetId="56">'331'!$P$107:$P$108</definedName>
    <definedName name="OSRRefP22_5x_0" localSheetId="59">'332'!$P$53</definedName>
    <definedName name="OSRRefP22_5x_0" localSheetId="73">'405'!$P$44:$P$45</definedName>
    <definedName name="OSRRefP22_5x_0" localSheetId="75">'411'!$P$42</definedName>
    <definedName name="OSRRefP22_5x_0" localSheetId="77">'413'!$P$34</definedName>
    <definedName name="OSRRefP22_5x_0" localSheetId="79">'415'!$P$44:$P$45</definedName>
    <definedName name="OSRRefP22_5x_0" localSheetId="80">'418'!$P$42</definedName>
    <definedName name="OSRRefP22_5x_0" localSheetId="84">'425'!$P$36:$P$37</definedName>
    <definedName name="OSRRefP22_5x_0" localSheetId="87">'430'!$P$37:$P$38</definedName>
    <definedName name="OSRRefP22_5x_0" localSheetId="88">'433'!$P$47</definedName>
    <definedName name="OSRRefP22_5x_0" localSheetId="90">'444'!$P$47</definedName>
    <definedName name="OSRRefP22_5x_0" localSheetId="91">'450'!$P$47</definedName>
    <definedName name="OSRRefP22_5x_0" localSheetId="72">'491'!$P$48:$P$49</definedName>
    <definedName name="OSRRefP22_5x_0" localSheetId="86">'492'!$P$48</definedName>
    <definedName name="OSRRefP22_5x_0" localSheetId="93">'501'!$P$45</definedName>
    <definedName name="OSRRefP22_5x_0" localSheetId="39">'Div 2'!$P$44</definedName>
    <definedName name="OSRRefP22_5x_0" localSheetId="47">'Div 3'!$P$154:$P$155</definedName>
    <definedName name="OSRRefP22_5x_0" localSheetId="70">'Div 4'!$P$51:$P$52</definedName>
    <definedName name="OSRRefP22_5x_0" localSheetId="92">'Div 5'!$P$45</definedName>
    <definedName name="OSRRefP22_5x_0" localSheetId="61">'Div 6'!$P$75:$P$76</definedName>
    <definedName name="OSRRefP22_5x_0" localSheetId="2">Summary!$P$180:$P$181</definedName>
    <definedName name="OSRRefP22_6x_0" localSheetId="41">'201'!$P$41</definedName>
    <definedName name="OSRRefP22_6x_0" localSheetId="42">'202'!$P$42:$P$44</definedName>
    <definedName name="OSRRefP22_6x_0" localSheetId="43">'203'!$P$44</definedName>
    <definedName name="OSRRefP22_6x_0" localSheetId="44">'204'!$P$45</definedName>
    <definedName name="OSRRefP22_6x_0" localSheetId="45">'205'!$P$42</definedName>
    <definedName name="OSRRefP22_6x_0" localSheetId="46">'206'!$P$40</definedName>
    <definedName name="OSRRefP22_6x_0" localSheetId="48">'300'!$P$152:$P$153</definedName>
    <definedName name="OSRRefP22_6x_0" localSheetId="49">'300 &amp; 317'!$P$174:$P$175</definedName>
    <definedName name="OSRRefP22_6x_0" localSheetId="50">'301'!$P$49:$P$50</definedName>
    <definedName name="OSRRefP22_6x_0" localSheetId="52">'307'!$P$60</definedName>
    <definedName name="OSRRefP22_6x_0" localSheetId="53">'308'!$P$87</definedName>
    <definedName name="OSRRefP22_6x_0" localSheetId="63">'310'!$P$54</definedName>
    <definedName name="OSRRefP22_6x_0" localSheetId="71">'310 &amp; 491'!$P$59</definedName>
    <definedName name="OSRRefP22_6x_0" localSheetId="54">'311'!$P$87</definedName>
    <definedName name="OSRRefP22_6x_0" localSheetId="65">'313'!$P$44</definedName>
    <definedName name="OSRRefP22_6x_0" localSheetId="57">'315'!$P$111:$P$112</definedName>
    <definedName name="OSRRefP22_6x_0" localSheetId="60">'316'!$P$53:$P$54</definedName>
    <definedName name="OSRRefP22_6x_0" localSheetId="62">'317'!$P$78</definedName>
    <definedName name="OSRRefP22_6x_0" localSheetId="66">'321'!$P$46:$P$47</definedName>
    <definedName name="OSRRefP22_6x_0" localSheetId="67">'322'!$P$38</definedName>
    <definedName name="OSRRefP22_6x_0" localSheetId="68">'325'!$P$46</definedName>
    <definedName name="OSRRefP22_6x_0" localSheetId="58">'326'!$P$72</definedName>
    <definedName name="OSRRefP22_6x_0" localSheetId="51">'330'!$P$65</definedName>
    <definedName name="OSRRefP22_6x_0" localSheetId="56">'331'!$P$110</definedName>
    <definedName name="OSRRefP22_6x_0" localSheetId="59">'332'!$P$55:$P$56</definedName>
    <definedName name="OSRRefP22_6x_0" localSheetId="73">'405'!$P$47</definedName>
    <definedName name="OSRRefP22_6x_0" localSheetId="75">'411'!$P$44</definedName>
    <definedName name="OSRRefP22_6x_0" localSheetId="79">'415'!$P$47</definedName>
    <definedName name="OSRRefP22_6x_0" localSheetId="80">'418'!$P$44</definedName>
    <definedName name="OSRRefP22_6x_0" localSheetId="84">'425'!$P$39</definedName>
    <definedName name="OSRRefP22_6x_0" localSheetId="87">'430'!$P$40</definedName>
    <definedName name="OSRRefP22_6x_0" localSheetId="88">'433'!$P$49</definedName>
    <definedName name="OSRRefP22_6x_0" localSheetId="90">'444'!$P$49</definedName>
    <definedName name="OSRRefP22_6x_0" localSheetId="91">'450'!$P$49</definedName>
    <definedName name="OSRRefP22_6x_0" localSheetId="72">'491'!$P$51</definedName>
    <definedName name="OSRRefP22_6x_0" localSheetId="86">'492'!$P$50</definedName>
    <definedName name="OSRRefP22_6x_0" localSheetId="93">'501'!$P$47</definedName>
    <definedName name="OSRRefP22_6x_0" localSheetId="39">'Div 2'!$P$46</definedName>
    <definedName name="OSRRefP22_6x_0" localSheetId="47">'Div 3'!$P$157:$P$158</definedName>
    <definedName name="OSRRefP22_6x_0" localSheetId="70">'Div 4'!$P$54</definedName>
    <definedName name="OSRRefP22_6x_0" localSheetId="92">'Div 5'!$P$47</definedName>
    <definedName name="OSRRefP22_6x_0" localSheetId="61">'Div 6'!$P$78</definedName>
    <definedName name="OSRRefP22_6x_0" localSheetId="2">Summary!$P$183:$P$184</definedName>
    <definedName name="OSRRefP22_7x_0" localSheetId="41">'201'!$P$43</definedName>
    <definedName name="OSRRefP22_7x_0" localSheetId="42">'202'!$P$46</definedName>
    <definedName name="OSRRefP22_7x_0" localSheetId="43">'203'!$P$46:$P$47</definedName>
    <definedName name="OSRRefP22_7x_0" localSheetId="44">'204'!$P$47:$P$48</definedName>
    <definedName name="OSRRefP22_7x_0" localSheetId="48">'300'!$P$155</definedName>
    <definedName name="OSRRefP22_7x_0" localSheetId="49">'300 &amp; 317'!$P$177</definedName>
    <definedName name="OSRRefP22_7x_0" localSheetId="50">'301'!$P$52</definedName>
    <definedName name="OSRRefP22_7x_0" localSheetId="52">'307'!$P$62</definedName>
    <definedName name="OSRRefP22_7x_0" localSheetId="53">'308'!$P$89</definedName>
    <definedName name="OSRRefP22_7x_0" localSheetId="63">'310'!$P$56</definedName>
    <definedName name="OSRRefP22_7x_0" localSheetId="71">'310 &amp; 491'!$P$61</definedName>
    <definedName name="OSRRefP22_7x_0" localSheetId="54">'311'!$P$89</definedName>
    <definedName name="OSRRefP22_7x_0" localSheetId="57">'315'!$P$114</definedName>
    <definedName name="OSRRefP22_7x_0" localSheetId="60">'316'!$P$56</definedName>
    <definedName name="OSRRefP22_7x_0" localSheetId="62">'317'!$P$80</definedName>
    <definedName name="OSRRefP22_7x_0" localSheetId="66">'321'!$P$49</definedName>
    <definedName name="OSRRefP22_7x_0" localSheetId="67">'322'!$P$40</definedName>
    <definedName name="OSRRefP22_7x_0" localSheetId="68">'325'!$P$48</definedName>
    <definedName name="OSRRefP22_7x_0" localSheetId="58">'326'!$P$74</definedName>
    <definedName name="OSRRefP22_7x_0" localSheetId="51">'330'!$P$67</definedName>
    <definedName name="OSRRefP22_7x_0" localSheetId="56">'331'!$P$112:$P$113</definedName>
    <definedName name="OSRRefP22_7x_0" localSheetId="59">'332'!$P$58</definedName>
    <definedName name="OSRRefP22_7x_0" localSheetId="73">'405'!$P$49</definedName>
    <definedName name="OSRRefP22_7x_0" localSheetId="75">'411'!$P$46</definedName>
    <definedName name="OSRRefP22_7x_0" localSheetId="79">'415'!$P$49</definedName>
    <definedName name="OSRRefP22_7x_0" localSheetId="80">'418'!$P$46</definedName>
    <definedName name="OSRRefP22_7x_0" localSheetId="84">'425'!$P$41</definedName>
    <definedName name="OSRRefP22_7x_0" localSheetId="87">'430'!$P$42</definedName>
    <definedName name="OSRRefP22_7x_0" localSheetId="88">'433'!$P$51</definedName>
    <definedName name="OSRRefP22_7x_0" localSheetId="90">'444'!$P$51</definedName>
    <definedName name="OSRRefP22_7x_0" localSheetId="91">'450'!$P$51</definedName>
    <definedName name="OSRRefP22_7x_0" localSheetId="72">'491'!$P$53</definedName>
    <definedName name="OSRRefP22_7x_0" localSheetId="86">'492'!$P$52</definedName>
    <definedName name="OSRRefP22_7x_0" localSheetId="93">'501'!$P$49:$P$50</definedName>
    <definedName name="OSRRefP22_7x_0" localSheetId="39">'Div 2'!$P$48</definedName>
    <definedName name="OSRRefP22_7x_0" localSheetId="47">'Div 3'!$P$160</definedName>
    <definedName name="OSRRefP22_7x_0" localSheetId="70">'Div 4'!$P$56</definedName>
    <definedName name="OSRRefP22_7x_0" localSheetId="92">'Div 5'!$P$49:$P$50</definedName>
    <definedName name="OSRRefP22_7x_0" localSheetId="61">'Div 6'!$P$80</definedName>
    <definedName name="OSRRefP22_7x_0" localSheetId="2">Summary!$P$186</definedName>
    <definedName name="OSRRefP22_8x_0" localSheetId="41">'201'!$P$45:$P$47</definedName>
    <definedName name="OSRRefP22_8x_0" localSheetId="42">'202'!$P$48:$P$49</definedName>
    <definedName name="OSRRefP22_8x_0" localSheetId="43">'203'!$P$49:$P$50</definedName>
    <definedName name="OSRRefP22_8x_0" localSheetId="48">'300'!$P$157</definedName>
    <definedName name="OSRRefP22_8x_0" localSheetId="49">'300 &amp; 317'!$P$179</definedName>
    <definedName name="OSRRefP22_8x_0" localSheetId="50">'301'!$P$54</definedName>
    <definedName name="OSRRefP22_8x_0" localSheetId="52">'307'!$P$64:$P$65</definedName>
    <definedName name="OSRRefP22_8x_0" localSheetId="53">'308'!$P$91</definedName>
    <definedName name="OSRRefP22_8x_0" localSheetId="63">'310'!$P$58</definedName>
    <definedName name="OSRRefP22_8x_0" localSheetId="71">'310 &amp; 491'!$P$63:$P$64</definedName>
    <definedName name="OSRRefP22_8x_0" localSheetId="54">'311'!$P$91</definedName>
    <definedName name="OSRRefP22_8x_0" localSheetId="57">'315'!$P$116:$P$117</definedName>
    <definedName name="OSRRefP22_8x_0" localSheetId="60">'316'!$P$58:$P$60</definedName>
    <definedName name="OSRRefP22_8x_0" localSheetId="62">'317'!$P$82:$P$84</definedName>
    <definedName name="OSRRefP22_8x_0" localSheetId="66">'321'!$P$51:$P$52</definedName>
    <definedName name="OSRRefP22_8x_0" localSheetId="68">'325'!$P$50</definedName>
    <definedName name="OSRRefP22_8x_0" localSheetId="58">'326'!$P$76</definedName>
    <definedName name="OSRRefP22_8x_0" localSheetId="51">'330'!$P$69:$P$70</definedName>
    <definedName name="OSRRefP22_8x_0" localSheetId="56">'331'!$P$115</definedName>
    <definedName name="OSRRefP22_8x_0" localSheetId="59">'332'!$P$60:$P$62</definedName>
    <definedName name="OSRRefP22_8x_0" localSheetId="73">'405'!$P$51</definedName>
    <definedName name="OSRRefP22_8x_0" localSheetId="75">'411'!$P$48</definedName>
    <definedName name="OSRRefP22_8x_0" localSheetId="79">'415'!$P$51</definedName>
    <definedName name="OSRRefP22_8x_0" localSheetId="80">'418'!$P$48:$P$49</definedName>
    <definedName name="OSRRefP22_8x_0" localSheetId="84">'425'!$P$43</definedName>
    <definedName name="OSRRefP22_8x_0" localSheetId="88">'433'!$P$53</definedName>
    <definedName name="OSRRefP22_8x_0" localSheetId="90">'444'!$P$53</definedName>
    <definedName name="OSRRefP22_8x_0" localSheetId="91">'450'!$P$53</definedName>
    <definedName name="OSRRefP22_8x_0" localSheetId="72">'491'!$P$55</definedName>
    <definedName name="OSRRefP22_8x_0" localSheetId="86">'492'!$P$54</definedName>
    <definedName name="OSRRefP22_8x_0" localSheetId="93">'501'!$P$52:$P$53</definedName>
    <definedName name="OSRRefP22_8x_0" localSheetId="39">'Div 2'!$P$50</definedName>
    <definedName name="OSRRefP22_8x_0" localSheetId="47">'Div 3'!$P$162</definedName>
    <definedName name="OSRRefP22_8x_0" localSheetId="70">'Div 4'!$P$58</definedName>
    <definedName name="OSRRefP22_8x_0" localSheetId="92">'Div 5'!$P$52:$P$53</definedName>
    <definedName name="OSRRefP22_8x_0" localSheetId="61">'Div 6'!$P$82:$P$84</definedName>
    <definedName name="OSRRefP22_8x_0" localSheetId="2">Summary!$P$188</definedName>
    <definedName name="OSRRefP22_9x_0" localSheetId="41">'201'!$P$49:$P$50</definedName>
    <definedName name="OSRRefP22_9x_0" localSheetId="42">'202'!$P$51</definedName>
    <definedName name="OSRRefP22_9x_0" localSheetId="43">'203'!$P$52</definedName>
    <definedName name="OSRRefP22_9x_0" localSheetId="48">'300'!$P$159</definedName>
    <definedName name="OSRRefP22_9x_0" localSheetId="49">'300 &amp; 317'!$P$181</definedName>
    <definedName name="OSRRefP22_9x_0" localSheetId="50">'301'!$P$56</definedName>
    <definedName name="OSRRefP22_9x_0" localSheetId="52">'307'!$P$67:$P$68</definedName>
    <definedName name="OSRRefP22_9x_0" localSheetId="53">'308'!$P$93:$P$95</definedName>
    <definedName name="OSRRefP22_9x_0" localSheetId="63">'310'!$P$60</definedName>
    <definedName name="OSRRefP22_9x_0" localSheetId="71">'310 &amp; 491'!$P$66</definedName>
    <definedName name="OSRRefP22_9x_0" localSheetId="54">'311'!$P$93:$P$95</definedName>
    <definedName name="OSRRefP22_9x_0" localSheetId="57">'315'!$P$119:$P$120</definedName>
    <definedName name="OSRRefP22_9x_0" localSheetId="60">'316'!$P$62</definedName>
    <definedName name="OSRRefP22_9x_0" localSheetId="62">'317'!$P$86</definedName>
    <definedName name="OSRRefP22_9x_0" localSheetId="66">'321'!$P$54:$P$58</definedName>
    <definedName name="OSRRefP22_9x_0" localSheetId="68">'325'!$P$52:$P$53</definedName>
    <definedName name="OSRRefP22_9x_0" localSheetId="58">'326'!$P$78</definedName>
    <definedName name="OSRRefP22_9x_0" localSheetId="51">'330'!$P$72:$P$73</definedName>
    <definedName name="OSRRefP22_9x_0" localSheetId="56">'331'!$P$117</definedName>
    <definedName name="OSRRefP22_9x_0" localSheetId="59">'332'!$P$64</definedName>
    <definedName name="OSRRefP22_9x_0" localSheetId="73">'405'!$P$53</definedName>
    <definedName name="OSRRefP22_9x_0" localSheetId="75">'411'!$P$50:$P$52</definedName>
    <definedName name="OSRRefP22_9x_0" localSheetId="79">'415'!$P$53</definedName>
    <definedName name="OSRRefP22_9x_0" localSheetId="80">'418'!$P$51</definedName>
    <definedName name="OSRRefP22_9x_0" localSheetId="88">'433'!$P$55</definedName>
    <definedName name="OSRRefP22_9x_0" localSheetId="90">'444'!$P$55</definedName>
    <definedName name="OSRRefP22_9x_0" localSheetId="91">'450'!$P$55</definedName>
    <definedName name="OSRRefP22_9x_0" localSheetId="72">'491'!$P$57</definedName>
    <definedName name="OSRRefP22_9x_0" localSheetId="86">'492'!$P$56</definedName>
    <definedName name="OSRRefP22_9x_0" localSheetId="93">'501'!$P$55</definedName>
    <definedName name="OSRRefP22_9x_0" localSheetId="39">'Div 2'!$P$52:$P$53</definedName>
    <definedName name="OSRRefP22_9x_0" localSheetId="47">'Div 3'!$P$164</definedName>
    <definedName name="OSRRefP22_9x_0" localSheetId="70">'Div 4'!$P$60</definedName>
    <definedName name="OSRRefP22_9x_0" localSheetId="92">'Div 5'!$P$55</definedName>
    <definedName name="OSRRefP22_9x_0" localSheetId="61">'Div 6'!$P$86</definedName>
    <definedName name="OSRRefP22_9x_0" localSheetId="2">Summary!$P$190</definedName>
    <definedName name="OSRRefP22x_0" localSheetId="40">'200'!$P$20,'200'!$P$22,'200'!$P$24,'200'!$P$26</definedName>
    <definedName name="OSRRefP22x_0" localSheetId="41">'201'!$P$20:$P$27,'201'!$P$29:$P$31,'201'!$P$33,'201'!$P$35,'201'!$P$37,'201'!$P$39,'201'!$P$41,'201'!$P$43,'201'!$P$45:$P$47,'201'!$P$49:$P$50,'201'!$P$52,'201'!$P$54:$P$55,'201'!$P$57,'201'!$P$59</definedName>
    <definedName name="OSRRefP22x_0" localSheetId="42">'202'!$P$20:$P$27,'202'!$P$29:$P$31,'202'!$P$33,'202'!$P$35,'202'!$P$37:$P$38,'202'!$P$40,'202'!$P$42:$P$44,'202'!$P$46,'202'!$P$48:$P$49,'202'!$P$51,'202'!$P$53,'202'!$P$55</definedName>
    <definedName name="OSRRefP22x_0" localSheetId="43">'203'!$P$20:$P$28,'203'!$P$30:$P$34,'203'!$P$36,'203'!$P$38,'203'!$P$40,'203'!$P$42,'203'!$P$44,'203'!$P$46:$P$47,'203'!$P$49:$P$50,'203'!$P$52,'203'!$P$54:$P$57,'203'!$P$59,'203'!$P$61,'203'!$P$63</definedName>
    <definedName name="OSRRefP22x_0" localSheetId="44">'204'!$P$20:$P$28,'204'!$P$30:$P$32,'204'!$P$34,'204'!$P$36,'204'!$P$38,'204'!$P$40:$P$43,'204'!$P$45,'204'!$P$47:$P$48</definedName>
    <definedName name="OSRRefP22x_0" localSheetId="45">'205'!$P$20:$P$27,'205'!$P$29,'205'!$P$31,'205'!$P$33,'205'!$P$35:$P$36,'205'!$P$38:$P$40,'205'!$P$42</definedName>
    <definedName name="OSRRefP22x_0" localSheetId="46">'206'!$P$20:$P$26,'206'!$P$28:$P$30,'206'!$P$32,'206'!$P$34,'206'!$P$36,'206'!$P$38,'206'!$P$40</definedName>
    <definedName name="OSRRefP22x_0" localSheetId="48">'300'!$P$124:$P$133,'300'!$P$135:$P$141,'300'!$P$143,'300'!$P$145,'300'!$P$147,'300'!$P$149:$P$150,'300'!$P$152:$P$153,'300'!$P$155,'300'!$P$157,'300'!$P$159,'300'!$P$161:$P$162,'300'!$P$164,'300'!$P$166,'300'!$P$168:$P$169,'300'!$P$171,'300'!$P$173,'300'!$P$175:$P$178,'300'!$P$180:$P$182,'300'!$P$184:$P$187,'300'!$P$189:$P$190,'300'!$P$192:$P$198,'300'!$P$200:$P$201,'300'!$P$203,'300'!$P$205:$P$207,'300'!$P$209</definedName>
    <definedName name="OSRRefP22x_0" localSheetId="49">'300 &amp; 317'!$P$146:$P$155,'300 &amp; 317'!$P$157:$P$163,'300 &amp; 317'!$P$165,'300 &amp; 317'!$P$167,'300 &amp; 317'!$P$169,'300 &amp; 317'!$P$171:$P$172,'300 &amp; 317'!$P$174:$P$175,'300 &amp; 317'!$P$177,'300 &amp; 317'!$P$179,'300 &amp; 317'!$P$181,'300 &amp; 317'!$P$183:$P$184,'300 &amp; 317'!$P$186,'300 &amp; 317'!$P$188,'300 &amp; 317'!$P$190:$P$191,'300 &amp; 317'!$P$193,'300 &amp; 317'!$P$195,'300 &amp; 317'!$P$197:$P$200,'300 &amp; 317'!$P$202:$P$204,'300 &amp; 317'!$P$206:$P$209,'300 &amp; 317'!$P$211:$P$212,'300 &amp; 317'!$P$214:$P$220,'300 &amp; 317'!$P$222:$P$223,'300 &amp; 317'!$P$225,'300 &amp; 317'!$P$227:$P$229,'300 &amp; 317'!$P$231</definedName>
    <definedName name="OSRRefP22x_0" localSheetId="50">'301'!$P$21:$P$30,'301'!$P$32:$P$38,'301'!$P$40,'301'!$P$42,'301'!$P$44,'301'!$P$46:$P$47,'301'!$P$49:$P$50,'301'!$P$52,'301'!$P$54,'301'!$P$56,'301'!$P$58,'301'!$P$60,'301'!$P$62,'301'!$P$64,'301'!$P$66,'301'!$P$68:$P$71,'301'!$P$73:$P$75,'301'!$P$77,'301'!$P$79:$P$84,'301'!$P$86,'301'!$P$88,'301'!$P$90:$P$91,'301'!$P$93</definedName>
    <definedName name="OSRRefP22x_0" localSheetId="52">'307'!$P$43:$P$45,'307'!$P$47:$P$49,'307'!$P$51,'307'!$P$53,'307'!$P$55:$P$56,'307'!$P$58,'307'!$P$60,'307'!$P$62,'307'!$P$64:$P$65,'307'!$P$67:$P$68,'307'!$P$70:$P$73,'307'!$P$75,'307'!$P$77</definedName>
    <definedName name="OSRRefP22x_0" localSheetId="53">'308'!$P$61:$P$69,'308'!$P$71:$P$77,'308'!$P$79,'308'!$P$81,'308'!$P$83,'308'!$P$85,'308'!$P$87,'308'!$P$89,'308'!$P$91,'308'!$P$93:$P$95,'308'!$P$97,'308'!$P$99:$P$100,'308'!$P$102:$P$103,'308'!$P$105</definedName>
    <definedName name="OSRRefP22x_0" localSheetId="64">'309'!$P$20,'309'!$P$22,'309'!$P$24:$P$25,'309'!$P$27:$P$28,'309'!$P$30</definedName>
    <definedName name="OSRRefP22x_0" localSheetId="63">'310'!$P$31:$P$38,'310'!$P$40:$P$43,'310'!$P$45,'310'!$P$47,'310'!$P$49,'310'!$P$51:$P$52,'310'!$P$54,'310'!$P$56,'310'!$P$58,'310'!$P$60,'310'!$P$62:$P$63,'310'!$P$65,'310'!$P$67:$P$70,'310'!$P$72:$P$76,'310'!$P$78,'310'!$P$80</definedName>
    <definedName name="OSRRefP22x_0" localSheetId="71">'310 &amp; 491'!$P$35:$P$42,'310 &amp; 491'!$P$44:$P$48,'310 &amp; 491'!$P$50,'310 &amp; 491'!$P$52,'310 &amp; 491'!$P$54,'310 &amp; 491'!$P$56:$P$57,'310 &amp; 491'!$P$59,'310 &amp; 491'!$P$61,'310 &amp; 491'!$P$63:$P$64,'310 &amp; 491'!$P$66,'310 &amp; 491'!$P$68,'310 &amp; 491'!$P$70,'310 &amp; 491'!$P$72,'310 &amp; 491'!$P$74:$P$76,'310 &amp; 491'!$P$78,'310 &amp; 491'!$P$80:$P$83,'310 &amp; 491'!$P$85,'310 &amp; 491'!$P$87:$P$95,'310 &amp; 491'!$P$97,'310 &amp; 491'!$P$99,'310 &amp; 491'!$P$101:$P$102,'310 &amp; 491'!$P$104</definedName>
    <definedName name="OSRRefP22x_0" localSheetId="54">'311'!$P$61:$P$69,'311'!$P$71:$P$77,'311'!$P$79,'311'!$P$81,'311'!$P$83,'311'!$P$85,'311'!$P$87,'311'!$P$89,'311'!$P$91,'311'!$P$93:$P$95,'311'!$P$97,'311'!$P$99:$P$100,'311'!$P$102:$P$103,'311'!$P$105</definedName>
    <definedName name="OSRRefP22x_0" localSheetId="65">'313'!$P$25:$P$32,'313'!$P$34,'313'!$P$36,'313'!$P$38,'313'!$P$40,'313'!$P$42,'313'!$P$44</definedName>
    <definedName name="OSRRefP22x_0" localSheetId="57">'315'!$P$86:$P$93,'315'!$P$95:$P$99,'315'!$P$101,'315'!$P$103:$P$104,'315'!$P$106,'315'!$P$108:$P$109,'315'!$P$111:$P$112,'315'!$P$114,'315'!$P$116:$P$117,'315'!$P$119:$P$120,'315'!$P$122:$P$123,'315'!$P$125:$P$127,'315'!$P$129,'315'!$P$131</definedName>
    <definedName name="OSRRefP22x_0" localSheetId="60">'316'!$P$32:$P$39,'316'!$P$41:$P$43,'316'!$P$45,'316'!$P$47,'316'!$P$49,'316'!$P$51,'316'!$P$53:$P$54,'316'!$P$56,'316'!$P$58:$P$60,'316'!$P$62,'316'!$P$64:$P$68,'316'!$P$70,'316'!$P$72</definedName>
    <definedName name="OSRRefP22x_0" localSheetId="62">'317'!$P$53:$P$61,'317'!$P$63:$P$67,'317'!$P$69,'317'!$P$71,'317'!$P$73,'317'!$P$75:$P$76,'317'!$P$78,'317'!$P$80,'317'!$P$82:$P$84,'317'!$P$86,'317'!$P$88</definedName>
    <definedName name="OSRRefP22x_0" localSheetId="66">'321'!$P$24:$P$31,'321'!$P$33:$P$36,'321'!$P$38,'321'!$P$40,'321'!$P$42,'321'!$P$44,'321'!$P$46:$P$47,'321'!$P$49,'321'!$P$51:$P$52,'321'!$P$54:$P$58,'321'!$P$60,'321'!$P$62</definedName>
    <definedName name="OSRRefP22x_0" localSheetId="67">'322'!$P$21:$P$25,'322'!$P$27,'322'!$P$29,'322'!$P$31,'322'!$P$33:$P$34,'322'!$P$36,'322'!$P$38,'322'!$P$40</definedName>
    <definedName name="OSRRefP22x_0" localSheetId="68">'325'!$P$24:$P$31,'325'!$P$33:$P$35,'325'!$P$37,'325'!$P$39,'325'!$P$41,'325'!$P$43:$P$44,'325'!$P$46,'325'!$P$48,'325'!$P$50,'325'!$P$52:$P$53,'325'!$P$55:$P$58,'325'!$P$60:$P$63,'325'!$P$65,'325'!$P$67</definedName>
    <definedName name="OSRRefP22x_0" localSheetId="58">'326'!$P$49:$P$56,'326'!$P$58:$P$62,'326'!$P$64,'326'!$P$66,'326'!$P$68,'326'!$P$70,'326'!$P$72,'326'!$P$74,'326'!$P$76,'326'!$P$78,'326'!$P$80,'326'!$P$82:$P$84,'326'!$P$86:$P$88,'326'!$P$90,'326'!$P$92:$P$95,'326'!$P$97,'326'!$P$99,'326'!$P$101</definedName>
    <definedName name="OSRRefP22x_0" localSheetId="69">'327'!$P$24</definedName>
    <definedName name="OSRRefP22x_0" localSheetId="51">'330'!$P$46:$P$49,'330'!$P$51:$P$53,'330'!$P$55,'330'!$P$57,'330'!$P$59:$P$60,'330'!$P$62:$P$63,'330'!$P$65,'330'!$P$67,'330'!$P$69:$P$70,'330'!$P$72:$P$73,'330'!$P$75:$P$78,'330'!$P$80,'330'!$P$82</definedName>
    <definedName name="OSRRefP22x_0" localSheetId="56">'331'!$P$86:$P$93,'331'!$P$95:$P$99,'331'!$P$101,'331'!$P$103,'331'!$P$105,'331'!$P$107:$P$108,'331'!$P$110,'331'!$P$112:$P$113,'331'!$P$115,'331'!$P$117,'331'!$P$119:$P$120,'331'!$P$122,'331'!$P$124,'331'!$P$126:$P$128,'331'!$P$130:$P$131,'331'!$P$133:$P$135,'331'!$P$137:$P$138,'331'!$P$140:$P$143,'331'!$P$145,'331'!$P$147,'331'!$P$149</definedName>
    <definedName name="OSRRefP22x_0" localSheetId="59">'332'!$P$34:$P$41,'332'!$P$43:$P$45,'332'!$P$47,'332'!$P$49,'332'!$P$51,'332'!$P$53,'332'!$P$55:$P$56,'332'!$P$58,'332'!$P$60:$P$62,'332'!$P$64,'332'!$P$66:$P$70,'332'!$P$72,'332'!$P$74</definedName>
    <definedName name="OSRRefP22x_0" localSheetId="73">'405'!$P$24:$P$31,'405'!$P$33:$P$36,'405'!$P$38,'405'!$P$40,'405'!$P$42,'405'!$P$44:$P$45,'405'!$P$47,'405'!$P$49,'405'!$P$51,'405'!$P$53,'405'!$P$55:$P$56,'405'!$P$58:$P$61,'405'!$P$63,'405'!$P$65:$P$72,'405'!$P$74,'405'!$P$76</definedName>
    <definedName name="OSRRefP22x_0" localSheetId="74">'406'!$P$20,'406'!$P$22,'406'!$P$24,'406'!$P$26,'406'!$P$28</definedName>
    <definedName name="OSRRefP22x_0" localSheetId="75">'411'!$P$20:$P$27,'411'!$P$29:$P$33,'411'!$P$35,'411'!$P$37:$P$38,'411'!$P$40,'411'!$P$42,'411'!$P$44,'411'!$P$46,'411'!$P$48,'411'!$P$50:$P$52,'411'!$P$54:$P$56,'411'!$P$58:$P$59,'411'!$P$61,'411'!$P$63:$P$64,'411'!$P$66</definedName>
    <definedName name="OSRRefP22x_0" localSheetId="76">'412'!$P$20,'412'!$P$22,'412'!$P$24:$P$25,'412'!$P$27,'412'!$P$29</definedName>
    <definedName name="OSRRefP22x_0" localSheetId="77">'413'!$P$20:$P$24,'413'!$P$26,'413'!$P$28,'413'!$P$30,'413'!$P$32,'413'!$P$34</definedName>
    <definedName name="OSRRefP22x_0" localSheetId="78">'414'!$P$21,'414'!$P$23,'414'!$P$25,'414'!$P$27,'414'!$P$29:$P$30</definedName>
    <definedName name="OSRRefP22x_0" localSheetId="79">'415'!$P$24:$P$31,'415'!$P$33:$P$36,'415'!$P$38,'415'!$P$40,'415'!$P$42,'415'!$P$44:$P$45,'415'!$P$47,'415'!$P$49,'415'!$P$51,'415'!$P$53,'415'!$P$55:$P$56,'415'!$P$58:$P$61,'415'!$P$63,'415'!$P$65:$P$70,'415'!$P$72,'415'!$P$74,'415'!$P$76</definedName>
    <definedName name="OSRRefP22x_0" localSheetId="80">'418'!$P$21:$P$28,'418'!$P$30:$P$33,'418'!$P$35,'418'!$P$37,'418'!$P$39:$P$40,'418'!$P$42,'418'!$P$44,'418'!$P$46,'418'!$P$48:$P$49,'418'!$P$51,'418'!$P$53,'418'!$P$55:$P$59,'418'!$P$61</definedName>
    <definedName name="OSRRefP22x_0" localSheetId="81">'420'!$P$21</definedName>
    <definedName name="OSRRefP22x_0" localSheetId="82">'423'!$P$20:$P$21,'423'!$P$23,'423'!$P$25,'423'!$P$27</definedName>
    <definedName name="OSRRefP22x_0" localSheetId="83">'424'!$P$20,'424'!$P$22,'424'!$P$24,'424'!$P$26</definedName>
    <definedName name="OSRRefP22x_0" localSheetId="84">'425'!$P$22:$P$26,'425'!$P$28,'425'!$P$30,'425'!$P$32,'425'!$P$34,'425'!$P$36:$P$37,'425'!$P$39,'425'!$P$41,'425'!$P$43</definedName>
    <definedName name="OSRRefP22x_0" localSheetId="87">'430'!$P$20:$P$27,'430'!$P$29,'430'!$P$31,'430'!$P$33,'430'!$P$35,'430'!$P$37:$P$38,'430'!$P$40,'430'!$P$42</definedName>
    <definedName name="OSRRefP22x_0" localSheetId="88">'433'!$P$25:$P$33,'433'!$P$35:$P$39,'433'!$P$41,'433'!$P$43,'433'!$P$45,'433'!$P$47,'433'!$P$49,'433'!$P$51,'433'!$P$53,'433'!$P$55,'433'!$P$57,'433'!$P$59:$P$60,'433'!$P$62:$P$64,'433'!$P$66:$P$73,'433'!$P$75</definedName>
    <definedName name="OSRRefP22x_0" localSheetId="89">'435'!$P$20</definedName>
    <definedName name="OSRRefP22x_0" localSheetId="90">'444'!$P$25:$P$33,'444'!$P$35:$P$39,'444'!$P$41,'444'!$P$43,'444'!$P$45,'444'!$P$47,'444'!$P$49,'444'!$P$51,'444'!$P$53,'444'!$P$55,'444'!$P$57:$P$58,'444'!$P$60:$P$62,'444'!$P$64,'444'!$P$66:$P$72,'444'!$P$74,'444'!$P$76</definedName>
    <definedName name="OSRRefP22x_0" localSheetId="91">'450'!$P$25:$P$33,'450'!$P$35:$P$39,'450'!$P$41,'450'!$P$43,'450'!$P$45,'450'!$P$47,'450'!$P$49,'450'!$P$51,'450'!$P$53,'450'!$P$55,'450'!$P$57,'450'!$P$59,'450'!$P$61:$P$62,'450'!$P$64:$P$66,'450'!$P$68:$P$73,'450'!$P$75,'450'!$P$77</definedName>
    <definedName name="OSRRefP22x_0" localSheetId="72">'491'!$P$27:$P$34,'491'!$P$36:$P$40,'491'!$P$42,'491'!$P$44,'491'!$P$46,'491'!$P$48:$P$49,'491'!$P$51,'491'!$P$53,'491'!$P$55,'491'!$P$57,'491'!$P$59,'491'!$P$61,'491'!$P$63,'491'!$P$65:$P$67,'491'!$P$69,'491'!$P$71:$P$74,'491'!$P$76,'491'!$P$78:$P$86,'491'!$P$88,'491'!$P$90,'491'!$P$92:$P$93,'491'!$P$95</definedName>
    <definedName name="OSRRefP22x_0" localSheetId="86">'492'!$P$25:$P$33,'492'!$P$35:$P$40,'492'!$P$42,'492'!$P$44,'492'!$P$46,'492'!$P$48,'492'!$P$50,'492'!$P$52,'492'!$P$54,'492'!$P$56,'492'!$P$58,'492'!$P$60,'492'!$P$62:$P$64,'492'!$P$66:$P$68,'492'!$P$70,'492'!$P$72:$P$79,'492'!$P$81,'492'!$P$83,'492'!$P$85:$P$86</definedName>
    <definedName name="OSRRefP22x_0" localSheetId="93">'501'!$P$21:$P$29,'501'!$P$31:$P$36,'501'!$P$38,'501'!$P$40,'501'!$P$42:$P$43,'501'!$P$45,'501'!$P$47,'501'!$P$49:$P$50,'501'!$P$52:$P$53,'501'!$P$55,'501'!$P$57</definedName>
    <definedName name="OSRRefP22x_0" localSheetId="39">'Div 2'!$P$20:$P$29,'Div 2'!$P$31:$P$36,'Div 2'!$P$38,'Div 2'!$P$40,'Div 2'!$P$42,'Div 2'!$P$44,'Div 2'!$P$46,'Div 2'!$P$48,'Div 2'!$P$50,'Div 2'!$P$52:$P$53,'Div 2'!$P$55,'Div 2'!$P$57,'Div 2'!$P$59:$P$61,'Div 2'!$P$63:$P$66,'Div 2'!$P$68,'Div 2'!$P$70,'Div 2'!$P$72:$P$76,'Div 2'!$P$78:$P$79,'Div 2'!$P$81,'Div 2'!$P$83:$P$84</definedName>
    <definedName name="OSRRefP22x_0" localSheetId="47">'Div 3'!$P$129:$P$138,'Div 3'!$P$140:$P$146,'Div 3'!$P$148,'Div 3'!$P$150,'Div 3'!$P$152,'Div 3'!$P$154:$P$155,'Div 3'!$P$157:$P$158,'Div 3'!$P$160,'Div 3'!$P$162,'Div 3'!$P$164,'Div 3'!$P$166:$P$167,'Div 3'!$P$169,'Div 3'!$P$171,'Div 3'!$P$173,'Div 3'!$P$175:$P$176,'Div 3'!$P$178,'Div 3'!$P$180,'Div 3'!$P$182:$P$185,'Div 3'!$P$187:$P$189,'Div 3'!$P$191:$P$195,'Div 3'!$P$197:$P$198,'Div 3'!$P$200:$P$206,'Div 3'!$P$208:$P$209,'Div 3'!$P$211,'Div 3'!$P$213:$P$215,'Div 3'!$P$217</definedName>
    <definedName name="OSRRefP22x_0" localSheetId="70">'Div 4'!$P$28:$P$36,'Div 4'!$P$38:$P$43,'Div 4'!$P$45,'Div 4'!$P$47,'Div 4'!$P$49,'Div 4'!$P$51:$P$52,'Div 4'!$P$54,'Div 4'!$P$56,'Div 4'!$P$58,'Div 4'!$P$60,'Div 4'!$P$62,'Div 4'!$P$64,'Div 4'!$P$66,'Div 4'!$P$68,'Div 4'!$P$70,'Div 4'!$P$72:$P$74,'Div 4'!$P$76,'Div 4'!$P$78:$P$81,'Div 4'!$P$83:$P$84,'Div 4'!$P$86:$P$94,'Div 4'!$P$96,'Div 4'!$P$98,'Div 4'!$P$100:$P$101,'Div 4'!$P$103</definedName>
    <definedName name="OSRRefP22x_0" localSheetId="92">'Div 5'!$P$21:$P$29,'Div 5'!$P$31:$P$36,'Div 5'!$P$38,'Div 5'!$P$40,'Div 5'!$P$42:$P$43,'Div 5'!$P$45,'Div 5'!$P$47,'Div 5'!$P$49:$P$50,'Div 5'!$P$52:$P$53,'Div 5'!$P$55,'Div 5'!$P$57</definedName>
    <definedName name="OSRRefP22x_0" localSheetId="61">'Div 6'!$P$53:$P$61,'Div 6'!$P$63:$P$67,'Div 6'!$P$69,'Div 6'!$P$71,'Div 6'!$P$73,'Div 6'!$P$75:$P$76,'Div 6'!$P$78,'Div 6'!$P$80,'Div 6'!$P$82:$P$84,'Div 6'!$P$86,'Div 6'!$P$88</definedName>
    <definedName name="OSRRefP22x_0" localSheetId="2">Summary!$P$155:$P$164,Summary!$P$166:$P$172,Summary!$P$174,Summary!$P$176,Summary!$P$178,Summary!$P$180:$P$181,Summary!$P$183:$P$184,Summary!$P$186,Summary!$P$188,Summary!$P$190,Summary!$P$192:$P$193,Summary!$P$195,Summary!$P$197,Summary!$P$199,Summary!$P$201:$P$202,Summary!$P$204,Summary!$P$206,Summary!$P$208,Summary!$P$210:$P$213,Summary!$P$215:$P$217,Summary!$P$219:$P$223,Summary!$P$225:$P$226,Summary!$P$228:$P$236,Summary!$P$238:$P$239,Summary!$P$241,Summary!$P$243:$P$245,Summary!$P$247</definedName>
    <definedName name="OSRRefP25x_0" localSheetId="48">'300'!$P$212:$P$215</definedName>
    <definedName name="OSRRefP25x_0" localSheetId="49">'300 &amp; 317'!$P$234:$P$239</definedName>
    <definedName name="OSRRefP25x_0" localSheetId="50">'301'!$P$96</definedName>
    <definedName name="OSRRefP25x_0" localSheetId="53">'308'!$P$108:$P$110</definedName>
    <definedName name="OSRRefP25x_0" localSheetId="71">'310 &amp; 491'!$P$107:$P$109</definedName>
    <definedName name="OSRRefP25x_0" localSheetId="54">'311'!$P$108:$P$110</definedName>
    <definedName name="OSRRefP25x_0" localSheetId="57">'315'!$P$134:$P$135</definedName>
    <definedName name="OSRRefP25x_0" localSheetId="60">'316'!$P$75</definedName>
    <definedName name="OSRRefP25x_0" localSheetId="62">'317'!$P$91:$P$93</definedName>
    <definedName name="OSRRefP25x_0" localSheetId="56">'331'!$P$152:$P$153</definedName>
    <definedName name="OSRRefP25x_0" localSheetId="59">'332'!$P$77:$P$78</definedName>
    <definedName name="OSRRefP25x_0" localSheetId="73">'405'!$P$79</definedName>
    <definedName name="OSRRefP25x_0" localSheetId="75">'411'!$P$69:$P$70</definedName>
    <definedName name="OSRRefP25x_0" localSheetId="79">'415'!$P$79</definedName>
    <definedName name="OSRRefP25x_0" localSheetId="80">'418'!$P$64</definedName>
    <definedName name="OSRRefP25x_0" localSheetId="82">'423'!$P$30</definedName>
    <definedName name="OSRRefP25x_0" localSheetId="85">'455'!$P$21:$P$22</definedName>
    <definedName name="OSRRefP25x_0" localSheetId="72">'491'!$P$98:$P$100</definedName>
    <definedName name="OSRRefP25x_0" localSheetId="93">'501'!$P$60</definedName>
    <definedName name="OSRRefP25x_0" localSheetId="47">'Div 3'!$P$220:$P$223</definedName>
    <definedName name="OSRRefP25x_0" localSheetId="70">'Div 4'!$P$106:$P$108</definedName>
    <definedName name="OSRRefP25x_0" localSheetId="92">'Div 5'!$P$60</definedName>
    <definedName name="OSRRefP25x_0" localSheetId="61">'Div 6'!$P$91:$P$93</definedName>
    <definedName name="OSRRefP25x_0" localSheetId="2">Summary!$P$250:$P$257</definedName>
    <definedName name="OSRRefT13x_0" localSheetId="48">'300'!$T$13:$T$77</definedName>
    <definedName name="OSRRefT13x_0" localSheetId="49">'300 &amp; 317'!$T$13:$T$91</definedName>
    <definedName name="OSRRefT13x_0" localSheetId="52">'307'!$T$13:$T$25</definedName>
    <definedName name="OSRRefT13x_0" localSheetId="53">'308'!$T$13:$T$36</definedName>
    <definedName name="OSRRefT13x_0" localSheetId="63">'310'!$T$13:$T$21</definedName>
    <definedName name="OSRRefT13x_0" localSheetId="71">'310 &amp; 491'!$T$13:$T$25</definedName>
    <definedName name="OSRRefT13x_0" localSheetId="54">'311'!$T$13:$T$36</definedName>
    <definedName name="OSRRefT13x_0" localSheetId="65">'313'!$T$13:$T$16</definedName>
    <definedName name="OSRRefT13x_0" localSheetId="57">'315'!$T$13:$T$54</definedName>
    <definedName name="OSRRefT13x_0" localSheetId="60">'316'!$T$13:$T$23</definedName>
    <definedName name="OSRRefT13x_0" localSheetId="62">'317'!$T$13:$T$33</definedName>
    <definedName name="OSRRefT13x_0" localSheetId="66">'321'!$T$13:$T$14</definedName>
    <definedName name="OSRRefT13x_0" localSheetId="55">'324'!$T$13:$T$16</definedName>
    <definedName name="OSRRefT13x_0" localSheetId="68">'325'!$T$13:$T$14</definedName>
    <definedName name="OSRRefT13x_0" localSheetId="58">'326'!$T$13:$T$34</definedName>
    <definedName name="OSRRefT13x_0" localSheetId="69">'327'!$T$13:$T$14</definedName>
    <definedName name="OSRRefT13x_0" localSheetId="51">'330'!$T$13:$T$28</definedName>
    <definedName name="OSRRefT13x_0" localSheetId="56">'331'!$T$13:$T$54</definedName>
    <definedName name="OSRRefT13x_0" localSheetId="59">'332'!$T$13:$T$23</definedName>
    <definedName name="OSRRefT13x_0" localSheetId="73">'405'!$T$13:$T$14</definedName>
    <definedName name="OSRRefT13x_0" localSheetId="78">'414'!$T$13</definedName>
    <definedName name="OSRRefT13x_0" localSheetId="79">'415'!$T$13:$T$14</definedName>
    <definedName name="OSRRefT13x_0" localSheetId="81">'420'!$T$13</definedName>
    <definedName name="OSRRefT13x_0" localSheetId="84">'425'!$T$13</definedName>
    <definedName name="OSRRefT13x_0" localSheetId="88">'433'!$T$13:$T$15</definedName>
    <definedName name="OSRRefT13x_0" localSheetId="90">'444'!$T$13:$T$15</definedName>
    <definedName name="OSRRefT13x_0" localSheetId="91">'450'!$T$13:$T$15</definedName>
    <definedName name="OSRRefT13x_0" localSheetId="72">'491'!$T$13:$T$17</definedName>
    <definedName name="OSRRefT13x_0" localSheetId="86">'492'!$T$13:$T$15</definedName>
    <definedName name="OSRRefT13x_0" localSheetId="93">'501'!$T$13</definedName>
    <definedName name="OSRRefT13x_0" localSheetId="47">'Div 3'!$T$13:$T$80</definedName>
    <definedName name="OSRRefT13x_0" localSheetId="70">'Div 4'!$T$13:$T$18</definedName>
    <definedName name="OSRRefT13x_0" localSheetId="92">'Div 5'!$T$13</definedName>
    <definedName name="OSRRefT13x_0" localSheetId="61">'Div 6'!$T$13:$T$33</definedName>
    <definedName name="OSRRefT13x_0" localSheetId="2">Summary!$T$13:$T$98</definedName>
    <definedName name="OSRRefT16x_0" localSheetId="48">'300'!$T$80:$T$118</definedName>
    <definedName name="OSRRefT16x_0" localSheetId="49">'300 &amp; 317'!$T$94:$T$140</definedName>
    <definedName name="OSRRefT16x_0" localSheetId="50">'301'!$T$15</definedName>
    <definedName name="OSRRefT16x_0" localSheetId="52">'307'!$T$28:$T$37</definedName>
    <definedName name="OSRRefT16x_0" localSheetId="53">'308'!$T$39:$T$55</definedName>
    <definedName name="OSRRefT16x_0" localSheetId="63">'310'!$T$24:$T$25</definedName>
    <definedName name="OSRRefT16x_0" localSheetId="71">'310 &amp; 491'!$T$28:$T$29</definedName>
    <definedName name="OSRRefT16x_0" localSheetId="54">'311'!$T$39:$T$55</definedName>
    <definedName name="OSRRefT16x_0" localSheetId="65">'313'!$T$19</definedName>
    <definedName name="OSRRefT16x_0" localSheetId="57">'315'!$T$57:$T$80</definedName>
    <definedName name="OSRRefT16x_0" localSheetId="60">'316'!$T$26</definedName>
    <definedName name="OSRRefT16x_0" localSheetId="62">'317'!$T$36:$T$47</definedName>
    <definedName name="OSRRefT16x_0" localSheetId="66">'321'!$T$17:$T$18</definedName>
    <definedName name="OSRRefT16x_0" localSheetId="67">'322'!$T$15</definedName>
    <definedName name="OSRRefT16x_0" localSheetId="55">'324'!$T$19:$T$21</definedName>
    <definedName name="OSRRefT16x_0" localSheetId="68">'325'!$T$17:$T$18</definedName>
    <definedName name="OSRRefT16x_0" localSheetId="58">'326'!$T$37:$T$43</definedName>
    <definedName name="OSRRefT16x_0" localSheetId="69">'327'!$T$17:$T$18</definedName>
    <definedName name="OSRRefT16x_0" localSheetId="51">'330'!$T$31:$T$40</definedName>
    <definedName name="OSRRefT16x_0" localSheetId="56">'331'!$T$57:$T$80</definedName>
    <definedName name="OSRRefT16x_0" localSheetId="59">'332'!$T$26:$T$28</definedName>
    <definedName name="OSRRefT16x_0" localSheetId="73">'405'!$T$17:$T$18</definedName>
    <definedName name="OSRRefT16x_0" localSheetId="79">'415'!$T$17:$T$18</definedName>
    <definedName name="OSRRefT16x_0" localSheetId="80">'418'!$T$15</definedName>
    <definedName name="OSRRefT16x_0" localSheetId="84">'425'!$T$16</definedName>
    <definedName name="OSRRefT16x_0" localSheetId="88">'433'!$T$18:$T$19</definedName>
    <definedName name="OSRRefT16x_0" localSheetId="90">'444'!$T$18:$T$19</definedName>
    <definedName name="OSRRefT16x_0" localSheetId="91">'450'!$T$18:$T$19</definedName>
    <definedName name="OSRRefT16x_0" localSheetId="72">'491'!$T$20:$T$21</definedName>
    <definedName name="OSRRefT16x_0" localSheetId="86">'492'!$T$18:$T$19</definedName>
    <definedName name="OSRRefT16x_0" localSheetId="47">'Div 3'!$T$83:$T$123</definedName>
    <definedName name="OSRRefT16x_0" localSheetId="70">'Div 4'!$T$21:$T$22</definedName>
    <definedName name="OSRRefT16x_0" localSheetId="61">'Div 6'!$T$36:$T$47</definedName>
    <definedName name="OSRRefT16x_0" localSheetId="2">Summary!$T$101:$T$149</definedName>
    <definedName name="OSRRefT22_0x_0" localSheetId="40">'200'!$T$20</definedName>
    <definedName name="OSRRefT22_0x_0" localSheetId="41">'201'!$T$20:$T$27</definedName>
    <definedName name="OSRRefT22_0x_0" localSheetId="42">'202'!$T$20:$T$27</definedName>
    <definedName name="OSRRefT22_0x_0" localSheetId="43">'203'!$T$20:$T$28</definedName>
    <definedName name="OSRRefT22_0x_0" localSheetId="44">'204'!$T$20:$T$28</definedName>
    <definedName name="OSRRefT22_0x_0" localSheetId="45">'205'!$T$20:$T$27</definedName>
    <definedName name="OSRRefT22_0x_0" localSheetId="46">'206'!$T$20:$T$26</definedName>
    <definedName name="OSRRefT22_0x_0" localSheetId="48">'300'!$T$124:$T$133</definedName>
    <definedName name="OSRRefT22_0x_0" localSheetId="49">'300 &amp; 317'!$T$146:$T$155</definedName>
    <definedName name="OSRRefT22_0x_0" localSheetId="50">'301'!$T$21:$T$30</definedName>
    <definedName name="OSRRefT22_0x_0" localSheetId="52">'307'!$T$43:$T$45</definedName>
    <definedName name="OSRRefT22_0x_0" localSheetId="53">'308'!$T$61:$T$69</definedName>
    <definedName name="OSRRefT22_0x_0" localSheetId="64">'309'!$T$20</definedName>
    <definedName name="OSRRefT22_0x_0" localSheetId="63">'310'!$T$31:$T$38</definedName>
    <definedName name="OSRRefT22_0x_0" localSheetId="71">'310 &amp; 491'!$T$35:$T$42</definedName>
    <definedName name="OSRRefT22_0x_0" localSheetId="54">'311'!$T$61:$T$69</definedName>
    <definedName name="OSRRefT22_0x_0" localSheetId="65">'313'!$T$25:$T$32</definedName>
    <definedName name="OSRRefT22_0x_0" localSheetId="57">'315'!$T$86:$T$93</definedName>
    <definedName name="OSRRefT22_0x_0" localSheetId="60">'316'!$T$32:$T$39</definedName>
    <definedName name="OSRRefT22_0x_0" localSheetId="62">'317'!$T$53:$T$61</definedName>
    <definedName name="OSRRefT22_0x_0" localSheetId="66">'321'!$T$24:$T$31</definedName>
    <definedName name="OSRRefT22_0x_0" localSheetId="67">'322'!$T$21:$T$25</definedName>
    <definedName name="OSRRefT22_0x_0" localSheetId="68">'325'!$T$24:$T$31</definedName>
    <definedName name="OSRRefT22_0x_0" localSheetId="58">'326'!$T$49:$T$56</definedName>
    <definedName name="OSRRefT22_0x_0" localSheetId="69">'327'!$T$24</definedName>
    <definedName name="OSRRefT22_0x_0" localSheetId="51">'330'!$T$46:$T$49</definedName>
    <definedName name="OSRRefT22_0x_0" localSheetId="56">'331'!$T$86:$T$93</definedName>
    <definedName name="OSRRefT22_0x_0" localSheetId="59">'332'!$T$34:$T$41</definedName>
    <definedName name="OSRRefT22_0x_0" localSheetId="73">'405'!$T$24:$T$31</definedName>
    <definedName name="OSRRefT22_0x_0" localSheetId="74">'406'!$T$20</definedName>
    <definedName name="OSRRefT22_0x_0" localSheetId="75">'411'!$T$20:$T$27</definedName>
    <definedName name="OSRRefT22_0x_0" localSheetId="76">'412'!$T$20</definedName>
    <definedName name="OSRRefT22_0x_0" localSheetId="77">'413'!$T$20:$T$24</definedName>
    <definedName name="OSRRefT22_0x_0" localSheetId="78">'414'!$T$21</definedName>
    <definedName name="OSRRefT22_0x_0" localSheetId="79">'415'!$T$24:$T$31</definedName>
    <definedName name="OSRRefT22_0x_0" localSheetId="80">'418'!$T$21:$T$28</definedName>
    <definedName name="OSRRefT22_0x_0" localSheetId="81">'420'!$T$21</definedName>
    <definedName name="OSRRefT22_0x_0" localSheetId="82">'423'!$T$20:$T$21</definedName>
    <definedName name="OSRRefT22_0x_0" localSheetId="83">'424'!$T$20</definedName>
    <definedName name="OSRRefT22_0x_0" localSheetId="84">'425'!$T$22:$T$26</definedName>
    <definedName name="OSRRefT22_0x_0" localSheetId="87">'430'!$T$20:$T$27</definedName>
    <definedName name="OSRRefT22_0x_0" localSheetId="88">'433'!$T$25:$T$33</definedName>
    <definedName name="OSRRefT22_0x_0" localSheetId="89">'435'!$T$20</definedName>
    <definedName name="OSRRefT22_0x_0" localSheetId="90">'444'!$T$25:$T$33</definedName>
    <definedName name="OSRRefT22_0x_0" localSheetId="91">'450'!$T$25:$T$33</definedName>
    <definedName name="OSRRefT22_0x_0" localSheetId="72">'491'!$T$27:$T$34</definedName>
    <definedName name="OSRRefT22_0x_0" localSheetId="86">'492'!$T$25:$T$33</definedName>
    <definedName name="OSRRefT22_0x_0" localSheetId="93">'501'!$T$21:$T$29</definedName>
    <definedName name="OSRRefT22_0x_0" localSheetId="39">'Div 2'!$T$20:$T$29</definedName>
    <definedName name="OSRRefT22_0x_0" localSheetId="47">'Div 3'!$T$129:$T$138</definedName>
    <definedName name="OSRRefT22_0x_0" localSheetId="70">'Div 4'!$T$28:$T$36</definedName>
    <definedName name="OSRRefT22_0x_0" localSheetId="92">'Div 5'!$T$21:$T$29</definedName>
    <definedName name="OSRRefT22_0x_0" localSheetId="61">'Div 6'!$T$53:$T$61</definedName>
    <definedName name="OSRRefT22_0x_0" localSheetId="2">Summary!$T$155:$T$164</definedName>
    <definedName name="OSRRefT22_10x_0" localSheetId="41">'201'!$T$52</definedName>
    <definedName name="OSRRefT22_10x_0" localSheetId="42">'202'!$T$53</definedName>
    <definedName name="OSRRefT22_10x_0" localSheetId="43">'203'!$T$54:$T$57</definedName>
    <definedName name="OSRRefT22_10x_0" localSheetId="48">'300'!$T$161:$T$162</definedName>
    <definedName name="OSRRefT22_10x_0" localSheetId="49">'300 &amp; 317'!$T$183:$T$184</definedName>
    <definedName name="OSRRefT22_10x_0" localSheetId="50">'301'!$T$58</definedName>
    <definedName name="OSRRefT22_10x_0" localSheetId="52">'307'!$T$70:$T$73</definedName>
    <definedName name="OSRRefT22_10x_0" localSheetId="53">'308'!$T$97</definedName>
    <definedName name="OSRRefT22_10x_0" localSheetId="63">'310'!$T$62:$T$63</definedName>
    <definedName name="OSRRefT22_10x_0" localSheetId="71">'310 &amp; 491'!$T$68</definedName>
    <definedName name="OSRRefT22_10x_0" localSheetId="54">'311'!$T$97</definedName>
    <definedName name="OSRRefT22_10x_0" localSheetId="57">'315'!$T$122:$T$123</definedName>
    <definedName name="OSRRefT22_10x_0" localSheetId="60">'316'!$T$64:$T$68</definedName>
    <definedName name="OSRRefT22_10x_0" localSheetId="62">'317'!$T$88</definedName>
    <definedName name="OSRRefT22_10x_0" localSheetId="66">'321'!$T$60</definedName>
    <definedName name="OSRRefT22_10x_0" localSheetId="68">'325'!$T$55:$T$58</definedName>
    <definedName name="OSRRefT22_10x_0" localSheetId="58">'326'!$T$80</definedName>
    <definedName name="OSRRefT22_10x_0" localSheetId="51">'330'!$T$75:$T$78</definedName>
    <definedName name="OSRRefT22_10x_0" localSheetId="56">'331'!$T$119:$T$120</definedName>
    <definedName name="OSRRefT22_10x_0" localSheetId="59">'332'!$T$66:$T$70</definedName>
    <definedName name="OSRRefT22_10x_0" localSheetId="73">'405'!$T$55:$T$56</definedName>
    <definedName name="OSRRefT22_10x_0" localSheetId="75">'411'!$T$54:$T$56</definedName>
    <definedName name="OSRRefT22_10x_0" localSheetId="79">'415'!$T$55:$T$56</definedName>
    <definedName name="OSRRefT22_10x_0" localSheetId="80">'418'!$T$53</definedName>
    <definedName name="OSRRefT22_10x_0" localSheetId="88">'433'!$T$57</definedName>
    <definedName name="OSRRefT22_10x_0" localSheetId="90">'444'!$T$57:$T$58</definedName>
    <definedName name="OSRRefT22_10x_0" localSheetId="91">'450'!$T$57</definedName>
    <definedName name="OSRRefT22_10x_0" localSheetId="72">'491'!$T$59</definedName>
    <definedName name="OSRRefT22_10x_0" localSheetId="86">'492'!$T$58</definedName>
    <definedName name="OSRRefT22_10x_0" localSheetId="93">'501'!$T$57</definedName>
    <definedName name="OSRRefT22_10x_0" localSheetId="39">'Div 2'!$T$55</definedName>
    <definedName name="OSRRefT22_10x_0" localSheetId="47">'Div 3'!$T$166:$T$167</definedName>
    <definedName name="OSRRefT22_10x_0" localSheetId="70">'Div 4'!$T$62</definedName>
    <definedName name="OSRRefT22_10x_0" localSheetId="92">'Div 5'!$T$57</definedName>
    <definedName name="OSRRefT22_10x_0" localSheetId="61">'Div 6'!$T$88</definedName>
    <definedName name="OSRRefT22_10x_0" localSheetId="2">Summary!$T$192:$T$193</definedName>
    <definedName name="OSRRefT22_11x_0" localSheetId="41">'201'!$T$54:$T$55</definedName>
    <definedName name="OSRRefT22_11x_0" localSheetId="42">'202'!$T$55</definedName>
    <definedName name="OSRRefT22_11x_0" localSheetId="43">'203'!$T$59</definedName>
    <definedName name="OSRRefT22_11x_0" localSheetId="48">'300'!$T$164</definedName>
    <definedName name="OSRRefT22_11x_0" localSheetId="49">'300 &amp; 317'!$T$186</definedName>
    <definedName name="OSRRefT22_11x_0" localSheetId="50">'301'!$T$60</definedName>
    <definedName name="OSRRefT22_11x_0" localSheetId="52">'307'!$T$75</definedName>
    <definedName name="OSRRefT22_11x_0" localSheetId="53">'308'!$T$99:$T$100</definedName>
    <definedName name="OSRRefT22_11x_0" localSheetId="63">'310'!$T$65</definedName>
    <definedName name="OSRRefT22_11x_0" localSheetId="71">'310 &amp; 491'!$T$70</definedName>
    <definedName name="OSRRefT22_11x_0" localSheetId="54">'311'!$T$99:$T$100</definedName>
    <definedName name="OSRRefT22_11x_0" localSheetId="57">'315'!$T$125:$T$127</definedName>
    <definedName name="OSRRefT22_11x_0" localSheetId="60">'316'!$T$70</definedName>
    <definedName name="OSRRefT22_11x_0" localSheetId="66">'321'!$T$62</definedName>
    <definedName name="OSRRefT22_11x_0" localSheetId="68">'325'!$T$60:$T$63</definedName>
    <definedName name="OSRRefT22_11x_0" localSheetId="58">'326'!$T$82:$T$84</definedName>
    <definedName name="OSRRefT22_11x_0" localSheetId="51">'330'!$T$80</definedName>
    <definedName name="OSRRefT22_11x_0" localSheetId="56">'331'!$T$122</definedName>
    <definedName name="OSRRefT22_11x_0" localSheetId="59">'332'!$T$72</definedName>
    <definedName name="OSRRefT22_11x_0" localSheetId="73">'405'!$T$58:$T$61</definedName>
    <definedName name="OSRRefT22_11x_0" localSheetId="75">'411'!$T$58:$T$59</definedName>
    <definedName name="OSRRefT22_11x_0" localSheetId="79">'415'!$T$58:$T$61</definedName>
    <definedName name="OSRRefT22_11x_0" localSheetId="80">'418'!$T$55:$T$59</definedName>
    <definedName name="OSRRefT22_11x_0" localSheetId="88">'433'!$T$59:$T$60</definedName>
    <definedName name="OSRRefT22_11x_0" localSheetId="90">'444'!$T$60:$T$62</definedName>
    <definedName name="OSRRefT22_11x_0" localSheetId="91">'450'!$T$59</definedName>
    <definedName name="OSRRefT22_11x_0" localSheetId="72">'491'!$T$61</definedName>
    <definedName name="OSRRefT22_11x_0" localSheetId="86">'492'!$T$60</definedName>
    <definedName name="OSRRefT22_11x_0" localSheetId="39">'Div 2'!$T$57</definedName>
    <definedName name="OSRRefT22_11x_0" localSheetId="47">'Div 3'!$T$169</definedName>
    <definedName name="OSRRefT22_11x_0" localSheetId="70">'Div 4'!$T$64</definedName>
    <definedName name="OSRRefT22_11x_0" localSheetId="2">Summary!$T$195</definedName>
    <definedName name="OSRRefT22_12x_0" localSheetId="41">'201'!$T$57</definedName>
    <definedName name="OSRRefT22_12x_0" localSheetId="43">'203'!$T$61</definedName>
    <definedName name="OSRRefT22_12x_0" localSheetId="48">'300'!$T$166</definedName>
    <definedName name="OSRRefT22_12x_0" localSheetId="49">'300 &amp; 317'!$T$188</definedName>
    <definedName name="OSRRefT22_12x_0" localSheetId="50">'301'!$T$62</definedName>
    <definedName name="OSRRefT22_12x_0" localSheetId="52">'307'!$T$77</definedName>
    <definedName name="OSRRefT22_12x_0" localSheetId="53">'308'!$T$102:$T$103</definedName>
    <definedName name="OSRRefT22_12x_0" localSheetId="63">'310'!$T$67:$T$70</definedName>
    <definedName name="OSRRefT22_12x_0" localSheetId="71">'310 &amp; 491'!$T$72</definedName>
    <definedName name="OSRRefT22_12x_0" localSheetId="54">'311'!$T$102:$T$103</definedName>
    <definedName name="OSRRefT22_12x_0" localSheetId="57">'315'!$T$129</definedName>
    <definedName name="OSRRefT22_12x_0" localSheetId="60">'316'!$T$72</definedName>
    <definedName name="OSRRefT22_12x_0" localSheetId="68">'325'!$T$65</definedName>
    <definedName name="OSRRefT22_12x_0" localSheetId="58">'326'!$T$86:$T$88</definedName>
    <definedName name="OSRRefT22_12x_0" localSheetId="51">'330'!$T$82</definedName>
    <definedName name="OSRRefT22_12x_0" localSheetId="56">'331'!$T$124</definedName>
    <definedName name="OSRRefT22_12x_0" localSheetId="59">'332'!$T$74</definedName>
    <definedName name="OSRRefT22_12x_0" localSheetId="73">'405'!$T$63</definedName>
    <definedName name="OSRRefT22_12x_0" localSheetId="75">'411'!$T$61</definedName>
    <definedName name="OSRRefT22_12x_0" localSheetId="79">'415'!$T$63</definedName>
    <definedName name="OSRRefT22_12x_0" localSheetId="80">'418'!$T$61</definedName>
    <definedName name="OSRRefT22_12x_0" localSheetId="88">'433'!$T$62:$T$64</definedName>
    <definedName name="OSRRefT22_12x_0" localSheetId="90">'444'!$T$64</definedName>
    <definedName name="OSRRefT22_12x_0" localSheetId="91">'450'!$T$61:$T$62</definedName>
    <definedName name="OSRRefT22_12x_0" localSheetId="72">'491'!$T$63</definedName>
    <definedName name="OSRRefT22_12x_0" localSheetId="86">'492'!$T$62:$T$64</definedName>
    <definedName name="OSRRefT22_12x_0" localSheetId="39">'Div 2'!$T$59:$T$61</definedName>
    <definedName name="OSRRefT22_12x_0" localSheetId="47">'Div 3'!$T$171</definedName>
    <definedName name="OSRRefT22_12x_0" localSheetId="70">'Div 4'!$T$66</definedName>
    <definedName name="OSRRefT22_12x_0" localSheetId="2">Summary!$T$197</definedName>
    <definedName name="OSRRefT22_13x_0" localSheetId="41">'201'!$T$59</definedName>
    <definedName name="OSRRefT22_13x_0" localSheetId="43">'203'!$T$63</definedName>
    <definedName name="OSRRefT22_13x_0" localSheetId="48">'300'!$T$168:$T$169</definedName>
    <definedName name="OSRRefT22_13x_0" localSheetId="49">'300 &amp; 317'!$T$190:$T$191</definedName>
    <definedName name="OSRRefT22_13x_0" localSheetId="50">'301'!$T$64</definedName>
    <definedName name="OSRRefT22_13x_0" localSheetId="53">'308'!$T$105</definedName>
    <definedName name="OSRRefT22_13x_0" localSheetId="63">'310'!$T$72:$T$76</definedName>
    <definedName name="OSRRefT22_13x_0" localSheetId="71">'310 &amp; 491'!$T$74:$T$76</definedName>
    <definedName name="OSRRefT22_13x_0" localSheetId="54">'311'!$T$105</definedName>
    <definedName name="OSRRefT22_13x_0" localSheetId="57">'315'!$T$131</definedName>
    <definedName name="OSRRefT22_13x_0" localSheetId="68">'325'!$T$67</definedName>
    <definedName name="OSRRefT22_13x_0" localSheetId="58">'326'!$T$90</definedName>
    <definedName name="OSRRefT22_13x_0" localSheetId="56">'331'!$T$126:$T$128</definedName>
    <definedName name="OSRRefT22_13x_0" localSheetId="73">'405'!$T$65:$T$72</definedName>
    <definedName name="OSRRefT22_13x_0" localSheetId="75">'411'!$T$63:$T$64</definedName>
    <definedName name="OSRRefT22_13x_0" localSheetId="79">'415'!$T$65:$T$70</definedName>
    <definedName name="OSRRefT22_13x_0" localSheetId="88">'433'!$T$66:$T$73</definedName>
    <definedName name="OSRRefT22_13x_0" localSheetId="90">'444'!$T$66:$T$72</definedName>
    <definedName name="OSRRefT22_13x_0" localSheetId="91">'450'!$T$64:$T$66</definedName>
    <definedName name="OSRRefT22_13x_0" localSheetId="72">'491'!$T$65:$T$67</definedName>
    <definedName name="OSRRefT22_13x_0" localSheetId="86">'492'!$T$66:$T$68</definedName>
    <definedName name="OSRRefT22_13x_0" localSheetId="39">'Div 2'!$T$63:$T$66</definedName>
    <definedName name="OSRRefT22_13x_0" localSheetId="47">'Div 3'!$T$173</definedName>
    <definedName name="OSRRefT22_13x_0" localSheetId="70">'Div 4'!$T$68</definedName>
    <definedName name="OSRRefT22_13x_0" localSheetId="2">Summary!$T$199</definedName>
    <definedName name="OSRRefT22_14x_0" localSheetId="48">'300'!$T$171</definedName>
    <definedName name="OSRRefT22_14x_0" localSheetId="49">'300 &amp; 317'!$T$193</definedName>
    <definedName name="OSRRefT22_14x_0" localSheetId="50">'301'!$T$66</definedName>
    <definedName name="OSRRefT22_14x_0" localSheetId="63">'310'!$T$78</definedName>
    <definedName name="OSRRefT22_14x_0" localSheetId="71">'310 &amp; 491'!$T$78</definedName>
    <definedName name="OSRRefT22_14x_0" localSheetId="58">'326'!$T$92:$T$95</definedName>
    <definedName name="OSRRefT22_14x_0" localSheetId="56">'331'!$T$130:$T$131</definedName>
    <definedName name="OSRRefT22_14x_0" localSheetId="73">'405'!$T$74</definedName>
    <definedName name="OSRRefT22_14x_0" localSheetId="75">'411'!$T$66</definedName>
    <definedName name="OSRRefT22_14x_0" localSheetId="79">'415'!$T$72</definedName>
    <definedName name="OSRRefT22_14x_0" localSheetId="88">'433'!$T$75</definedName>
    <definedName name="OSRRefT22_14x_0" localSheetId="90">'444'!$T$74</definedName>
    <definedName name="OSRRefT22_14x_0" localSheetId="91">'450'!$T$68:$T$73</definedName>
    <definedName name="OSRRefT22_14x_0" localSheetId="72">'491'!$T$69</definedName>
    <definedName name="OSRRefT22_14x_0" localSheetId="86">'492'!$T$70</definedName>
    <definedName name="OSRRefT22_14x_0" localSheetId="39">'Div 2'!$T$68</definedName>
    <definedName name="OSRRefT22_14x_0" localSheetId="47">'Div 3'!$T$175:$T$176</definedName>
    <definedName name="OSRRefT22_14x_0" localSheetId="70">'Div 4'!$T$70</definedName>
    <definedName name="OSRRefT22_14x_0" localSheetId="2">Summary!$T$201:$T$202</definedName>
    <definedName name="OSRRefT22_15x_0" localSheetId="48">'300'!$T$173</definedName>
    <definedName name="OSRRefT22_15x_0" localSheetId="49">'300 &amp; 317'!$T$195</definedName>
    <definedName name="OSRRefT22_15x_0" localSheetId="50">'301'!$T$68:$T$71</definedName>
    <definedName name="OSRRefT22_15x_0" localSheetId="63">'310'!$T$80</definedName>
    <definedName name="OSRRefT22_15x_0" localSheetId="71">'310 &amp; 491'!$T$80:$T$83</definedName>
    <definedName name="OSRRefT22_15x_0" localSheetId="58">'326'!$T$97</definedName>
    <definedName name="OSRRefT22_15x_0" localSheetId="56">'331'!$T$133:$T$135</definedName>
    <definedName name="OSRRefT22_15x_0" localSheetId="73">'405'!$T$76</definedName>
    <definedName name="OSRRefT22_15x_0" localSheetId="79">'415'!$T$74</definedName>
    <definedName name="OSRRefT22_15x_0" localSheetId="90">'444'!$T$76</definedName>
    <definedName name="OSRRefT22_15x_0" localSheetId="91">'450'!$T$75</definedName>
    <definedName name="OSRRefT22_15x_0" localSheetId="72">'491'!$T$71:$T$74</definedName>
    <definedName name="OSRRefT22_15x_0" localSheetId="86">'492'!$T$72:$T$79</definedName>
    <definedName name="OSRRefT22_15x_0" localSheetId="39">'Div 2'!$T$70</definedName>
    <definedName name="OSRRefT22_15x_0" localSheetId="47">'Div 3'!$T$178</definedName>
    <definedName name="OSRRefT22_15x_0" localSheetId="70">'Div 4'!$T$72:$T$74</definedName>
    <definedName name="OSRRefT22_15x_0" localSheetId="2">Summary!$T$204</definedName>
    <definedName name="OSRRefT22_16x_0" localSheetId="48">'300'!$T$175:$T$178</definedName>
    <definedName name="OSRRefT22_16x_0" localSheetId="49">'300 &amp; 317'!$T$197:$T$200</definedName>
    <definedName name="OSRRefT22_16x_0" localSheetId="50">'301'!$T$73:$T$75</definedName>
    <definedName name="OSRRefT22_16x_0" localSheetId="71">'310 &amp; 491'!$T$85</definedName>
    <definedName name="OSRRefT22_16x_0" localSheetId="58">'326'!$T$99</definedName>
    <definedName name="OSRRefT22_16x_0" localSheetId="56">'331'!$T$137:$T$138</definedName>
    <definedName name="OSRRefT22_16x_0" localSheetId="79">'415'!$T$76</definedName>
    <definedName name="OSRRefT22_16x_0" localSheetId="91">'450'!$T$77</definedName>
    <definedName name="OSRRefT22_16x_0" localSheetId="72">'491'!$T$76</definedName>
    <definedName name="OSRRefT22_16x_0" localSheetId="86">'492'!$T$81</definedName>
    <definedName name="OSRRefT22_16x_0" localSheetId="39">'Div 2'!$T$72:$T$76</definedName>
    <definedName name="OSRRefT22_16x_0" localSheetId="47">'Div 3'!$T$180</definedName>
    <definedName name="OSRRefT22_16x_0" localSheetId="70">'Div 4'!$T$76</definedName>
    <definedName name="OSRRefT22_16x_0" localSheetId="2">Summary!$T$206</definedName>
    <definedName name="OSRRefT22_17x_0" localSheetId="48">'300'!$T$180:$T$182</definedName>
    <definedName name="OSRRefT22_17x_0" localSheetId="49">'300 &amp; 317'!$T$202:$T$204</definedName>
    <definedName name="OSRRefT22_17x_0" localSheetId="50">'301'!$T$77</definedName>
    <definedName name="OSRRefT22_17x_0" localSheetId="71">'310 &amp; 491'!$T$87:$T$95</definedName>
    <definedName name="OSRRefT22_17x_0" localSheetId="58">'326'!$T$101</definedName>
    <definedName name="OSRRefT22_17x_0" localSheetId="56">'331'!$T$140:$T$143</definedName>
    <definedName name="OSRRefT22_17x_0" localSheetId="72">'491'!$T$78:$T$86</definedName>
    <definedName name="OSRRefT22_17x_0" localSheetId="86">'492'!$T$83</definedName>
    <definedName name="OSRRefT22_17x_0" localSheetId="39">'Div 2'!$T$78:$T$79</definedName>
    <definedName name="OSRRefT22_17x_0" localSheetId="47">'Div 3'!$T$182:$T$185</definedName>
    <definedName name="OSRRefT22_17x_0" localSheetId="70">'Div 4'!$T$78:$T$81</definedName>
    <definedName name="OSRRefT22_17x_0" localSheetId="2">Summary!$T$208</definedName>
    <definedName name="OSRRefT22_18x_0" localSheetId="48">'300'!$T$184:$T$187</definedName>
    <definedName name="OSRRefT22_18x_0" localSheetId="49">'300 &amp; 317'!$T$206:$T$209</definedName>
    <definedName name="OSRRefT22_18x_0" localSheetId="50">'301'!$T$79:$T$84</definedName>
    <definedName name="OSRRefT22_18x_0" localSheetId="71">'310 &amp; 491'!$T$97</definedName>
    <definedName name="OSRRefT22_18x_0" localSheetId="56">'331'!$T$145</definedName>
    <definedName name="OSRRefT22_18x_0" localSheetId="72">'491'!$T$88</definedName>
    <definedName name="OSRRefT22_18x_0" localSheetId="86">'492'!$T$85:$T$86</definedName>
    <definedName name="OSRRefT22_18x_0" localSheetId="39">'Div 2'!$T$81</definedName>
    <definedName name="OSRRefT22_18x_0" localSheetId="47">'Div 3'!$T$187:$T$189</definedName>
    <definedName name="OSRRefT22_18x_0" localSheetId="70">'Div 4'!$T$83:$T$84</definedName>
    <definedName name="OSRRefT22_18x_0" localSheetId="2">Summary!$T$210:$T$213</definedName>
    <definedName name="OSRRefT22_19x_0" localSheetId="48">'300'!$T$189:$T$190</definedName>
    <definedName name="OSRRefT22_19x_0" localSheetId="49">'300 &amp; 317'!$T$211:$T$212</definedName>
    <definedName name="OSRRefT22_19x_0" localSheetId="50">'301'!$T$86</definedName>
    <definedName name="OSRRefT22_19x_0" localSheetId="71">'310 &amp; 491'!$T$99</definedName>
    <definedName name="OSRRefT22_19x_0" localSheetId="56">'331'!$T$147</definedName>
    <definedName name="OSRRefT22_19x_0" localSheetId="72">'491'!$T$90</definedName>
    <definedName name="OSRRefT22_19x_0" localSheetId="39">'Div 2'!$T$83:$T$84</definedName>
    <definedName name="OSRRefT22_19x_0" localSheetId="47">'Div 3'!$T$191:$T$195</definedName>
    <definedName name="OSRRefT22_19x_0" localSheetId="70">'Div 4'!$T$86:$T$94</definedName>
    <definedName name="OSRRefT22_19x_0" localSheetId="2">Summary!$T$215:$T$217</definedName>
    <definedName name="OSRRefT22_1x_0" localSheetId="40">'200'!$T$22</definedName>
    <definedName name="OSRRefT22_1x_0" localSheetId="41">'201'!$T$29:$T$31</definedName>
    <definedName name="OSRRefT22_1x_0" localSheetId="42">'202'!$T$29:$T$31</definedName>
    <definedName name="OSRRefT22_1x_0" localSheetId="43">'203'!$T$30:$T$34</definedName>
    <definedName name="OSRRefT22_1x_0" localSheetId="44">'204'!$T$30:$T$32</definedName>
    <definedName name="OSRRefT22_1x_0" localSheetId="45">'205'!$T$29</definedName>
    <definedName name="OSRRefT22_1x_0" localSheetId="46">'206'!$T$28:$T$30</definedName>
    <definedName name="OSRRefT22_1x_0" localSheetId="48">'300'!$T$135:$T$141</definedName>
    <definedName name="OSRRefT22_1x_0" localSheetId="49">'300 &amp; 317'!$T$157:$T$163</definedName>
    <definedName name="OSRRefT22_1x_0" localSheetId="50">'301'!$T$32:$T$38</definedName>
    <definedName name="OSRRefT22_1x_0" localSheetId="52">'307'!$T$47:$T$49</definedName>
    <definedName name="OSRRefT22_1x_0" localSheetId="53">'308'!$T$71:$T$77</definedName>
    <definedName name="OSRRefT22_1x_0" localSheetId="64">'309'!$T$22</definedName>
    <definedName name="OSRRefT22_1x_0" localSheetId="63">'310'!$T$40:$T$43</definedName>
    <definedName name="OSRRefT22_1x_0" localSheetId="71">'310 &amp; 491'!$T$44:$T$48</definedName>
    <definedName name="OSRRefT22_1x_0" localSheetId="54">'311'!$T$71:$T$77</definedName>
    <definedName name="OSRRefT22_1x_0" localSheetId="65">'313'!$T$34</definedName>
    <definedName name="OSRRefT22_1x_0" localSheetId="57">'315'!$T$95:$T$99</definedName>
    <definedName name="OSRRefT22_1x_0" localSheetId="60">'316'!$T$41:$T$43</definedName>
    <definedName name="OSRRefT22_1x_0" localSheetId="62">'317'!$T$63:$T$67</definedName>
    <definedName name="OSRRefT22_1x_0" localSheetId="66">'321'!$T$33:$T$36</definedName>
    <definedName name="OSRRefT22_1x_0" localSheetId="67">'322'!$T$27</definedName>
    <definedName name="OSRRefT22_1x_0" localSheetId="68">'325'!$T$33:$T$35</definedName>
    <definedName name="OSRRefT22_1x_0" localSheetId="58">'326'!$T$58:$T$62</definedName>
    <definedName name="OSRRefT22_1x_0" localSheetId="51">'330'!$T$51:$T$53</definedName>
    <definedName name="OSRRefT22_1x_0" localSheetId="56">'331'!$T$95:$T$99</definedName>
    <definedName name="OSRRefT22_1x_0" localSheetId="59">'332'!$T$43:$T$45</definedName>
    <definedName name="OSRRefT22_1x_0" localSheetId="73">'405'!$T$33:$T$36</definedName>
    <definedName name="OSRRefT22_1x_0" localSheetId="74">'406'!$T$22</definedName>
    <definedName name="OSRRefT22_1x_0" localSheetId="75">'411'!$T$29:$T$33</definedName>
    <definedName name="OSRRefT22_1x_0" localSheetId="76">'412'!$T$22</definedName>
    <definedName name="OSRRefT22_1x_0" localSheetId="77">'413'!$T$26</definedName>
    <definedName name="OSRRefT22_1x_0" localSheetId="78">'414'!$T$23</definedName>
    <definedName name="OSRRefT22_1x_0" localSheetId="79">'415'!$T$33:$T$36</definedName>
    <definedName name="OSRRefT22_1x_0" localSheetId="80">'418'!$T$30:$T$33</definedName>
    <definedName name="OSRRefT22_1x_0" localSheetId="82">'423'!$T$23</definedName>
    <definedName name="OSRRefT22_1x_0" localSheetId="83">'424'!$T$22</definedName>
    <definedName name="OSRRefT22_1x_0" localSheetId="84">'425'!$T$28</definedName>
    <definedName name="OSRRefT22_1x_0" localSheetId="87">'430'!$T$29</definedName>
    <definedName name="OSRRefT22_1x_0" localSheetId="88">'433'!$T$35:$T$39</definedName>
    <definedName name="OSRRefT22_1x_0" localSheetId="90">'444'!$T$35:$T$39</definedName>
    <definedName name="OSRRefT22_1x_0" localSheetId="91">'450'!$T$35:$T$39</definedName>
    <definedName name="OSRRefT22_1x_0" localSheetId="72">'491'!$T$36:$T$40</definedName>
    <definedName name="OSRRefT22_1x_0" localSheetId="86">'492'!$T$35:$T$40</definedName>
    <definedName name="OSRRefT22_1x_0" localSheetId="93">'501'!$T$31:$T$36</definedName>
    <definedName name="OSRRefT22_1x_0" localSheetId="39">'Div 2'!$T$31:$T$36</definedName>
    <definedName name="OSRRefT22_1x_0" localSheetId="47">'Div 3'!$T$140:$T$146</definedName>
    <definedName name="OSRRefT22_1x_0" localSheetId="70">'Div 4'!$T$38:$T$43</definedName>
    <definedName name="OSRRefT22_1x_0" localSheetId="92">'Div 5'!$T$31:$T$36</definedName>
    <definedName name="OSRRefT22_1x_0" localSheetId="61">'Div 6'!$T$63:$T$67</definedName>
    <definedName name="OSRRefT22_1x_0" localSheetId="2">Summary!$T$166:$T$172</definedName>
    <definedName name="OSRRefT22_20x_0" localSheetId="48">'300'!$T$192:$T$198</definedName>
    <definedName name="OSRRefT22_20x_0" localSheetId="49">'300 &amp; 317'!$T$214:$T$220</definedName>
    <definedName name="OSRRefT22_20x_0" localSheetId="50">'301'!$T$88</definedName>
    <definedName name="OSRRefT22_20x_0" localSheetId="71">'310 &amp; 491'!$T$101:$T$102</definedName>
    <definedName name="OSRRefT22_20x_0" localSheetId="56">'331'!$T$149</definedName>
    <definedName name="OSRRefT22_20x_0" localSheetId="72">'491'!$T$92:$T$93</definedName>
    <definedName name="OSRRefT22_20x_0" localSheetId="47">'Div 3'!$T$197:$T$198</definedName>
    <definedName name="OSRRefT22_20x_0" localSheetId="70">'Div 4'!$T$96</definedName>
    <definedName name="OSRRefT22_20x_0" localSheetId="2">Summary!$T$219:$T$223</definedName>
    <definedName name="OSRRefT22_21x_0" localSheetId="48">'300'!$T$200:$T$201</definedName>
    <definedName name="OSRRefT22_21x_0" localSheetId="49">'300 &amp; 317'!$T$222:$T$223</definedName>
    <definedName name="OSRRefT22_21x_0" localSheetId="50">'301'!$T$90:$T$91</definedName>
    <definedName name="OSRRefT22_21x_0" localSheetId="71">'310 &amp; 491'!$T$104</definedName>
    <definedName name="OSRRefT22_21x_0" localSheetId="72">'491'!$T$95</definedName>
    <definedName name="OSRRefT22_21x_0" localSheetId="47">'Div 3'!$T$200:$T$206</definedName>
    <definedName name="OSRRefT22_21x_0" localSheetId="70">'Div 4'!$T$98</definedName>
    <definedName name="OSRRefT22_21x_0" localSheetId="2">Summary!$T$225:$T$226</definedName>
    <definedName name="OSRRefT22_22x_0" localSheetId="48">'300'!$T$203</definedName>
    <definedName name="OSRRefT22_22x_0" localSheetId="49">'300 &amp; 317'!$T$225</definedName>
    <definedName name="OSRRefT22_22x_0" localSheetId="50">'301'!$T$93</definedName>
    <definedName name="OSRRefT22_22x_0" localSheetId="47">'Div 3'!$T$208:$T$209</definedName>
    <definedName name="OSRRefT22_22x_0" localSheetId="70">'Div 4'!$T$100:$T$101</definedName>
    <definedName name="OSRRefT22_22x_0" localSheetId="2">Summary!$T$228:$T$236</definedName>
    <definedName name="OSRRefT22_23x_0" localSheetId="48">'300'!$T$205:$T$207</definedName>
    <definedName name="OSRRefT22_23x_0" localSheetId="49">'300 &amp; 317'!$T$227:$T$229</definedName>
    <definedName name="OSRRefT22_23x_0" localSheetId="47">'Div 3'!$T$211</definedName>
    <definedName name="OSRRefT22_23x_0" localSheetId="70">'Div 4'!$T$103</definedName>
    <definedName name="OSRRefT22_23x_0" localSheetId="2">Summary!$T$238:$T$239</definedName>
    <definedName name="OSRRefT22_24x_0" localSheetId="48">'300'!$T$209</definedName>
    <definedName name="OSRRefT22_24x_0" localSheetId="49">'300 &amp; 317'!$T$231</definedName>
    <definedName name="OSRRefT22_24x_0" localSheetId="47">'Div 3'!$T$213:$T$215</definedName>
    <definedName name="OSRRefT22_24x_0" localSheetId="2">Summary!$T$241</definedName>
    <definedName name="OSRRefT22_25x_0" localSheetId="47">'Div 3'!$T$217</definedName>
    <definedName name="OSRRefT22_25x_0" localSheetId="2">Summary!$T$243:$T$245</definedName>
    <definedName name="OSRRefT22_26x_0" localSheetId="2">Summary!$T$247</definedName>
    <definedName name="OSRRefT22_2x_0" localSheetId="40">'200'!$T$24</definedName>
    <definedName name="OSRRefT22_2x_0" localSheetId="41">'201'!$T$33</definedName>
    <definedName name="OSRRefT22_2x_0" localSheetId="42">'202'!$T$33</definedName>
    <definedName name="OSRRefT22_2x_0" localSheetId="43">'203'!$T$36</definedName>
    <definedName name="OSRRefT22_2x_0" localSheetId="44">'204'!$T$34</definedName>
    <definedName name="OSRRefT22_2x_0" localSheetId="45">'205'!$T$31</definedName>
    <definedName name="OSRRefT22_2x_0" localSheetId="46">'206'!$T$32</definedName>
    <definedName name="OSRRefT22_2x_0" localSheetId="48">'300'!$T$143</definedName>
    <definedName name="OSRRefT22_2x_0" localSheetId="49">'300 &amp; 317'!$T$165</definedName>
    <definedName name="OSRRefT22_2x_0" localSheetId="50">'301'!$T$40</definedName>
    <definedName name="OSRRefT22_2x_0" localSheetId="52">'307'!$T$51</definedName>
    <definedName name="OSRRefT22_2x_0" localSheetId="53">'308'!$T$79</definedName>
    <definedName name="OSRRefT22_2x_0" localSheetId="64">'309'!$T$24:$T$25</definedName>
    <definedName name="OSRRefT22_2x_0" localSheetId="63">'310'!$T$45</definedName>
    <definedName name="OSRRefT22_2x_0" localSheetId="71">'310 &amp; 491'!$T$50</definedName>
    <definedName name="OSRRefT22_2x_0" localSheetId="54">'311'!$T$79</definedName>
    <definedName name="OSRRefT22_2x_0" localSheetId="65">'313'!$T$36</definedName>
    <definedName name="OSRRefT22_2x_0" localSheetId="57">'315'!$T$101</definedName>
    <definedName name="OSRRefT22_2x_0" localSheetId="60">'316'!$T$45</definedName>
    <definedName name="OSRRefT22_2x_0" localSheetId="62">'317'!$T$69</definedName>
    <definedName name="OSRRefT22_2x_0" localSheetId="66">'321'!$T$38</definedName>
    <definedName name="OSRRefT22_2x_0" localSheetId="67">'322'!$T$29</definedName>
    <definedName name="OSRRefT22_2x_0" localSheetId="68">'325'!$T$37</definedName>
    <definedName name="OSRRefT22_2x_0" localSheetId="58">'326'!$T$64</definedName>
    <definedName name="OSRRefT22_2x_0" localSheetId="51">'330'!$T$55</definedName>
    <definedName name="OSRRefT22_2x_0" localSheetId="56">'331'!$T$101</definedName>
    <definedName name="OSRRefT22_2x_0" localSheetId="59">'332'!$T$47</definedName>
    <definedName name="OSRRefT22_2x_0" localSheetId="73">'405'!$T$38</definedName>
    <definedName name="OSRRefT22_2x_0" localSheetId="74">'406'!$T$24</definedName>
    <definedName name="OSRRefT22_2x_0" localSheetId="75">'411'!$T$35</definedName>
    <definedName name="OSRRefT22_2x_0" localSheetId="76">'412'!$T$24:$T$25</definedName>
    <definedName name="OSRRefT22_2x_0" localSheetId="77">'413'!$T$28</definedName>
    <definedName name="OSRRefT22_2x_0" localSheetId="78">'414'!$T$25</definedName>
    <definedName name="OSRRefT22_2x_0" localSheetId="79">'415'!$T$38</definedName>
    <definedName name="OSRRefT22_2x_0" localSheetId="80">'418'!$T$35</definedName>
    <definedName name="OSRRefT22_2x_0" localSheetId="82">'423'!$T$25</definedName>
    <definedName name="OSRRefT22_2x_0" localSheetId="83">'424'!$T$24</definedName>
    <definedName name="OSRRefT22_2x_0" localSheetId="84">'425'!$T$30</definedName>
    <definedName name="OSRRefT22_2x_0" localSheetId="87">'430'!$T$31</definedName>
    <definedName name="OSRRefT22_2x_0" localSheetId="88">'433'!$T$41</definedName>
    <definedName name="OSRRefT22_2x_0" localSheetId="90">'444'!$T$41</definedName>
    <definedName name="OSRRefT22_2x_0" localSheetId="91">'450'!$T$41</definedName>
    <definedName name="OSRRefT22_2x_0" localSheetId="72">'491'!$T$42</definedName>
    <definedName name="OSRRefT22_2x_0" localSheetId="86">'492'!$T$42</definedName>
    <definedName name="OSRRefT22_2x_0" localSheetId="93">'501'!$T$38</definedName>
    <definedName name="OSRRefT22_2x_0" localSheetId="39">'Div 2'!$T$38</definedName>
    <definedName name="OSRRefT22_2x_0" localSheetId="47">'Div 3'!$T$148</definedName>
    <definedName name="OSRRefT22_2x_0" localSheetId="70">'Div 4'!$T$45</definedName>
    <definedName name="OSRRefT22_2x_0" localSheetId="92">'Div 5'!$T$38</definedName>
    <definedName name="OSRRefT22_2x_0" localSheetId="61">'Div 6'!$T$69</definedName>
    <definedName name="OSRRefT22_2x_0" localSheetId="2">Summary!$T$174</definedName>
    <definedName name="OSRRefT22_3x_0" localSheetId="40">'200'!$T$26</definedName>
    <definedName name="OSRRefT22_3x_0" localSheetId="41">'201'!$T$35</definedName>
    <definedName name="OSRRefT22_3x_0" localSheetId="42">'202'!$T$35</definedName>
    <definedName name="OSRRefT22_3x_0" localSheetId="43">'203'!$T$38</definedName>
    <definedName name="OSRRefT22_3x_0" localSheetId="44">'204'!$T$36</definedName>
    <definedName name="OSRRefT22_3x_0" localSheetId="45">'205'!$T$33</definedName>
    <definedName name="OSRRefT22_3x_0" localSheetId="46">'206'!$T$34</definedName>
    <definedName name="OSRRefT22_3x_0" localSheetId="48">'300'!$T$145</definedName>
    <definedName name="OSRRefT22_3x_0" localSheetId="49">'300 &amp; 317'!$T$167</definedName>
    <definedName name="OSRRefT22_3x_0" localSheetId="50">'301'!$T$42</definedName>
    <definedName name="OSRRefT22_3x_0" localSheetId="52">'307'!$T$53</definedName>
    <definedName name="OSRRefT22_3x_0" localSheetId="53">'308'!$T$81</definedName>
    <definedName name="OSRRefT22_3x_0" localSheetId="64">'309'!$T$27:$T$28</definedName>
    <definedName name="OSRRefT22_3x_0" localSheetId="63">'310'!$T$47</definedName>
    <definedName name="OSRRefT22_3x_0" localSheetId="71">'310 &amp; 491'!$T$52</definedName>
    <definedName name="OSRRefT22_3x_0" localSheetId="54">'311'!$T$81</definedName>
    <definedName name="OSRRefT22_3x_0" localSheetId="65">'313'!$T$38</definedName>
    <definedName name="OSRRefT22_3x_0" localSheetId="57">'315'!$T$103:$T$104</definedName>
    <definedName name="OSRRefT22_3x_0" localSheetId="60">'316'!$T$47</definedName>
    <definedName name="OSRRefT22_3x_0" localSheetId="62">'317'!$T$71</definedName>
    <definedName name="OSRRefT22_3x_0" localSheetId="66">'321'!$T$40</definedName>
    <definedName name="OSRRefT22_3x_0" localSheetId="67">'322'!$T$31</definedName>
    <definedName name="OSRRefT22_3x_0" localSheetId="68">'325'!$T$39</definedName>
    <definedName name="OSRRefT22_3x_0" localSheetId="58">'326'!$T$66</definedName>
    <definedName name="OSRRefT22_3x_0" localSheetId="51">'330'!$T$57</definedName>
    <definedName name="OSRRefT22_3x_0" localSheetId="56">'331'!$T$103</definedName>
    <definedName name="OSRRefT22_3x_0" localSheetId="59">'332'!$T$49</definedName>
    <definedName name="OSRRefT22_3x_0" localSheetId="73">'405'!$T$40</definedName>
    <definedName name="OSRRefT22_3x_0" localSheetId="74">'406'!$T$26</definedName>
    <definedName name="OSRRefT22_3x_0" localSheetId="75">'411'!$T$37:$T$38</definedName>
    <definedName name="OSRRefT22_3x_0" localSheetId="76">'412'!$T$27</definedName>
    <definedName name="OSRRefT22_3x_0" localSheetId="77">'413'!$T$30</definedName>
    <definedName name="OSRRefT22_3x_0" localSheetId="78">'414'!$T$27</definedName>
    <definedName name="OSRRefT22_3x_0" localSheetId="79">'415'!$T$40</definedName>
    <definedName name="OSRRefT22_3x_0" localSheetId="80">'418'!$T$37</definedName>
    <definedName name="OSRRefT22_3x_0" localSheetId="82">'423'!$T$27</definedName>
    <definedName name="OSRRefT22_3x_0" localSheetId="83">'424'!$T$26</definedName>
    <definedName name="OSRRefT22_3x_0" localSheetId="84">'425'!$T$32</definedName>
    <definedName name="OSRRefT22_3x_0" localSheetId="87">'430'!$T$33</definedName>
    <definedName name="OSRRefT22_3x_0" localSheetId="88">'433'!$T$43</definedName>
    <definedName name="OSRRefT22_3x_0" localSheetId="90">'444'!$T$43</definedName>
    <definedName name="OSRRefT22_3x_0" localSheetId="91">'450'!$T$43</definedName>
    <definedName name="OSRRefT22_3x_0" localSheetId="72">'491'!$T$44</definedName>
    <definedName name="OSRRefT22_3x_0" localSheetId="86">'492'!$T$44</definedName>
    <definedName name="OSRRefT22_3x_0" localSheetId="93">'501'!$T$40</definedName>
    <definedName name="OSRRefT22_3x_0" localSheetId="39">'Div 2'!$T$40</definedName>
    <definedName name="OSRRefT22_3x_0" localSheetId="47">'Div 3'!$T$150</definedName>
    <definedName name="OSRRefT22_3x_0" localSheetId="70">'Div 4'!$T$47</definedName>
    <definedName name="OSRRefT22_3x_0" localSheetId="92">'Div 5'!$T$40</definedName>
    <definedName name="OSRRefT22_3x_0" localSheetId="61">'Div 6'!$T$71</definedName>
    <definedName name="OSRRefT22_3x_0" localSheetId="2">Summary!$T$176</definedName>
    <definedName name="OSRRefT22_4x_0" localSheetId="41">'201'!$T$37</definedName>
    <definedName name="OSRRefT22_4x_0" localSheetId="42">'202'!$T$37:$T$38</definedName>
    <definedName name="OSRRefT22_4x_0" localSheetId="43">'203'!$T$40</definedName>
    <definedName name="OSRRefT22_4x_0" localSheetId="44">'204'!$T$38</definedName>
    <definedName name="OSRRefT22_4x_0" localSheetId="45">'205'!$T$35:$T$36</definedName>
    <definedName name="OSRRefT22_4x_0" localSheetId="46">'206'!$T$36</definedName>
    <definedName name="OSRRefT22_4x_0" localSheetId="48">'300'!$T$147</definedName>
    <definedName name="OSRRefT22_4x_0" localSheetId="49">'300 &amp; 317'!$T$169</definedName>
    <definedName name="OSRRefT22_4x_0" localSheetId="50">'301'!$T$44</definedName>
    <definedName name="OSRRefT22_4x_0" localSheetId="52">'307'!$T$55:$T$56</definedName>
    <definedName name="OSRRefT22_4x_0" localSheetId="53">'308'!$T$83</definedName>
    <definedName name="OSRRefT22_4x_0" localSheetId="64">'309'!$T$30</definedName>
    <definedName name="OSRRefT22_4x_0" localSheetId="63">'310'!$T$49</definedName>
    <definedName name="OSRRefT22_4x_0" localSheetId="71">'310 &amp; 491'!$T$54</definedName>
    <definedName name="OSRRefT22_4x_0" localSheetId="54">'311'!$T$83</definedName>
    <definedName name="OSRRefT22_4x_0" localSheetId="65">'313'!$T$40</definedName>
    <definedName name="OSRRefT22_4x_0" localSheetId="57">'315'!$T$106</definedName>
    <definedName name="OSRRefT22_4x_0" localSheetId="60">'316'!$T$49</definedName>
    <definedName name="OSRRefT22_4x_0" localSheetId="62">'317'!$T$73</definedName>
    <definedName name="OSRRefT22_4x_0" localSheetId="66">'321'!$T$42</definedName>
    <definedName name="OSRRefT22_4x_0" localSheetId="67">'322'!$T$33:$T$34</definedName>
    <definedName name="OSRRefT22_4x_0" localSheetId="68">'325'!$T$41</definedName>
    <definedName name="OSRRefT22_4x_0" localSheetId="58">'326'!$T$68</definedName>
    <definedName name="OSRRefT22_4x_0" localSheetId="51">'330'!$T$59:$T$60</definedName>
    <definedName name="OSRRefT22_4x_0" localSheetId="56">'331'!$T$105</definedName>
    <definedName name="OSRRefT22_4x_0" localSheetId="59">'332'!$T$51</definedName>
    <definedName name="OSRRefT22_4x_0" localSheetId="73">'405'!$T$42</definedName>
    <definedName name="OSRRefT22_4x_0" localSheetId="74">'406'!$T$28</definedName>
    <definedName name="OSRRefT22_4x_0" localSheetId="75">'411'!$T$40</definedName>
    <definedName name="OSRRefT22_4x_0" localSheetId="76">'412'!$T$29</definedName>
    <definedName name="OSRRefT22_4x_0" localSheetId="77">'413'!$T$32</definedName>
    <definedName name="OSRRefT22_4x_0" localSheetId="78">'414'!$T$29:$T$30</definedName>
    <definedName name="OSRRefT22_4x_0" localSheetId="79">'415'!$T$42</definedName>
    <definedName name="OSRRefT22_4x_0" localSheetId="80">'418'!$T$39:$T$40</definedName>
    <definedName name="OSRRefT22_4x_0" localSheetId="84">'425'!$T$34</definedName>
    <definedName name="OSRRefT22_4x_0" localSheetId="87">'430'!$T$35</definedName>
    <definedName name="OSRRefT22_4x_0" localSheetId="88">'433'!$T$45</definedName>
    <definedName name="OSRRefT22_4x_0" localSheetId="90">'444'!$T$45</definedName>
    <definedName name="OSRRefT22_4x_0" localSheetId="91">'450'!$T$45</definedName>
    <definedName name="OSRRefT22_4x_0" localSheetId="72">'491'!$T$46</definedName>
    <definedName name="OSRRefT22_4x_0" localSheetId="86">'492'!$T$46</definedName>
    <definedName name="OSRRefT22_4x_0" localSheetId="93">'501'!$T$42:$T$43</definedName>
    <definedName name="OSRRefT22_4x_0" localSheetId="39">'Div 2'!$T$42</definedName>
    <definedName name="OSRRefT22_4x_0" localSheetId="47">'Div 3'!$T$152</definedName>
    <definedName name="OSRRefT22_4x_0" localSheetId="70">'Div 4'!$T$49</definedName>
    <definedName name="OSRRefT22_4x_0" localSheetId="92">'Div 5'!$T$42:$T$43</definedName>
    <definedName name="OSRRefT22_4x_0" localSheetId="61">'Div 6'!$T$73</definedName>
    <definedName name="OSRRefT22_4x_0" localSheetId="2">Summary!$T$178</definedName>
    <definedName name="OSRRefT22_5x_0" localSheetId="41">'201'!$T$39</definedName>
    <definedName name="OSRRefT22_5x_0" localSheetId="42">'202'!$T$40</definedName>
    <definedName name="OSRRefT22_5x_0" localSheetId="43">'203'!$T$42</definedName>
    <definedName name="OSRRefT22_5x_0" localSheetId="44">'204'!$T$40:$T$43</definedName>
    <definedName name="OSRRefT22_5x_0" localSheetId="45">'205'!$T$38:$T$40</definedName>
    <definedName name="OSRRefT22_5x_0" localSheetId="46">'206'!$T$38</definedName>
    <definedName name="OSRRefT22_5x_0" localSheetId="48">'300'!$T$149:$T$150</definedName>
    <definedName name="OSRRefT22_5x_0" localSheetId="49">'300 &amp; 317'!$T$171:$T$172</definedName>
    <definedName name="OSRRefT22_5x_0" localSheetId="50">'301'!$T$46:$T$47</definedName>
    <definedName name="OSRRefT22_5x_0" localSheetId="52">'307'!$T$58</definedName>
    <definedName name="OSRRefT22_5x_0" localSheetId="53">'308'!$T$85</definedName>
    <definedName name="OSRRefT22_5x_0" localSheetId="63">'310'!$T$51:$T$52</definedName>
    <definedName name="OSRRefT22_5x_0" localSheetId="71">'310 &amp; 491'!$T$56:$T$57</definedName>
    <definedName name="OSRRefT22_5x_0" localSheetId="54">'311'!$T$85</definedName>
    <definedName name="OSRRefT22_5x_0" localSheetId="65">'313'!$T$42</definedName>
    <definedName name="OSRRefT22_5x_0" localSheetId="57">'315'!$T$108:$T$109</definedName>
    <definedName name="OSRRefT22_5x_0" localSheetId="60">'316'!$T$51</definedName>
    <definedName name="OSRRefT22_5x_0" localSheetId="62">'317'!$T$75:$T$76</definedName>
    <definedName name="OSRRefT22_5x_0" localSheetId="66">'321'!$T$44</definedName>
    <definedName name="OSRRefT22_5x_0" localSheetId="67">'322'!$T$36</definedName>
    <definedName name="OSRRefT22_5x_0" localSheetId="68">'325'!$T$43:$T$44</definedName>
    <definedName name="OSRRefT22_5x_0" localSheetId="58">'326'!$T$70</definedName>
    <definedName name="OSRRefT22_5x_0" localSheetId="51">'330'!$T$62:$T$63</definedName>
    <definedName name="OSRRefT22_5x_0" localSheetId="56">'331'!$T$107:$T$108</definedName>
    <definedName name="OSRRefT22_5x_0" localSheetId="59">'332'!$T$53</definedName>
    <definedName name="OSRRefT22_5x_0" localSheetId="73">'405'!$T$44:$T$45</definedName>
    <definedName name="OSRRefT22_5x_0" localSheetId="75">'411'!$T$42</definedName>
    <definedName name="OSRRefT22_5x_0" localSheetId="77">'413'!$T$34</definedName>
    <definedName name="OSRRefT22_5x_0" localSheetId="79">'415'!$T$44:$T$45</definedName>
    <definedName name="OSRRefT22_5x_0" localSheetId="80">'418'!$T$42</definedName>
    <definedName name="OSRRefT22_5x_0" localSheetId="84">'425'!$T$36:$T$37</definedName>
    <definedName name="OSRRefT22_5x_0" localSheetId="87">'430'!$T$37:$T$38</definedName>
    <definedName name="OSRRefT22_5x_0" localSheetId="88">'433'!$T$47</definedName>
    <definedName name="OSRRefT22_5x_0" localSheetId="90">'444'!$T$47</definedName>
    <definedName name="OSRRefT22_5x_0" localSheetId="91">'450'!$T$47</definedName>
    <definedName name="OSRRefT22_5x_0" localSheetId="72">'491'!$T$48:$T$49</definedName>
    <definedName name="OSRRefT22_5x_0" localSheetId="86">'492'!$T$48</definedName>
    <definedName name="OSRRefT22_5x_0" localSheetId="93">'501'!$T$45</definedName>
    <definedName name="OSRRefT22_5x_0" localSheetId="39">'Div 2'!$T$44</definedName>
    <definedName name="OSRRefT22_5x_0" localSheetId="47">'Div 3'!$T$154:$T$155</definedName>
    <definedName name="OSRRefT22_5x_0" localSheetId="70">'Div 4'!$T$51:$T$52</definedName>
    <definedName name="OSRRefT22_5x_0" localSheetId="92">'Div 5'!$T$45</definedName>
    <definedName name="OSRRefT22_5x_0" localSheetId="61">'Div 6'!$T$75:$T$76</definedName>
    <definedName name="OSRRefT22_5x_0" localSheetId="2">Summary!$T$180:$T$181</definedName>
    <definedName name="OSRRefT22_6x_0" localSheetId="41">'201'!$T$41</definedName>
    <definedName name="OSRRefT22_6x_0" localSheetId="42">'202'!$T$42:$T$44</definedName>
    <definedName name="OSRRefT22_6x_0" localSheetId="43">'203'!$T$44</definedName>
    <definedName name="OSRRefT22_6x_0" localSheetId="44">'204'!$T$45</definedName>
    <definedName name="OSRRefT22_6x_0" localSheetId="45">'205'!$T$42</definedName>
    <definedName name="OSRRefT22_6x_0" localSheetId="46">'206'!$T$40</definedName>
    <definedName name="OSRRefT22_6x_0" localSheetId="48">'300'!$T$152:$T$153</definedName>
    <definedName name="OSRRefT22_6x_0" localSheetId="49">'300 &amp; 317'!$T$174:$T$175</definedName>
    <definedName name="OSRRefT22_6x_0" localSheetId="50">'301'!$T$49:$T$50</definedName>
    <definedName name="OSRRefT22_6x_0" localSheetId="52">'307'!$T$60</definedName>
    <definedName name="OSRRefT22_6x_0" localSheetId="53">'308'!$T$87</definedName>
    <definedName name="OSRRefT22_6x_0" localSheetId="63">'310'!$T$54</definedName>
    <definedName name="OSRRefT22_6x_0" localSheetId="71">'310 &amp; 491'!$T$59</definedName>
    <definedName name="OSRRefT22_6x_0" localSheetId="54">'311'!$T$87</definedName>
    <definedName name="OSRRefT22_6x_0" localSheetId="65">'313'!$T$44</definedName>
    <definedName name="OSRRefT22_6x_0" localSheetId="57">'315'!$T$111:$T$112</definedName>
    <definedName name="OSRRefT22_6x_0" localSheetId="60">'316'!$T$53:$T$54</definedName>
    <definedName name="OSRRefT22_6x_0" localSheetId="62">'317'!$T$78</definedName>
    <definedName name="OSRRefT22_6x_0" localSheetId="66">'321'!$T$46:$T$47</definedName>
    <definedName name="OSRRefT22_6x_0" localSheetId="67">'322'!$T$38</definedName>
    <definedName name="OSRRefT22_6x_0" localSheetId="68">'325'!$T$46</definedName>
    <definedName name="OSRRefT22_6x_0" localSheetId="58">'326'!$T$72</definedName>
    <definedName name="OSRRefT22_6x_0" localSheetId="51">'330'!$T$65</definedName>
    <definedName name="OSRRefT22_6x_0" localSheetId="56">'331'!$T$110</definedName>
    <definedName name="OSRRefT22_6x_0" localSheetId="59">'332'!$T$55:$T$56</definedName>
    <definedName name="OSRRefT22_6x_0" localSheetId="73">'405'!$T$47</definedName>
    <definedName name="OSRRefT22_6x_0" localSheetId="75">'411'!$T$44</definedName>
    <definedName name="OSRRefT22_6x_0" localSheetId="79">'415'!$T$47</definedName>
    <definedName name="OSRRefT22_6x_0" localSheetId="80">'418'!$T$44</definedName>
    <definedName name="OSRRefT22_6x_0" localSheetId="84">'425'!$T$39</definedName>
    <definedName name="OSRRefT22_6x_0" localSheetId="87">'430'!$T$40</definedName>
    <definedName name="OSRRefT22_6x_0" localSheetId="88">'433'!$T$49</definedName>
    <definedName name="OSRRefT22_6x_0" localSheetId="90">'444'!$T$49</definedName>
    <definedName name="OSRRefT22_6x_0" localSheetId="91">'450'!$T$49</definedName>
    <definedName name="OSRRefT22_6x_0" localSheetId="72">'491'!$T$51</definedName>
    <definedName name="OSRRefT22_6x_0" localSheetId="86">'492'!$T$50</definedName>
    <definedName name="OSRRefT22_6x_0" localSheetId="93">'501'!$T$47</definedName>
    <definedName name="OSRRefT22_6x_0" localSheetId="39">'Div 2'!$T$46</definedName>
    <definedName name="OSRRefT22_6x_0" localSheetId="47">'Div 3'!$T$157:$T$158</definedName>
    <definedName name="OSRRefT22_6x_0" localSheetId="70">'Div 4'!$T$54</definedName>
    <definedName name="OSRRefT22_6x_0" localSheetId="92">'Div 5'!$T$47</definedName>
    <definedName name="OSRRefT22_6x_0" localSheetId="61">'Div 6'!$T$78</definedName>
    <definedName name="OSRRefT22_6x_0" localSheetId="2">Summary!$T$183:$T$184</definedName>
    <definedName name="OSRRefT22_7x_0" localSheetId="41">'201'!$T$43</definedName>
    <definedName name="OSRRefT22_7x_0" localSheetId="42">'202'!$T$46</definedName>
    <definedName name="OSRRefT22_7x_0" localSheetId="43">'203'!$T$46:$T$47</definedName>
    <definedName name="OSRRefT22_7x_0" localSheetId="44">'204'!$T$47:$T$48</definedName>
    <definedName name="OSRRefT22_7x_0" localSheetId="48">'300'!$T$155</definedName>
    <definedName name="OSRRefT22_7x_0" localSheetId="49">'300 &amp; 317'!$T$177</definedName>
    <definedName name="OSRRefT22_7x_0" localSheetId="50">'301'!$T$52</definedName>
    <definedName name="OSRRefT22_7x_0" localSheetId="52">'307'!$T$62</definedName>
    <definedName name="OSRRefT22_7x_0" localSheetId="53">'308'!$T$89</definedName>
    <definedName name="OSRRefT22_7x_0" localSheetId="63">'310'!$T$56</definedName>
    <definedName name="OSRRefT22_7x_0" localSheetId="71">'310 &amp; 491'!$T$61</definedName>
    <definedName name="OSRRefT22_7x_0" localSheetId="54">'311'!$T$89</definedName>
    <definedName name="OSRRefT22_7x_0" localSheetId="57">'315'!$T$114</definedName>
    <definedName name="OSRRefT22_7x_0" localSheetId="60">'316'!$T$56</definedName>
    <definedName name="OSRRefT22_7x_0" localSheetId="62">'317'!$T$80</definedName>
    <definedName name="OSRRefT22_7x_0" localSheetId="66">'321'!$T$49</definedName>
    <definedName name="OSRRefT22_7x_0" localSheetId="67">'322'!$T$40</definedName>
    <definedName name="OSRRefT22_7x_0" localSheetId="68">'325'!$T$48</definedName>
    <definedName name="OSRRefT22_7x_0" localSheetId="58">'326'!$T$74</definedName>
    <definedName name="OSRRefT22_7x_0" localSheetId="51">'330'!$T$67</definedName>
    <definedName name="OSRRefT22_7x_0" localSheetId="56">'331'!$T$112:$T$113</definedName>
    <definedName name="OSRRefT22_7x_0" localSheetId="59">'332'!$T$58</definedName>
    <definedName name="OSRRefT22_7x_0" localSheetId="73">'405'!$T$49</definedName>
    <definedName name="OSRRefT22_7x_0" localSheetId="75">'411'!$T$46</definedName>
    <definedName name="OSRRefT22_7x_0" localSheetId="79">'415'!$T$49</definedName>
    <definedName name="OSRRefT22_7x_0" localSheetId="80">'418'!$T$46</definedName>
    <definedName name="OSRRefT22_7x_0" localSheetId="84">'425'!$T$41</definedName>
    <definedName name="OSRRefT22_7x_0" localSheetId="87">'430'!$T$42</definedName>
    <definedName name="OSRRefT22_7x_0" localSheetId="88">'433'!$T$51</definedName>
    <definedName name="OSRRefT22_7x_0" localSheetId="90">'444'!$T$51</definedName>
    <definedName name="OSRRefT22_7x_0" localSheetId="91">'450'!$T$51</definedName>
    <definedName name="OSRRefT22_7x_0" localSheetId="72">'491'!$T$53</definedName>
    <definedName name="OSRRefT22_7x_0" localSheetId="86">'492'!$T$52</definedName>
    <definedName name="OSRRefT22_7x_0" localSheetId="93">'501'!$T$49:$T$50</definedName>
    <definedName name="OSRRefT22_7x_0" localSheetId="39">'Div 2'!$T$48</definedName>
    <definedName name="OSRRefT22_7x_0" localSheetId="47">'Div 3'!$T$160</definedName>
    <definedName name="OSRRefT22_7x_0" localSheetId="70">'Div 4'!$T$56</definedName>
    <definedName name="OSRRefT22_7x_0" localSheetId="92">'Div 5'!$T$49:$T$50</definedName>
    <definedName name="OSRRefT22_7x_0" localSheetId="61">'Div 6'!$T$80</definedName>
    <definedName name="OSRRefT22_7x_0" localSheetId="2">Summary!$T$186</definedName>
    <definedName name="OSRRefT22_8x_0" localSheetId="41">'201'!$T$45:$T$47</definedName>
    <definedName name="OSRRefT22_8x_0" localSheetId="42">'202'!$T$48:$T$49</definedName>
    <definedName name="OSRRefT22_8x_0" localSheetId="43">'203'!$T$49:$T$50</definedName>
    <definedName name="OSRRefT22_8x_0" localSheetId="48">'300'!$T$157</definedName>
    <definedName name="OSRRefT22_8x_0" localSheetId="49">'300 &amp; 317'!$T$179</definedName>
    <definedName name="OSRRefT22_8x_0" localSheetId="50">'301'!$T$54</definedName>
    <definedName name="OSRRefT22_8x_0" localSheetId="52">'307'!$T$64:$T$65</definedName>
    <definedName name="OSRRefT22_8x_0" localSheetId="53">'308'!$T$91</definedName>
    <definedName name="OSRRefT22_8x_0" localSheetId="63">'310'!$T$58</definedName>
    <definedName name="OSRRefT22_8x_0" localSheetId="71">'310 &amp; 491'!$T$63:$T$64</definedName>
    <definedName name="OSRRefT22_8x_0" localSheetId="54">'311'!$T$91</definedName>
    <definedName name="OSRRefT22_8x_0" localSheetId="57">'315'!$T$116:$T$117</definedName>
    <definedName name="OSRRefT22_8x_0" localSheetId="60">'316'!$T$58:$T$60</definedName>
    <definedName name="OSRRefT22_8x_0" localSheetId="62">'317'!$T$82:$T$84</definedName>
    <definedName name="OSRRefT22_8x_0" localSheetId="66">'321'!$T$51:$T$52</definedName>
    <definedName name="OSRRefT22_8x_0" localSheetId="68">'325'!$T$50</definedName>
    <definedName name="OSRRefT22_8x_0" localSheetId="58">'326'!$T$76</definedName>
    <definedName name="OSRRefT22_8x_0" localSheetId="51">'330'!$T$69:$T$70</definedName>
    <definedName name="OSRRefT22_8x_0" localSheetId="56">'331'!$T$115</definedName>
    <definedName name="OSRRefT22_8x_0" localSheetId="59">'332'!$T$60:$T$62</definedName>
    <definedName name="OSRRefT22_8x_0" localSheetId="73">'405'!$T$51</definedName>
    <definedName name="OSRRefT22_8x_0" localSheetId="75">'411'!$T$48</definedName>
    <definedName name="OSRRefT22_8x_0" localSheetId="79">'415'!$T$51</definedName>
    <definedName name="OSRRefT22_8x_0" localSheetId="80">'418'!$T$48:$T$49</definedName>
    <definedName name="OSRRefT22_8x_0" localSheetId="84">'425'!$T$43</definedName>
    <definedName name="OSRRefT22_8x_0" localSheetId="88">'433'!$T$53</definedName>
    <definedName name="OSRRefT22_8x_0" localSheetId="90">'444'!$T$53</definedName>
    <definedName name="OSRRefT22_8x_0" localSheetId="91">'450'!$T$53</definedName>
    <definedName name="OSRRefT22_8x_0" localSheetId="72">'491'!$T$55</definedName>
    <definedName name="OSRRefT22_8x_0" localSheetId="86">'492'!$T$54</definedName>
    <definedName name="OSRRefT22_8x_0" localSheetId="93">'501'!$T$52:$T$53</definedName>
    <definedName name="OSRRefT22_8x_0" localSheetId="39">'Div 2'!$T$50</definedName>
    <definedName name="OSRRefT22_8x_0" localSheetId="47">'Div 3'!$T$162</definedName>
    <definedName name="OSRRefT22_8x_0" localSheetId="70">'Div 4'!$T$58</definedName>
    <definedName name="OSRRefT22_8x_0" localSheetId="92">'Div 5'!$T$52:$T$53</definedName>
    <definedName name="OSRRefT22_8x_0" localSheetId="61">'Div 6'!$T$82:$T$84</definedName>
    <definedName name="OSRRefT22_8x_0" localSheetId="2">Summary!$T$188</definedName>
    <definedName name="OSRRefT22_9x_0" localSheetId="41">'201'!$T$49:$T$50</definedName>
    <definedName name="OSRRefT22_9x_0" localSheetId="42">'202'!$T$51</definedName>
    <definedName name="OSRRefT22_9x_0" localSheetId="43">'203'!$T$52</definedName>
    <definedName name="OSRRefT22_9x_0" localSheetId="48">'300'!$T$159</definedName>
    <definedName name="OSRRefT22_9x_0" localSheetId="49">'300 &amp; 317'!$T$181</definedName>
    <definedName name="OSRRefT22_9x_0" localSheetId="50">'301'!$T$56</definedName>
    <definedName name="OSRRefT22_9x_0" localSheetId="52">'307'!$T$67:$T$68</definedName>
    <definedName name="OSRRefT22_9x_0" localSheetId="53">'308'!$T$93:$T$95</definedName>
    <definedName name="OSRRefT22_9x_0" localSheetId="63">'310'!$T$60</definedName>
    <definedName name="OSRRefT22_9x_0" localSheetId="71">'310 &amp; 491'!$T$66</definedName>
    <definedName name="OSRRefT22_9x_0" localSheetId="54">'311'!$T$93:$T$95</definedName>
    <definedName name="OSRRefT22_9x_0" localSheetId="57">'315'!$T$119:$T$120</definedName>
    <definedName name="OSRRefT22_9x_0" localSheetId="60">'316'!$T$62</definedName>
    <definedName name="OSRRefT22_9x_0" localSheetId="62">'317'!$T$86</definedName>
    <definedName name="OSRRefT22_9x_0" localSheetId="66">'321'!$T$54:$T$58</definedName>
    <definedName name="OSRRefT22_9x_0" localSheetId="68">'325'!$T$52:$T$53</definedName>
    <definedName name="OSRRefT22_9x_0" localSheetId="58">'326'!$T$78</definedName>
    <definedName name="OSRRefT22_9x_0" localSheetId="51">'330'!$T$72:$T$73</definedName>
    <definedName name="OSRRefT22_9x_0" localSheetId="56">'331'!$T$117</definedName>
    <definedName name="OSRRefT22_9x_0" localSheetId="59">'332'!$T$64</definedName>
    <definedName name="OSRRefT22_9x_0" localSheetId="73">'405'!$T$53</definedName>
    <definedName name="OSRRefT22_9x_0" localSheetId="75">'411'!$T$50:$T$52</definedName>
    <definedName name="OSRRefT22_9x_0" localSheetId="79">'415'!$T$53</definedName>
    <definedName name="OSRRefT22_9x_0" localSheetId="80">'418'!$T$51</definedName>
    <definedName name="OSRRefT22_9x_0" localSheetId="88">'433'!$T$55</definedName>
    <definedName name="OSRRefT22_9x_0" localSheetId="90">'444'!$T$55</definedName>
    <definedName name="OSRRefT22_9x_0" localSheetId="91">'450'!$T$55</definedName>
    <definedName name="OSRRefT22_9x_0" localSheetId="72">'491'!$T$57</definedName>
    <definedName name="OSRRefT22_9x_0" localSheetId="86">'492'!$T$56</definedName>
    <definedName name="OSRRefT22_9x_0" localSheetId="93">'501'!$T$55</definedName>
    <definedName name="OSRRefT22_9x_0" localSheetId="39">'Div 2'!$T$52:$T$53</definedName>
    <definedName name="OSRRefT22_9x_0" localSheetId="47">'Div 3'!$T$164</definedName>
    <definedName name="OSRRefT22_9x_0" localSheetId="70">'Div 4'!$T$60</definedName>
    <definedName name="OSRRefT22_9x_0" localSheetId="92">'Div 5'!$T$55</definedName>
    <definedName name="OSRRefT22_9x_0" localSheetId="61">'Div 6'!$T$86</definedName>
    <definedName name="OSRRefT22_9x_0" localSheetId="2">Summary!$T$190</definedName>
    <definedName name="OSRRefT22x_0" localSheetId="40">'200'!$T$20,'200'!$T$22,'200'!$T$24,'200'!$T$26</definedName>
    <definedName name="OSRRefT22x_0" localSheetId="41">'201'!$T$20:$T$27,'201'!$T$29:$T$31,'201'!$T$33,'201'!$T$35,'201'!$T$37,'201'!$T$39,'201'!$T$41,'201'!$T$43,'201'!$T$45:$T$47,'201'!$T$49:$T$50,'201'!$T$52,'201'!$T$54:$T$55,'201'!$T$57,'201'!$T$59</definedName>
    <definedName name="OSRRefT22x_0" localSheetId="42">'202'!$T$20:$T$27,'202'!$T$29:$T$31,'202'!$T$33,'202'!$T$35,'202'!$T$37:$T$38,'202'!$T$40,'202'!$T$42:$T$44,'202'!$T$46,'202'!$T$48:$T$49,'202'!$T$51,'202'!$T$53,'202'!$T$55</definedName>
    <definedName name="OSRRefT22x_0" localSheetId="43">'203'!$T$20:$T$28,'203'!$T$30:$T$34,'203'!$T$36,'203'!$T$38,'203'!$T$40,'203'!$T$42,'203'!$T$44,'203'!$T$46:$T$47,'203'!$T$49:$T$50,'203'!$T$52,'203'!$T$54:$T$57,'203'!$T$59,'203'!$T$61,'203'!$T$63</definedName>
    <definedName name="OSRRefT22x_0" localSheetId="44">'204'!$T$20:$T$28,'204'!$T$30:$T$32,'204'!$T$34,'204'!$T$36,'204'!$T$38,'204'!$T$40:$T$43,'204'!$T$45,'204'!$T$47:$T$48</definedName>
    <definedName name="OSRRefT22x_0" localSheetId="45">'205'!$T$20:$T$27,'205'!$T$29,'205'!$T$31,'205'!$T$33,'205'!$T$35:$T$36,'205'!$T$38:$T$40,'205'!$T$42</definedName>
    <definedName name="OSRRefT22x_0" localSheetId="46">'206'!$T$20:$T$26,'206'!$T$28:$T$30,'206'!$T$32,'206'!$T$34,'206'!$T$36,'206'!$T$38,'206'!$T$40</definedName>
    <definedName name="OSRRefT22x_0" localSheetId="48">'300'!$T$124:$T$133,'300'!$T$135:$T$141,'300'!$T$143,'300'!$T$145,'300'!$T$147,'300'!$T$149:$T$150,'300'!$T$152:$T$153,'300'!$T$155,'300'!$T$157,'300'!$T$159,'300'!$T$161:$T$162,'300'!$T$164,'300'!$T$166,'300'!$T$168:$T$169,'300'!$T$171,'300'!$T$173,'300'!$T$175:$T$178,'300'!$T$180:$T$182,'300'!$T$184:$T$187,'300'!$T$189:$T$190,'300'!$T$192:$T$198,'300'!$T$200:$T$201,'300'!$T$203,'300'!$T$205:$T$207,'300'!$T$209</definedName>
    <definedName name="OSRRefT22x_0" localSheetId="49">'300 &amp; 317'!$T$146:$T$155,'300 &amp; 317'!$T$157:$T$163,'300 &amp; 317'!$T$165,'300 &amp; 317'!$T$167,'300 &amp; 317'!$T$169,'300 &amp; 317'!$T$171:$T$172,'300 &amp; 317'!$T$174:$T$175,'300 &amp; 317'!$T$177,'300 &amp; 317'!$T$179,'300 &amp; 317'!$T$181,'300 &amp; 317'!$T$183:$T$184,'300 &amp; 317'!$T$186,'300 &amp; 317'!$T$188,'300 &amp; 317'!$T$190:$T$191,'300 &amp; 317'!$T$193,'300 &amp; 317'!$T$195,'300 &amp; 317'!$T$197:$T$200,'300 &amp; 317'!$T$202:$T$204,'300 &amp; 317'!$T$206:$T$209,'300 &amp; 317'!$T$211:$T$212,'300 &amp; 317'!$T$214:$T$220,'300 &amp; 317'!$T$222:$T$223,'300 &amp; 317'!$T$225,'300 &amp; 317'!$T$227:$T$229,'300 &amp; 317'!$T$231</definedName>
    <definedName name="OSRRefT22x_0" localSheetId="50">'301'!$T$21:$T$30,'301'!$T$32:$T$38,'301'!$T$40,'301'!$T$42,'301'!$T$44,'301'!$T$46:$T$47,'301'!$T$49:$T$50,'301'!$T$52,'301'!$T$54,'301'!$T$56,'301'!$T$58,'301'!$T$60,'301'!$T$62,'301'!$T$64,'301'!$T$66,'301'!$T$68:$T$71,'301'!$T$73:$T$75,'301'!$T$77,'301'!$T$79:$T$84,'301'!$T$86,'301'!$T$88,'301'!$T$90:$T$91,'301'!$T$93</definedName>
    <definedName name="OSRRefT22x_0" localSheetId="52">'307'!$T$43:$T$45,'307'!$T$47:$T$49,'307'!$T$51,'307'!$T$53,'307'!$T$55:$T$56,'307'!$T$58,'307'!$T$60,'307'!$T$62,'307'!$T$64:$T$65,'307'!$T$67:$T$68,'307'!$T$70:$T$73,'307'!$T$75,'307'!$T$77</definedName>
    <definedName name="OSRRefT22x_0" localSheetId="53">'308'!$T$61:$T$69,'308'!$T$71:$T$77,'308'!$T$79,'308'!$T$81,'308'!$T$83,'308'!$T$85,'308'!$T$87,'308'!$T$89,'308'!$T$91,'308'!$T$93:$T$95,'308'!$T$97,'308'!$T$99:$T$100,'308'!$T$102:$T$103,'308'!$T$105</definedName>
    <definedName name="OSRRefT22x_0" localSheetId="64">'309'!$T$20,'309'!$T$22,'309'!$T$24:$T$25,'309'!$T$27:$T$28,'309'!$T$30</definedName>
    <definedName name="OSRRefT22x_0" localSheetId="63">'310'!$T$31:$T$38,'310'!$T$40:$T$43,'310'!$T$45,'310'!$T$47,'310'!$T$49,'310'!$T$51:$T$52,'310'!$T$54,'310'!$T$56,'310'!$T$58,'310'!$T$60,'310'!$T$62:$T$63,'310'!$T$65,'310'!$T$67:$T$70,'310'!$T$72:$T$76,'310'!$T$78,'310'!$T$80</definedName>
    <definedName name="OSRRefT22x_0" localSheetId="71">'310 &amp; 491'!$T$35:$T$42,'310 &amp; 491'!$T$44:$T$48,'310 &amp; 491'!$T$50,'310 &amp; 491'!$T$52,'310 &amp; 491'!$T$54,'310 &amp; 491'!$T$56:$T$57,'310 &amp; 491'!$T$59,'310 &amp; 491'!$T$61,'310 &amp; 491'!$T$63:$T$64,'310 &amp; 491'!$T$66,'310 &amp; 491'!$T$68,'310 &amp; 491'!$T$70,'310 &amp; 491'!$T$72,'310 &amp; 491'!$T$74:$T$76,'310 &amp; 491'!$T$78,'310 &amp; 491'!$T$80:$T$83,'310 &amp; 491'!$T$85,'310 &amp; 491'!$T$87:$T$95,'310 &amp; 491'!$T$97,'310 &amp; 491'!$T$99,'310 &amp; 491'!$T$101:$T$102,'310 &amp; 491'!$T$104</definedName>
    <definedName name="OSRRefT22x_0" localSheetId="54">'311'!$T$61:$T$69,'311'!$T$71:$T$77,'311'!$T$79,'311'!$T$81,'311'!$T$83,'311'!$T$85,'311'!$T$87,'311'!$T$89,'311'!$T$91,'311'!$T$93:$T$95,'311'!$T$97,'311'!$T$99:$T$100,'311'!$T$102:$T$103,'311'!$T$105</definedName>
    <definedName name="OSRRefT22x_0" localSheetId="65">'313'!$T$25:$T$32,'313'!$T$34,'313'!$T$36,'313'!$T$38,'313'!$T$40,'313'!$T$42,'313'!$T$44</definedName>
    <definedName name="OSRRefT22x_0" localSheetId="57">'315'!$T$86:$T$93,'315'!$T$95:$T$99,'315'!$T$101,'315'!$T$103:$T$104,'315'!$T$106,'315'!$T$108:$T$109,'315'!$T$111:$T$112,'315'!$T$114,'315'!$T$116:$T$117,'315'!$T$119:$T$120,'315'!$T$122:$T$123,'315'!$T$125:$T$127,'315'!$T$129,'315'!$T$131</definedName>
    <definedName name="OSRRefT22x_0" localSheetId="60">'316'!$T$32:$T$39,'316'!$T$41:$T$43,'316'!$T$45,'316'!$T$47,'316'!$T$49,'316'!$T$51,'316'!$T$53:$T$54,'316'!$T$56,'316'!$T$58:$T$60,'316'!$T$62,'316'!$T$64:$T$68,'316'!$T$70,'316'!$T$72</definedName>
    <definedName name="OSRRefT22x_0" localSheetId="62">'317'!$T$53:$T$61,'317'!$T$63:$T$67,'317'!$T$69,'317'!$T$71,'317'!$T$73,'317'!$T$75:$T$76,'317'!$T$78,'317'!$T$80,'317'!$T$82:$T$84,'317'!$T$86,'317'!$T$88</definedName>
    <definedName name="OSRRefT22x_0" localSheetId="66">'321'!$T$24:$T$31,'321'!$T$33:$T$36,'321'!$T$38,'321'!$T$40,'321'!$T$42,'321'!$T$44,'321'!$T$46:$T$47,'321'!$T$49,'321'!$T$51:$T$52,'321'!$T$54:$T$58,'321'!$T$60,'321'!$T$62</definedName>
    <definedName name="OSRRefT22x_0" localSheetId="67">'322'!$T$21:$T$25,'322'!$T$27,'322'!$T$29,'322'!$T$31,'322'!$T$33:$T$34,'322'!$T$36,'322'!$T$38,'322'!$T$40</definedName>
    <definedName name="OSRRefT22x_0" localSheetId="68">'325'!$T$24:$T$31,'325'!$T$33:$T$35,'325'!$T$37,'325'!$T$39,'325'!$T$41,'325'!$T$43:$T$44,'325'!$T$46,'325'!$T$48,'325'!$T$50,'325'!$T$52:$T$53,'325'!$T$55:$T$58,'325'!$T$60:$T$63,'325'!$T$65,'325'!$T$67</definedName>
    <definedName name="OSRRefT22x_0" localSheetId="58">'326'!$T$49:$T$56,'326'!$T$58:$T$62,'326'!$T$64,'326'!$T$66,'326'!$T$68,'326'!$T$70,'326'!$T$72,'326'!$T$74,'326'!$T$76,'326'!$T$78,'326'!$T$80,'326'!$T$82:$T$84,'326'!$T$86:$T$88,'326'!$T$90,'326'!$T$92:$T$95,'326'!$T$97,'326'!$T$99,'326'!$T$101</definedName>
    <definedName name="OSRRefT22x_0" localSheetId="69">'327'!$T$24</definedName>
    <definedName name="OSRRefT22x_0" localSheetId="51">'330'!$T$46:$T$49,'330'!$T$51:$T$53,'330'!$T$55,'330'!$T$57,'330'!$T$59:$T$60,'330'!$T$62:$T$63,'330'!$T$65,'330'!$T$67,'330'!$T$69:$T$70,'330'!$T$72:$T$73,'330'!$T$75:$T$78,'330'!$T$80,'330'!$T$82</definedName>
    <definedName name="OSRRefT22x_0" localSheetId="56">'331'!$T$86:$T$93,'331'!$T$95:$T$99,'331'!$T$101,'331'!$T$103,'331'!$T$105,'331'!$T$107:$T$108,'331'!$T$110,'331'!$T$112:$T$113,'331'!$T$115,'331'!$T$117,'331'!$T$119:$T$120,'331'!$T$122,'331'!$T$124,'331'!$T$126:$T$128,'331'!$T$130:$T$131,'331'!$T$133:$T$135,'331'!$T$137:$T$138,'331'!$T$140:$T$143,'331'!$T$145,'331'!$T$147,'331'!$T$149</definedName>
    <definedName name="OSRRefT22x_0" localSheetId="59">'332'!$T$34:$T$41,'332'!$T$43:$T$45,'332'!$T$47,'332'!$T$49,'332'!$T$51,'332'!$T$53,'332'!$T$55:$T$56,'332'!$T$58,'332'!$T$60:$T$62,'332'!$T$64,'332'!$T$66:$T$70,'332'!$T$72,'332'!$T$74</definedName>
    <definedName name="OSRRefT22x_0" localSheetId="73">'405'!$T$24:$T$31,'405'!$T$33:$T$36,'405'!$T$38,'405'!$T$40,'405'!$T$42,'405'!$T$44:$T$45,'405'!$T$47,'405'!$T$49,'405'!$T$51,'405'!$T$53,'405'!$T$55:$T$56,'405'!$T$58:$T$61,'405'!$T$63,'405'!$T$65:$T$72,'405'!$T$74,'405'!$T$76</definedName>
    <definedName name="OSRRefT22x_0" localSheetId="74">'406'!$T$20,'406'!$T$22,'406'!$T$24,'406'!$T$26,'406'!$T$28</definedName>
    <definedName name="OSRRefT22x_0" localSheetId="75">'411'!$T$20:$T$27,'411'!$T$29:$T$33,'411'!$T$35,'411'!$T$37:$T$38,'411'!$T$40,'411'!$T$42,'411'!$T$44,'411'!$T$46,'411'!$T$48,'411'!$T$50:$T$52,'411'!$T$54:$T$56,'411'!$T$58:$T$59,'411'!$T$61,'411'!$T$63:$T$64,'411'!$T$66</definedName>
    <definedName name="OSRRefT22x_0" localSheetId="76">'412'!$T$20,'412'!$T$22,'412'!$T$24:$T$25,'412'!$T$27,'412'!$T$29</definedName>
    <definedName name="OSRRefT22x_0" localSheetId="77">'413'!$T$20:$T$24,'413'!$T$26,'413'!$T$28,'413'!$T$30,'413'!$T$32,'413'!$T$34</definedName>
    <definedName name="OSRRefT22x_0" localSheetId="78">'414'!$T$21,'414'!$T$23,'414'!$T$25,'414'!$T$27,'414'!$T$29:$T$30</definedName>
    <definedName name="OSRRefT22x_0" localSheetId="79">'415'!$T$24:$T$31,'415'!$T$33:$T$36,'415'!$T$38,'415'!$T$40,'415'!$T$42,'415'!$T$44:$T$45,'415'!$T$47,'415'!$T$49,'415'!$T$51,'415'!$T$53,'415'!$T$55:$T$56,'415'!$T$58:$T$61,'415'!$T$63,'415'!$T$65:$T$70,'415'!$T$72,'415'!$T$74,'415'!$T$76</definedName>
    <definedName name="OSRRefT22x_0" localSheetId="80">'418'!$T$21:$T$28,'418'!$T$30:$T$33,'418'!$T$35,'418'!$T$37,'418'!$T$39:$T$40,'418'!$T$42,'418'!$T$44,'418'!$T$46,'418'!$T$48:$T$49,'418'!$T$51,'418'!$T$53,'418'!$T$55:$T$59,'418'!$T$61</definedName>
    <definedName name="OSRRefT22x_0" localSheetId="81">'420'!$T$21</definedName>
    <definedName name="OSRRefT22x_0" localSheetId="82">'423'!$T$20:$T$21,'423'!$T$23,'423'!$T$25,'423'!$T$27</definedName>
    <definedName name="OSRRefT22x_0" localSheetId="83">'424'!$T$20,'424'!$T$22,'424'!$T$24,'424'!$T$26</definedName>
    <definedName name="OSRRefT22x_0" localSheetId="84">'425'!$T$22:$T$26,'425'!$T$28,'425'!$T$30,'425'!$T$32,'425'!$T$34,'425'!$T$36:$T$37,'425'!$T$39,'425'!$T$41,'425'!$T$43</definedName>
    <definedName name="OSRRefT22x_0" localSheetId="87">'430'!$T$20:$T$27,'430'!$T$29,'430'!$T$31,'430'!$T$33,'430'!$T$35,'430'!$T$37:$T$38,'430'!$T$40,'430'!$T$42</definedName>
    <definedName name="OSRRefT22x_0" localSheetId="88">'433'!$T$25:$T$33,'433'!$T$35:$T$39,'433'!$T$41,'433'!$T$43,'433'!$T$45,'433'!$T$47,'433'!$T$49,'433'!$T$51,'433'!$T$53,'433'!$T$55,'433'!$T$57,'433'!$T$59:$T$60,'433'!$T$62:$T$64,'433'!$T$66:$T$73,'433'!$T$75</definedName>
    <definedName name="OSRRefT22x_0" localSheetId="89">'435'!$T$20</definedName>
    <definedName name="OSRRefT22x_0" localSheetId="90">'444'!$T$25:$T$33,'444'!$T$35:$T$39,'444'!$T$41,'444'!$T$43,'444'!$T$45,'444'!$T$47,'444'!$T$49,'444'!$T$51,'444'!$T$53,'444'!$T$55,'444'!$T$57:$T$58,'444'!$T$60:$T$62,'444'!$T$64,'444'!$T$66:$T$72,'444'!$T$74,'444'!$T$76</definedName>
    <definedName name="OSRRefT22x_0" localSheetId="91">'450'!$T$25:$T$33,'450'!$T$35:$T$39,'450'!$T$41,'450'!$T$43,'450'!$T$45,'450'!$T$47,'450'!$T$49,'450'!$T$51,'450'!$T$53,'450'!$T$55,'450'!$T$57,'450'!$T$59,'450'!$T$61:$T$62,'450'!$T$64:$T$66,'450'!$T$68:$T$73,'450'!$T$75,'450'!$T$77</definedName>
    <definedName name="OSRRefT22x_0" localSheetId="72">'491'!$T$27:$T$34,'491'!$T$36:$T$40,'491'!$T$42,'491'!$T$44,'491'!$T$46,'491'!$T$48:$T$49,'491'!$T$51,'491'!$T$53,'491'!$T$55,'491'!$T$57,'491'!$T$59,'491'!$T$61,'491'!$T$63,'491'!$T$65:$T$67,'491'!$T$69,'491'!$T$71:$T$74,'491'!$T$76,'491'!$T$78:$T$86,'491'!$T$88,'491'!$T$90,'491'!$T$92:$T$93,'491'!$T$95</definedName>
    <definedName name="OSRRefT22x_0" localSheetId="86">'492'!$T$25:$T$33,'492'!$T$35:$T$40,'492'!$T$42,'492'!$T$44,'492'!$T$46,'492'!$T$48,'492'!$T$50,'492'!$T$52,'492'!$T$54,'492'!$T$56,'492'!$T$58,'492'!$T$60,'492'!$T$62:$T$64,'492'!$T$66:$T$68,'492'!$T$70,'492'!$T$72:$T$79,'492'!$T$81,'492'!$T$83,'492'!$T$85:$T$86</definedName>
    <definedName name="OSRRefT22x_0" localSheetId="93">'501'!$T$21:$T$29,'501'!$T$31:$T$36,'501'!$T$38,'501'!$T$40,'501'!$T$42:$T$43,'501'!$T$45,'501'!$T$47,'501'!$T$49:$T$50,'501'!$T$52:$T$53,'501'!$T$55,'501'!$T$57</definedName>
    <definedName name="OSRRefT22x_0" localSheetId="39">'Div 2'!$T$20:$T$29,'Div 2'!$T$31:$T$36,'Div 2'!$T$38,'Div 2'!$T$40,'Div 2'!$T$42,'Div 2'!$T$44,'Div 2'!$T$46,'Div 2'!$T$48,'Div 2'!$T$50,'Div 2'!$T$52:$T$53,'Div 2'!$T$55,'Div 2'!$T$57,'Div 2'!$T$59:$T$61,'Div 2'!$T$63:$T$66,'Div 2'!$T$68,'Div 2'!$T$70,'Div 2'!$T$72:$T$76,'Div 2'!$T$78:$T$79,'Div 2'!$T$81,'Div 2'!$T$83:$T$84</definedName>
    <definedName name="OSRRefT22x_0" localSheetId="47">'Div 3'!$T$129:$T$138,'Div 3'!$T$140:$T$146,'Div 3'!$T$148,'Div 3'!$T$150,'Div 3'!$T$152,'Div 3'!$T$154:$T$155,'Div 3'!$T$157:$T$158,'Div 3'!$T$160,'Div 3'!$T$162,'Div 3'!$T$164,'Div 3'!$T$166:$T$167,'Div 3'!$T$169,'Div 3'!$T$171,'Div 3'!$T$173,'Div 3'!$T$175:$T$176,'Div 3'!$T$178,'Div 3'!$T$180,'Div 3'!$T$182:$T$185,'Div 3'!$T$187:$T$189,'Div 3'!$T$191:$T$195,'Div 3'!$T$197:$T$198,'Div 3'!$T$200:$T$206,'Div 3'!$T$208:$T$209,'Div 3'!$T$211,'Div 3'!$T$213:$T$215,'Div 3'!$T$217</definedName>
    <definedName name="OSRRefT22x_0" localSheetId="70">'Div 4'!$T$28:$T$36,'Div 4'!$T$38:$T$43,'Div 4'!$T$45,'Div 4'!$T$47,'Div 4'!$T$49,'Div 4'!$T$51:$T$52,'Div 4'!$T$54,'Div 4'!$T$56,'Div 4'!$T$58,'Div 4'!$T$60,'Div 4'!$T$62,'Div 4'!$T$64,'Div 4'!$T$66,'Div 4'!$T$68,'Div 4'!$T$70,'Div 4'!$T$72:$T$74,'Div 4'!$T$76,'Div 4'!$T$78:$T$81,'Div 4'!$T$83:$T$84,'Div 4'!$T$86:$T$94,'Div 4'!$T$96,'Div 4'!$T$98,'Div 4'!$T$100:$T$101,'Div 4'!$T$103</definedName>
    <definedName name="OSRRefT22x_0" localSheetId="92">'Div 5'!$T$21:$T$29,'Div 5'!$T$31:$T$36,'Div 5'!$T$38,'Div 5'!$T$40,'Div 5'!$T$42:$T$43,'Div 5'!$T$45,'Div 5'!$T$47,'Div 5'!$T$49:$T$50,'Div 5'!$T$52:$T$53,'Div 5'!$T$55,'Div 5'!$T$57</definedName>
    <definedName name="OSRRefT22x_0" localSheetId="61">'Div 6'!$T$53:$T$61,'Div 6'!$T$63:$T$67,'Div 6'!$T$69,'Div 6'!$T$71,'Div 6'!$T$73,'Div 6'!$T$75:$T$76,'Div 6'!$T$78,'Div 6'!$T$80,'Div 6'!$T$82:$T$84,'Div 6'!$T$86,'Div 6'!$T$88</definedName>
    <definedName name="OSRRefT22x_0" localSheetId="2">Summary!$T$155:$T$164,Summary!$T$166:$T$172,Summary!$T$174,Summary!$T$176,Summary!$T$178,Summary!$T$180:$T$181,Summary!$T$183:$T$184,Summary!$T$186,Summary!$T$188,Summary!$T$190,Summary!$T$192:$T$193,Summary!$T$195,Summary!$T$197,Summary!$T$199,Summary!$T$201:$T$202,Summary!$T$204,Summary!$T$206,Summary!$T$208,Summary!$T$210:$T$213,Summary!$T$215:$T$217,Summary!$T$219:$T$223,Summary!$T$225:$T$226,Summary!$T$228:$T$236,Summary!$T$238:$T$239,Summary!$T$241,Summary!$T$243:$T$245,Summary!$T$247</definedName>
    <definedName name="OSRRefT25x_0" localSheetId="48">'300'!$T$212:$T$215</definedName>
    <definedName name="OSRRefT25x_0" localSheetId="49">'300 &amp; 317'!$T$234:$T$239</definedName>
    <definedName name="OSRRefT25x_0" localSheetId="50">'301'!$T$96</definedName>
    <definedName name="OSRRefT25x_0" localSheetId="53">'308'!$T$108:$T$110</definedName>
    <definedName name="OSRRefT25x_0" localSheetId="71">'310 &amp; 491'!$T$107:$T$109</definedName>
    <definedName name="OSRRefT25x_0" localSheetId="54">'311'!$T$108:$T$110</definedName>
    <definedName name="OSRRefT25x_0" localSheetId="57">'315'!$T$134:$T$135</definedName>
    <definedName name="OSRRefT25x_0" localSheetId="60">'316'!$T$75</definedName>
    <definedName name="OSRRefT25x_0" localSheetId="62">'317'!$T$91:$T$93</definedName>
    <definedName name="OSRRefT25x_0" localSheetId="56">'331'!$T$152:$T$153</definedName>
    <definedName name="OSRRefT25x_0" localSheetId="59">'332'!$T$77:$T$78</definedName>
    <definedName name="OSRRefT25x_0" localSheetId="73">'405'!$T$79</definedName>
    <definedName name="OSRRefT25x_0" localSheetId="75">'411'!$T$69:$T$70</definedName>
    <definedName name="OSRRefT25x_0" localSheetId="79">'415'!$T$79</definedName>
    <definedName name="OSRRefT25x_0" localSheetId="80">'418'!$T$64</definedName>
    <definedName name="OSRRefT25x_0" localSheetId="82">'423'!$T$30</definedName>
    <definedName name="OSRRefT25x_0" localSheetId="85">'455'!$T$21:$T$22</definedName>
    <definedName name="OSRRefT25x_0" localSheetId="72">'491'!$T$98:$T$100</definedName>
    <definedName name="OSRRefT25x_0" localSheetId="93">'501'!$T$60</definedName>
    <definedName name="OSRRefT25x_0" localSheetId="47">'Div 3'!$T$220:$T$223</definedName>
    <definedName name="OSRRefT25x_0" localSheetId="70">'Div 4'!$T$106:$T$108</definedName>
    <definedName name="OSRRefT25x_0" localSheetId="92">'Div 5'!$T$60</definedName>
    <definedName name="OSRRefT25x_0" localSheetId="61">'Div 6'!$T$91:$T$93</definedName>
    <definedName name="OSRRefT25x_0" localSheetId="2">Summary!$T$250:$T$257</definedName>
    <definedName name="_xlnm.Print_Area" localSheetId="38">'100'!$A$1:$Z$34</definedName>
    <definedName name="_xlnm.Print_Area" localSheetId="40">'200'!$A$1:$Z$40</definedName>
    <definedName name="_xlnm.Print_Area" localSheetId="41">'201'!$A$1:$Z$73</definedName>
    <definedName name="_xlnm.Print_Area" localSheetId="42">'202'!$A$1:$Z$69</definedName>
    <definedName name="_xlnm.Print_Area" localSheetId="43">'203'!$A$1:$Z$77</definedName>
    <definedName name="_xlnm.Print_Area" localSheetId="44">'204'!$A$1:$Z$62</definedName>
    <definedName name="_xlnm.Print_Area" localSheetId="45">'205'!$A$1:$Z$56</definedName>
    <definedName name="_xlnm.Print_Area" localSheetId="46">'206'!$A$1:$Z$54</definedName>
    <definedName name="_xlnm.Print_Area" localSheetId="48">'300'!$A$1:$Z$227</definedName>
    <definedName name="_xlnm.Print_Area" localSheetId="49">'300 &amp; 317'!$A$1:$Z$251</definedName>
    <definedName name="_xlnm.Print_Area" localSheetId="50">'301'!$A$1:$Z$108</definedName>
    <definedName name="_xlnm.Print_Area" localSheetId="52">'307'!$A$1:$Z$91</definedName>
    <definedName name="_xlnm.Print_Area" localSheetId="53">'308'!$A$1:$Z$122</definedName>
    <definedName name="_xlnm.Print_Area" localSheetId="64">'309'!$A$1:$Z$44</definedName>
    <definedName name="_xlnm.Print_Area" localSheetId="63">'310'!$A$1:$Z$94</definedName>
    <definedName name="_xlnm.Print_Area" localSheetId="71">'310 &amp; 491'!$A$1:$Z$121</definedName>
    <definedName name="_xlnm.Print_Area" localSheetId="54">'311'!$A$1:$Z$122</definedName>
    <definedName name="_xlnm.Print_Area" localSheetId="65">'313'!$A$1:$Z$58</definedName>
    <definedName name="_xlnm.Print_Area" localSheetId="57">'315'!$A$1:$Z$147</definedName>
    <definedName name="_xlnm.Print_Area" localSheetId="60">'316'!$A$1:$Z$87</definedName>
    <definedName name="_xlnm.Print_Area" localSheetId="62">'317'!$A$1:$Z$105</definedName>
    <definedName name="_xlnm.Print_Area" localSheetId="66">'321'!$A$1:$Z$76</definedName>
    <definedName name="_xlnm.Print_Area" localSheetId="67">'322'!$A$1:$Z$54</definedName>
    <definedName name="_xlnm.Print_Area" localSheetId="55">'324'!$A$1:$Z$39</definedName>
    <definedName name="_xlnm.Print_Area" localSheetId="68">'325'!$A$1:$Z$81</definedName>
    <definedName name="_xlnm.Print_Area" localSheetId="58">'326'!$A$1:$Z$115</definedName>
    <definedName name="_xlnm.Print_Area" localSheetId="69">'327'!$A$1:$Z$38</definedName>
    <definedName name="_xlnm.Print_Area" localSheetId="51">'330'!$A$1:$Z$96</definedName>
    <definedName name="_xlnm.Print_Area" localSheetId="56">'331'!$A$1:$Z$165</definedName>
    <definedName name="_xlnm.Print_Area" localSheetId="59">'332'!$A$1:$Z$90</definedName>
    <definedName name="_xlnm.Print_Area" localSheetId="73">'405'!$A$1:$Z$91</definedName>
    <definedName name="_xlnm.Print_Area" localSheetId="74">'406'!$A$1:$Z$42</definedName>
    <definedName name="_xlnm.Print_Area" localSheetId="75">'411'!$A$1:$Z$82</definedName>
    <definedName name="_xlnm.Print_Area" localSheetId="76">'412'!$A$1:$Z$43</definedName>
    <definedName name="_xlnm.Print_Area" localSheetId="77">'413'!$A$1:$Z$48</definedName>
    <definedName name="_xlnm.Print_Area" localSheetId="78">'414'!$A$1:$Z$44</definedName>
    <definedName name="_xlnm.Print_Area" localSheetId="79">'415'!$A$1:$Z$91</definedName>
    <definedName name="_xlnm.Print_Area" localSheetId="80">'418'!$A$1:$Z$76</definedName>
    <definedName name="_xlnm.Print_Area" localSheetId="81">'420'!$A$1:$Z$35</definedName>
    <definedName name="_xlnm.Print_Area" localSheetId="82">'423'!$A$1:$Z$42</definedName>
    <definedName name="_xlnm.Print_Area" localSheetId="83">'424'!$A$1:$Z$40</definedName>
    <definedName name="_xlnm.Print_Area" localSheetId="84">'425'!$A$1:$Z$57</definedName>
    <definedName name="_xlnm.Print_Area" localSheetId="87">'430'!$A$1:$Z$56</definedName>
    <definedName name="_xlnm.Print_Area" localSheetId="88">'433'!$A$1:$Z$89</definedName>
    <definedName name="_xlnm.Print_Area" localSheetId="89">'435'!$A$1:$Z$34</definedName>
    <definedName name="_xlnm.Print_Area" localSheetId="90">'444'!$A$1:$Z$90</definedName>
    <definedName name="_xlnm.Print_Area" localSheetId="91">'450'!$A$1:$Z$91</definedName>
    <definedName name="_xlnm.Print_Area" localSheetId="85">'455'!$A$1:$Z$34</definedName>
    <definedName name="_xlnm.Print_Area" localSheetId="72">'491'!$A$1:$Z$112</definedName>
    <definedName name="_xlnm.Print_Area" localSheetId="86">'492'!$A$1:$Z$100</definedName>
    <definedName name="_xlnm.Print_Area" localSheetId="93">'501'!$A$1:$Z$72</definedName>
    <definedName name="_xlnm.Print_Area" localSheetId="94">Dept!$A$1:$Z$39</definedName>
    <definedName name="_xlnm.Print_Area" localSheetId="37">'Div 1'!$A$1:$Z$34</definedName>
    <definedName name="_xlnm.Print_Area" localSheetId="39">'Div 2'!$A$1:$Z$98</definedName>
    <definedName name="_xlnm.Print_Area" localSheetId="47">'Div 3'!$A$1:$Z$235</definedName>
    <definedName name="_xlnm.Print_Area" localSheetId="70">'Div 4'!$A$1:$Z$120</definedName>
    <definedName name="_xlnm.Print_Area" localSheetId="92">'Div 5'!$A$1:$Z$72</definedName>
    <definedName name="_xlnm.Print_Area" localSheetId="61">'Div 6'!$A$1:$Z$105</definedName>
    <definedName name="_xlnm.Print_Area" localSheetId="13">'OSR_300 &amp; 317_1C00ID4'!$A$1:$Z$39</definedName>
    <definedName name="_xlnm.Print_Area" localSheetId="10">'OSR_300 (2)_7...54cb56fc_UFX0O2'!$A$1:$Z$39</definedName>
    <definedName name="_xlnm.Print_Area" localSheetId="14">'OSR_300 (2)_c...79cd3046_1TJM0H'!$A$1:$Z$39</definedName>
    <definedName name="_xlnm.Print_Area" localSheetId="16">'OSR_300 (2)_e...5d0da5bf_6BPGAO'!$A$1:$Z$39</definedName>
    <definedName name="_xlnm.Print_Area" localSheetId="11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7">'OSR_310 &amp; 491_1NGRCS9'!$A$1:$Z$39</definedName>
    <definedName name="_xlnm.Print_Area" localSheetId="18">'OSR_310 (2)_...6e684f08_1FLCNJG'!$A$1:$Z$39</definedName>
    <definedName name="_xlnm.Print_Area" localSheetId="26">'OSR_310 (2)_...8cac1423_1JTU33X'!$A$1:$Z$39</definedName>
    <definedName name="_xlnm.Print_Area" localSheetId="15">OSR_310_1CMTOSB!$A$1:$Z$39</definedName>
    <definedName name="_xlnm.Print_Area" localSheetId="20">'OSR_330 (2)_...8a14c83e_1NSH7XI'!$A$1:$Z$39</definedName>
    <definedName name="_xlnm.Print_Area" localSheetId="17">OSR_330_10VFP5Y!$A$1:$Z$39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8">'OSR_491 (2)_0...c51cc666_QIOT67'!$A$1:$Z$39</definedName>
    <definedName name="_xlnm.Print_Area" localSheetId="29">OSR_491_9Z9JH5!$A$1:$Z$39</definedName>
    <definedName name="_xlnm.Print_Area" localSheetId="34">'OSR_492 (2)_...cd97c6a6_13HYXEV'!$A$1:$Z$39</definedName>
    <definedName name="_xlnm.Print_Area" localSheetId="31">OSR_492_943FP1!$A$1:$Z$39</definedName>
    <definedName name="_xlnm.Print_Area" localSheetId="4">'OSR_Current ...69b7dd8c_1IEQKFK'!$A$1:$Z$39</definedName>
    <definedName name="_xlnm.Print_Area" localSheetId="95">OSR_Dept_Y0WUKY!$A$1:$Z$39</definedName>
    <definedName name="_xlnm.Print_Area" localSheetId="8">'OSR_Div 1 (2)...789fe994_2NV3KA'!$A$1:$Z$39</definedName>
    <definedName name="_xlnm.Print_Area" localSheetId="5">'OSR_Div 1_7H47HR'!$A$1:$Z$39</definedName>
    <definedName name="_xlnm.Print_Area" localSheetId="7">'OSR_Div 2_1PQ800A'!$A$1:$Z$39</definedName>
    <definedName name="_xlnm.Print_Area" localSheetId="6">'OSR_Div 3 (2)...4cb81c06_PBSMLS'!$A$1:$Z$39</definedName>
    <definedName name="_xlnm.Print_Area" localSheetId="12">'OSR_Div 3 (2)...b7db256a_40ITCB'!$A$1:$Z$39</definedName>
    <definedName name="_xlnm.Print_Area" localSheetId="9">'OSR_Div 3_18723PH'!$A$1:$Z$39</definedName>
    <definedName name="_xlnm.Print_Area" localSheetId="32">'OSR_Div 4 (2)...1a9a4454_CQFRNE'!$A$1:$Z$39</definedName>
    <definedName name="_xlnm.Print_Area" localSheetId="30">'OSR_Div 4 (2...2533da42_174R6QX'!$A$1:$Z$39</definedName>
    <definedName name="_xlnm.Print_Area" localSheetId="25">'OSR_Div 4_1740TMT'!$A$1:$Z$39</definedName>
    <definedName name="_xlnm.Print_Area" localSheetId="36">'OSR_Div 5 (2...09141158_1BG9FGV'!$A$1:$Z$39</definedName>
    <definedName name="_xlnm.Print_Area" localSheetId="33">'OSR_Div 5_16NAZO2'!$A$1:$Z$39</definedName>
    <definedName name="_xlnm.Print_Area" localSheetId="35">'OSR_Div 6_P37YY7'!$A$1:$Z$39</definedName>
    <definedName name="_xlnm.Print_Area" localSheetId="96">'OSR_Summary (...56e5d78f_5JEYZH'!$A$1:$Z$39</definedName>
    <definedName name="_xlnm.Print_Area" localSheetId="3">OSR_Summary_18VAVWG!$A$1:$Z$39</definedName>
    <definedName name="_xlnm.Print_Area" localSheetId="2">Summary!$A$1:$Z$271</definedName>
    <definedName name="_xlnm.Print_Titles" localSheetId="38">'100'!$A:$C,'100'!$1:$10</definedName>
    <definedName name="_xlnm.Print_Titles" localSheetId="40">'200'!$A:$C,'200'!$1:$10</definedName>
    <definedName name="_xlnm.Print_Titles" localSheetId="41">'201'!$A:$C,'201'!$1:$10</definedName>
    <definedName name="_xlnm.Print_Titles" localSheetId="42">'202'!$A:$C,'202'!$1:$10</definedName>
    <definedName name="_xlnm.Print_Titles" localSheetId="43">'203'!$A:$C,'203'!$1:$10</definedName>
    <definedName name="_xlnm.Print_Titles" localSheetId="44">'204'!$A:$C,'204'!$1:$10</definedName>
    <definedName name="_xlnm.Print_Titles" localSheetId="45">'205'!$A:$C,'205'!$1:$10</definedName>
    <definedName name="_xlnm.Print_Titles" localSheetId="46">'206'!$A:$C,'206'!$1:$10</definedName>
    <definedName name="_xlnm.Print_Titles" localSheetId="48">'300'!$A:$C,'300'!$1:$10</definedName>
    <definedName name="_xlnm.Print_Titles" localSheetId="49">'300 &amp; 317'!$A:$C,'300 &amp; 317'!$1:$10</definedName>
    <definedName name="_xlnm.Print_Titles" localSheetId="50">'301'!$A:$C,'301'!$1:$10</definedName>
    <definedName name="_xlnm.Print_Titles" localSheetId="52">'307'!$A:$C,'307'!$1:$10</definedName>
    <definedName name="_xlnm.Print_Titles" localSheetId="53">'308'!$A:$C,'308'!$1:$10</definedName>
    <definedName name="_xlnm.Print_Titles" localSheetId="64">'309'!$A:$C,'309'!$1:$10</definedName>
    <definedName name="_xlnm.Print_Titles" localSheetId="63">'310'!$A:$C,'310'!$1:$10</definedName>
    <definedName name="_xlnm.Print_Titles" localSheetId="71">'310 &amp; 491'!$A:$C,'310 &amp; 491'!$1:$10</definedName>
    <definedName name="_xlnm.Print_Titles" localSheetId="54">'311'!$A:$C,'311'!$1:$10</definedName>
    <definedName name="_xlnm.Print_Titles" localSheetId="65">'313'!$A:$C,'313'!$1:$10</definedName>
    <definedName name="_xlnm.Print_Titles" localSheetId="57">'315'!$A:$C,'315'!$1:$10</definedName>
    <definedName name="_xlnm.Print_Titles" localSheetId="60">'316'!$A:$C,'316'!$1:$10</definedName>
    <definedName name="_xlnm.Print_Titles" localSheetId="62">'317'!$A:$C,'317'!$1:$10</definedName>
    <definedName name="_xlnm.Print_Titles" localSheetId="66">'321'!$A:$C,'321'!$1:$10</definedName>
    <definedName name="_xlnm.Print_Titles" localSheetId="67">'322'!$A:$C,'322'!$1:$10</definedName>
    <definedName name="_xlnm.Print_Titles" localSheetId="55">'324'!$A:$C,'324'!$1:$10</definedName>
    <definedName name="_xlnm.Print_Titles" localSheetId="68">'325'!$A:$C,'325'!$1:$10</definedName>
    <definedName name="_xlnm.Print_Titles" localSheetId="58">'326'!$A:$C,'326'!$1:$10</definedName>
    <definedName name="_xlnm.Print_Titles" localSheetId="69">'327'!$A:$C,'327'!$1:$10</definedName>
    <definedName name="_xlnm.Print_Titles" localSheetId="51">'330'!$A:$C,'330'!$1:$10</definedName>
    <definedName name="_xlnm.Print_Titles" localSheetId="56">'331'!$A:$C,'331'!$1:$10</definedName>
    <definedName name="_xlnm.Print_Titles" localSheetId="59">'332'!$A:$C,'332'!$1:$10</definedName>
    <definedName name="_xlnm.Print_Titles" localSheetId="73">'405'!$A:$C,'405'!$1:$10</definedName>
    <definedName name="_xlnm.Print_Titles" localSheetId="74">'406'!$A:$C,'406'!$1:$10</definedName>
    <definedName name="_xlnm.Print_Titles" localSheetId="75">'411'!$A:$C,'411'!$1:$10</definedName>
    <definedName name="_xlnm.Print_Titles" localSheetId="76">'412'!$A:$C,'412'!$1:$10</definedName>
    <definedName name="_xlnm.Print_Titles" localSheetId="77">'413'!$A:$C,'413'!$1:$10</definedName>
    <definedName name="_xlnm.Print_Titles" localSheetId="78">'414'!$A:$C,'414'!$1:$10</definedName>
    <definedName name="_xlnm.Print_Titles" localSheetId="79">'415'!$A:$C,'415'!$1:$10</definedName>
    <definedName name="_xlnm.Print_Titles" localSheetId="80">'418'!$A:$C,'418'!$1:$10</definedName>
    <definedName name="_xlnm.Print_Titles" localSheetId="81">'420'!$A:$C,'420'!$1:$10</definedName>
    <definedName name="_xlnm.Print_Titles" localSheetId="82">'423'!$A:$C,'423'!$1:$10</definedName>
    <definedName name="_xlnm.Print_Titles" localSheetId="83">'424'!$A:$C,'424'!$1:$10</definedName>
    <definedName name="_xlnm.Print_Titles" localSheetId="84">'425'!$A:$C,'425'!$1:$10</definedName>
    <definedName name="_xlnm.Print_Titles" localSheetId="87">'430'!$A:$C,'430'!$1:$10</definedName>
    <definedName name="_xlnm.Print_Titles" localSheetId="88">'433'!$A:$C,'433'!$1:$10</definedName>
    <definedName name="_xlnm.Print_Titles" localSheetId="89">'435'!$A:$C,'435'!$1:$10</definedName>
    <definedName name="_xlnm.Print_Titles" localSheetId="90">'444'!$A:$C,'444'!$1:$10</definedName>
    <definedName name="_xlnm.Print_Titles" localSheetId="91">'450'!$A:$C,'450'!$1:$10</definedName>
    <definedName name="_xlnm.Print_Titles" localSheetId="85">'455'!$A:$C,'455'!$1:$10</definedName>
    <definedName name="_xlnm.Print_Titles" localSheetId="72">'491'!$A:$C,'491'!$1:$10</definedName>
    <definedName name="_xlnm.Print_Titles" localSheetId="86">'492'!$A:$C,'492'!$1:$10</definedName>
    <definedName name="_xlnm.Print_Titles" localSheetId="93">'501'!$A:$C,'501'!$1:$10</definedName>
    <definedName name="_xlnm.Print_Titles" localSheetId="94">Dept!$A:$C,Dept!$1:$10</definedName>
    <definedName name="_xlnm.Print_Titles" localSheetId="37">'Div 1'!$A:$C,'Div 1'!$1:$10</definedName>
    <definedName name="_xlnm.Print_Titles" localSheetId="39">'Div 2'!$A:$C,'Div 2'!$1:$10</definedName>
    <definedName name="_xlnm.Print_Titles" localSheetId="47">'Div 3'!$A:$C,'Div 3'!$1:$10</definedName>
    <definedName name="_xlnm.Print_Titles" localSheetId="70">'Div 4'!$A:$C,'Div 4'!$1:$10</definedName>
    <definedName name="_xlnm.Print_Titles" localSheetId="92">'Div 5'!$A:$C,'Div 5'!$1:$10</definedName>
    <definedName name="_xlnm.Print_Titles" localSheetId="61">'Div 6'!$A:$C,'Div 6'!$1:$10</definedName>
    <definedName name="_xlnm.Print_Titles" localSheetId="13">'OSR_300 &amp; 317_1C00ID4'!$A:$C,'OSR_300 &amp; 317_1C00ID4'!$1:$10</definedName>
    <definedName name="_xlnm.Print_Titles" localSheetId="10">'OSR_300 (2)_7...54cb56fc_UFX0O2'!$A:$C,'OSR_300 (2)_7...54cb56fc_UFX0O2'!$1:$10</definedName>
    <definedName name="_xlnm.Print_Titles" localSheetId="14">'OSR_300 (2)_c...79cd3046_1TJM0H'!$A:$C,'OSR_300 (2)_c...79cd3046_1TJM0H'!$1:$10</definedName>
    <definedName name="_xlnm.Print_Titles" localSheetId="16">'OSR_300 (2)_e...5d0da5bf_6BPGAO'!$A:$C,'OSR_300 (2)_e...5d0da5bf_6BPGAO'!$1:$10</definedName>
    <definedName name="_xlnm.Print_Titles" localSheetId="11">OSR_300_IYZXI6!$A:$C,OSR_300_IYZXI6!$1:$10</definedName>
    <definedName name="_xlnm.Print_Titles" localSheetId="22">'OSR_308 (2)_...47685838_1YQW4QY'!$A:$C,'OSR_308 (2)_...47685838_1YQW4QY'!$1:$10</definedName>
    <definedName name="_xlnm.Print_Titles" localSheetId="19">OSR_308_UAWDAG!$A:$C,OSR_308_UAWDAG!$1:$10</definedName>
    <definedName name="_xlnm.Print_Titles" localSheetId="27">'OSR_310 &amp; 491_1NGRCS9'!$A:$C,'OSR_310 &amp; 491_1NGRCS9'!$1:$10</definedName>
    <definedName name="_xlnm.Print_Titles" localSheetId="18">'OSR_310 (2)_...6e684f08_1FLCNJG'!$A:$C,'OSR_310 (2)_...6e684f08_1FLCNJG'!$1:$10</definedName>
    <definedName name="_xlnm.Print_Titles" localSheetId="26">'OSR_310 (2)_...8cac1423_1JTU33X'!$A:$C,'OSR_310 (2)_...8cac1423_1JTU33X'!$1:$10</definedName>
    <definedName name="_xlnm.Print_Titles" localSheetId="15">OSR_310_1CMTOSB!$A:$C,OSR_310_1CMTOSB!$1:$10</definedName>
    <definedName name="_xlnm.Print_Titles" localSheetId="20">'OSR_330 (2)_...8a14c83e_1NSH7XI'!$A:$C,'OSR_330 (2)_...8a14c83e_1NSH7XI'!$1:$10</definedName>
    <definedName name="_xlnm.Print_Titles" localSheetId="17">OSR_330_10VFP5Y!$A:$C,OSR_330_10VFP5Y!$1:$10</definedName>
    <definedName name="_xlnm.Print_Titles" localSheetId="24">'OSR_331 (2)_...7280af70_1P5SPLT'!$A:$C,'OSR_331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8">'OSR_491 (2)_0...c51cc666_QIOT67'!$A:$C,'OSR_491 (2)_0...c51cc666_QIOT67'!$1:$10</definedName>
    <definedName name="_xlnm.Print_Titles" localSheetId="29">OSR_491_9Z9JH5!$A:$C,OSR_491_9Z9JH5!$1:$10</definedName>
    <definedName name="_xlnm.Print_Titles" localSheetId="34">'OSR_492 (2)_...cd97c6a6_13HYXEV'!$A:$C,'OSR_492 (2)_...cd97c6a6_13HYXEV'!$1:$10</definedName>
    <definedName name="_xlnm.Print_Titles" localSheetId="31">OSR_492_943FP1!$A:$C,OSR_492_943FP1!$1:$10</definedName>
    <definedName name="_xlnm.Print_Titles" localSheetId="4">'OSR_Current ...69b7dd8c_1IEQKFK'!$A:$C,'OSR_Current ...69b7dd8c_1IEQKFK'!$1:$10</definedName>
    <definedName name="_xlnm.Print_Titles" localSheetId="95">OSR_Dept_Y0WUKY!$A:$C,OSR_Dept_Y0WUKY!$1:$10</definedName>
    <definedName name="_xlnm.Print_Titles" localSheetId="8">'OSR_Div 1 (2)...789fe994_2NV3KA'!$A:$C,'OSR_Div 1 (2)...789fe994_2NV3KA'!$1:$10</definedName>
    <definedName name="_xlnm.Print_Titles" localSheetId="5">'OSR_Div 1_7H47HR'!$A:$C,'OSR_Div 1_7H47HR'!$1:$10</definedName>
    <definedName name="_xlnm.Print_Titles" localSheetId="7">'OSR_Div 2_1PQ800A'!$A:$C,'OSR_Div 2_1PQ800A'!$1:$10</definedName>
    <definedName name="_xlnm.Print_Titles" localSheetId="6">'OSR_Div 3 (2)...4cb81c06_PBSMLS'!$A:$C,'OSR_Div 3 (2)...4cb81c06_PBSMLS'!$1:$10</definedName>
    <definedName name="_xlnm.Print_Titles" localSheetId="12">'OSR_Div 3 (2)...b7db256a_40ITCB'!$A:$C,'OSR_Div 3 (2)...b7db256a_40ITCB'!$1:$10</definedName>
    <definedName name="_xlnm.Print_Titles" localSheetId="9">'OSR_Div 3_18723PH'!$A:$C,'OSR_Div 3_18723PH'!$1:$10</definedName>
    <definedName name="_xlnm.Print_Titles" localSheetId="32">'OSR_Div 4 (2)...1a9a4454_CQFRNE'!$A:$C,'OSR_Div 4 (2)...1a9a4454_CQFRNE'!$1:$10</definedName>
    <definedName name="_xlnm.Print_Titles" localSheetId="30">'OSR_Div 4 (2...2533da42_174R6QX'!$A:$C,'OSR_Div 4 (2...2533da42_174R6QX'!$1:$10</definedName>
    <definedName name="_xlnm.Print_Titles" localSheetId="25">'OSR_Div 4_1740TMT'!$A:$C,'OSR_Div 4_1740TMT'!$1:$10</definedName>
    <definedName name="_xlnm.Print_Titles" localSheetId="36">'OSR_Div 5 (2...09141158_1BG9FGV'!$A:$C,'OSR_Div 5 (2...09141158_1BG9FGV'!$1:$10</definedName>
    <definedName name="_xlnm.Print_Titles" localSheetId="33">'OSR_Div 5_16NAZO2'!$A:$C,'OSR_Div 5_16NAZO2'!$1:$10</definedName>
    <definedName name="_xlnm.Print_Titles" localSheetId="35">'OSR_Div 6_P37YY7'!$A:$C,'OSR_Div 6_P37YY7'!$1:$10</definedName>
    <definedName name="_xlnm.Print_Titles" localSheetId="96">'OSR_Summary (...56e5d78f_5JEYZH'!$A:$C,'OSR_Summary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100" l="1"/>
  <c r="B38" i="100"/>
  <c r="T34" i="100"/>
  <c r="Z34" i="100" s="1"/>
  <c r="P34" i="100"/>
  <c r="H34" i="100"/>
  <c r="N34" i="100" s="1"/>
  <c r="D34" i="100"/>
  <c r="T33" i="100"/>
  <c r="Z33" i="100" s="1"/>
  <c r="P33" i="100"/>
  <c r="H33" i="100"/>
  <c r="N33" i="100" s="1"/>
  <c r="D33" i="100"/>
  <c r="T29" i="100"/>
  <c r="Z29" i="100" s="1"/>
  <c r="P29" i="100"/>
  <c r="H29" i="100"/>
  <c r="N29" i="100" s="1"/>
  <c r="D29" i="100"/>
  <c r="T25" i="100"/>
  <c r="Z25" i="100" s="1"/>
  <c r="P25" i="100"/>
  <c r="H25" i="100"/>
  <c r="N25" i="100" s="1"/>
  <c r="D25" i="100"/>
  <c r="B25" i="100"/>
  <c r="T24" i="100"/>
  <c r="Z24" i="100" s="1"/>
  <c r="P24" i="100"/>
  <c r="H24" i="100"/>
  <c r="N24" i="100" s="1"/>
  <c r="D24" i="100"/>
  <c r="T22" i="100"/>
  <c r="Z22" i="100" s="1"/>
  <c r="P22" i="100"/>
  <c r="H22" i="100"/>
  <c r="N22" i="100" s="1"/>
  <c r="D22" i="100"/>
  <c r="B22" i="100"/>
  <c r="T21" i="100"/>
  <c r="Z21" i="100" s="1"/>
  <c r="P21" i="100"/>
  <c r="H21" i="100"/>
  <c r="N21" i="100" s="1"/>
  <c r="D21" i="100"/>
  <c r="B21" i="100"/>
  <c r="T20" i="100"/>
  <c r="Z20" i="100" s="1"/>
  <c r="P20" i="100"/>
  <c r="H20" i="100"/>
  <c r="N20" i="100" s="1"/>
  <c r="D20" i="100"/>
  <c r="T16" i="100"/>
  <c r="Z16" i="100" s="1"/>
  <c r="P16" i="100"/>
  <c r="H16" i="100"/>
  <c r="N16" i="100" s="1"/>
  <c r="D16" i="100"/>
  <c r="B16" i="100"/>
  <c r="T15" i="100"/>
  <c r="Z15" i="100" s="1"/>
  <c r="P15" i="100"/>
  <c r="H15" i="100"/>
  <c r="N15" i="100" s="1"/>
  <c r="D15" i="100"/>
  <c r="T13" i="100"/>
  <c r="P13" i="100"/>
  <c r="H13" i="100"/>
  <c r="N13" i="100" s="1"/>
  <c r="D13" i="100"/>
  <c r="B13" i="100"/>
  <c r="T12" i="100"/>
  <c r="V24" i="100" s="1"/>
  <c r="P12" i="100"/>
  <c r="H12" i="100"/>
  <c r="J18" i="100" s="1"/>
  <c r="D12" i="100"/>
  <c r="D6" i="100"/>
  <c r="D5" i="100"/>
  <c r="D4" i="100"/>
  <c r="B39" i="99"/>
  <c r="B38" i="99"/>
  <c r="T34" i="99"/>
  <c r="Z34" i="99" s="1"/>
  <c r="P34" i="99"/>
  <c r="H34" i="99"/>
  <c r="N34" i="99" s="1"/>
  <c r="D34" i="99"/>
  <c r="T33" i="99"/>
  <c r="Z33" i="99" s="1"/>
  <c r="P33" i="99"/>
  <c r="H33" i="99"/>
  <c r="N33" i="99" s="1"/>
  <c r="D33" i="99"/>
  <c r="T29" i="99"/>
  <c r="Z29" i="99" s="1"/>
  <c r="P29" i="99"/>
  <c r="H29" i="99"/>
  <c r="N29" i="99" s="1"/>
  <c r="D29" i="99"/>
  <c r="T25" i="99"/>
  <c r="Z25" i="99" s="1"/>
  <c r="P25" i="99"/>
  <c r="H25" i="99"/>
  <c r="N25" i="99" s="1"/>
  <c r="D25" i="99"/>
  <c r="B25" i="99"/>
  <c r="T24" i="99"/>
  <c r="Z24" i="99" s="1"/>
  <c r="P24" i="99"/>
  <c r="H24" i="99"/>
  <c r="N24" i="99" s="1"/>
  <c r="D24" i="99"/>
  <c r="T22" i="99"/>
  <c r="Z22" i="99" s="1"/>
  <c r="P22" i="99"/>
  <c r="H22" i="99"/>
  <c r="N22" i="99" s="1"/>
  <c r="D22" i="99"/>
  <c r="B22" i="99"/>
  <c r="T21" i="99"/>
  <c r="Z21" i="99" s="1"/>
  <c r="P21" i="99"/>
  <c r="H21" i="99"/>
  <c r="N21" i="99" s="1"/>
  <c r="D21" i="99"/>
  <c r="B21" i="99"/>
  <c r="T20" i="99"/>
  <c r="Z20" i="99" s="1"/>
  <c r="P20" i="99"/>
  <c r="H20" i="99"/>
  <c r="N20" i="99" s="1"/>
  <c r="D20" i="99"/>
  <c r="T16" i="99"/>
  <c r="Z16" i="99" s="1"/>
  <c r="P16" i="99"/>
  <c r="H16" i="99"/>
  <c r="N16" i="99" s="1"/>
  <c r="D16" i="99"/>
  <c r="B16" i="99"/>
  <c r="T15" i="99"/>
  <c r="Z15" i="99" s="1"/>
  <c r="P15" i="99"/>
  <c r="H15" i="99"/>
  <c r="N15" i="99" s="1"/>
  <c r="D15" i="99"/>
  <c r="T13" i="99"/>
  <c r="Z13" i="99" s="1"/>
  <c r="P13" i="99"/>
  <c r="H13" i="99"/>
  <c r="N13" i="99" s="1"/>
  <c r="D13" i="99"/>
  <c r="B13" i="99"/>
  <c r="T12" i="99"/>
  <c r="P12" i="99"/>
  <c r="R22" i="99" s="1"/>
  <c r="H12" i="99"/>
  <c r="J24" i="99" s="1"/>
  <c r="D12" i="99"/>
  <c r="D6" i="99"/>
  <c r="D5" i="99"/>
  <c r="D4" i="99"/>
  <c r="B39" i="98"/>
  <c r="B38" i="98"/>
  <c r="T34" i="98"/>
  <c r="Z34" i="98" s="1"/>
  <c r="P34" i="98"/>
  <c r="H34" i="98"/>
  <c r="N34" i="98" s="1"/>
  <c r="D34" i="98"/>
  <c r="T33" i="98"/>
  <c r="Z33" i="98" s="1"/>
  <c r="P33" i="98"/>
  <c r="H33" i="98"/>
  <c r="N33" i="98" s="1"/>
  <c r="D33" i="98"/>
  <c r="T29" i="98"/>
  <c r="Z29" i="98" s="1"/>
  <c r="P29" i="98"/>
  <c r="H29" i="98"/>
  <c r="N29" i="98" s="1"/>
  <c r="D29" i="98"/>
  <c r="T25" i="98"/>
  <c r="Z25" i="98" s="1"/>
  <c r="P25" i="98"/>
  <c r="H25" i="98"/>
  <c r="N25" i="98" s="1"/>
  <c r="D25" i="98"/>
  <c r="B25" i="98"/>
  <c r="T24" i="98"/>
  <c r="Z24" i="98" s="1"/>
  <c r="P24" i="98"/>
  <c r="H24" i="98"/>
  <c r="N24" i="98" s="1"/>
  <c r="D24" i="98"/>
  <c r="T22" i="98"/>
  <c r="Z22" i="98" s="1"/>
  <c r="P22" i="98"/>
  <c r="H22" i="98"/>
  <c r="N22" i="98" s="1"/>
  <c r="D22" i="98"/>
  <c r="B22" i="98"/>
  <c r="T21" i="98"/>
  <c r="Z21" i="98" s="1"/>
  <c r="P21" i="98"/>
  <c r="H21" i="98"/>
  <c r="D21" i="98"/>
  <c r="B21" i="98"/>
  <c r="T20" i="98"/>
  <c r="P20" i="98"/>
  <c r="H20" i="98"/>
  <c r="N20" i="98" s="1"/>
  <c r="D20" i="98"/>
  <c r="T16" i="98"/>
  <c r="P16" i="98"/>
  <c r="H16" i="98"/>
  <c r="N16" i="98" s="1"/>
  <c r="D16" i="98"/>
  <c r="B16" i="98"/>
  <c r="T15" i="98"/>
  <c r="Z15" i="98" s="1"/>
  <c r="P15" i="98"/>
  <c r="H15" i="98"/>
  <c r="N15" i="98" s="1"/>
  <c r="D15" i="98"/>
  <c r="T13" i="98"/>
  <c r="Z13" i="98" s="1"/>
  <c r="P13" i="98"/>
  <c r="H13" i="98"/>
  <c r="N13" i="98" s="1"/>
  <c r="D13" i="98"/>
  <c r="B13" i="98"/>
  <c r="T12" i="98"/>
  <c r="V15" i="98" s="1"/>
  <c r="P12" i="98"/>
  <c r="R33" i="98" s="1"/>
  <c r="H12" i="98"/>
  <c r="J24" i="98" s="1"/>
  <c r="D12" i="98"/>
  <c r="F25" i="98" s="1"/>
  <c r="D6" i="98"/>
  <c r="D5" i="98"/>
  <c r="D4" i="98"/>
  <c r="X64" i="97"/>
  <c r="Z64" i="97" s="1"/>
  <c r="L64" i="97"/>
  <c r="N64" i="97" s="1"/>
  <c r="T60" i="97"/>
  <c r="P60" i="97"/>
  <c r="H60" i="97"/>
  <c r="D60" i="97"/>
  <c r="B60" i="97"/>
  <c r="P59" i="97"/>
  <c r="H59" i="97"/>
  <c r="Z57" i="97"/>
  <c r="X57" i="97"/>
  <c r="N57" i="97"/>
  <c r="L57" i="97"/>
  <c r="B57" i="97"/>
  <c r="Z56" i="97"/>
  <c r="X56" i="97"/>
  <c r="T56" i="97"/>
  <c r="P56" i="97"/>
  <c r="H56" i="97"/>
  <c r="D56" i="97"/>
  <c r="B56" i="97"/>
  <c r="X55" i="97"/>
  <c r="Z55" i="97" s="1"/>
  <c r="N55" i="97"/>
  <c r="L55" i="97"/>
  <c r="B55" i="97"/>
  <c r="T54" i="97"/>
  <c r="P54" i="97"/>
  <c r="N54" i="97"/>
  <c r="H54" i="97"/>
  <c r="D54" i="97"/>
  <c r="L54" i="97" s="1"/>
  <c r="B54" i="97"/>
  <c r="Z53" i="97"/>
  <c r="X53" i="97"/>
  <c r="N53" i="97"/>
  <c r="L53" i="97"/>
  <c r="B53" i="97"/>
  <c r="Z52" i="97"/>
  <c r="X52" i="97"/>
  <c r="N52" i="97"/>
  <c r="L52" i="97"/>
  <c r="B52" i="97"/>
  <c r="T51" i="97"/>
  <c r="P51" i="97"/>
  <c r="X51" i="97" s="1"/>
  <c r="H51" i="97"/>
  <c r="N51" i="97" s="1"/>
  <c r="D51" i="97"/>
  <c r="L51" i="97" s="1"/>
  <c r="B51" i="97"/>
  <c r="Z50" i="97"/>
  <c r="X50" i="97"/>
  <c r="N50" i="97"/>
  <c r="L50" i="97"/>
  <c r="B50" i="97"/>
  <c r="X49" i="97"/>
  <c r="Z49" i="97" s="1"/>
  <c r="N49" i="97"/>
  <c r="L49" i="97"/>
  <c r="B49" i="97"/>
  <c r="Z48" i="97"/>
  <c r="T48" i="97"/>
  <c r="P48" i="97"/>
  <c r="X48" i="97" s="1"/>
  <c r="N48" i="97"/>
  <c r="H48" i="97"/>
  <c r="D48" i="97"/>
  <c r="L48" i="97" s="1"/>
  <c r="B48" i="97"/>
  <c r="Z47" i="97"/>
  <c r="X47" i="97"/>
  <c r="N47" i="97"/>
  <c r="L47" i="97"/>
  <c r="B47" i="97"/>
  <c r="T46" i="97"/>
  <c r="Z46" i="97" s="1"/>
  <c r="P46" i="97"/>
  <c r="X46" i="97" s="1"/>
  <c r="L46" i="97"/>
  <c r="N46" i="97" s="1"/>
  <c r="H46" i="97"/>
  <c r="D46" i="97"/>
  <c r="B46" i="97"/>
  <c r="X45" i="97"/>
  <c r="Z45" i="97" s="1"/>
  <c r="L45" i="97"/>
  <c r="N45" i="97" s="1"/>
  <c r="B45" i="97"/>
  <c r="X44" i="97"/>
  <c r="Z44" i="97" s="1"/>
  <c r="T44" i="97"/>
  <c r="P44" i="97"/>
  <c r="H44" i="97"/>
  <c r="D44" i="97"/>
  <c r="B44" i="97"/>
  <c r="X43" i="97"/>
  <c r="Z43" i="97" s="1"/>
  <c r="N43" i="97"/>
  <c r="L43" i="97"/>
  <c r="B43" i="97"/>
  <c r="X42" i="97"/>
  <c r="Z42" i="97" s="1"/>
  <c r="N42" i="97"/>
  <c r="L42" i="97"/>
  <c r="B42" i="97"/>
  <c r="T41" i="97"/>
  <c r="P41" i="97"/>
  <c r="X41" i="97" s="1"/>
  <c r="Z41" i="97" s="1"/>
  <c r="H41" i="97"/>
  <c r="D41" i="97"/>
  <c r="B41" i="97"/>
  <c r="Z40" i="97"/>
  <c r="X40" i="97"/>
  <c r="N40" i="97"/>
  <c r="L40" i="97"/>
  <c r="B40" i="97"/>
  <c r="T39" i="97"/>
  <c r="R39" i="97"/>
  <c r="P39" i="97"/>
  <c r="X39" i="97" s="1"/>
  <c r="H39" i="97"/>
  <c r="D39" i="97"/>
  <c r="L39" i="97" s="1"/>
  <c r="N39" i="97" s="1"/>
  <c r="B39" i="97"/>
  <c r="Z38" i="97"/>
  <c r="X38" i="97"/>
  <c r="N38" i="97"/>
  <c r="L38" i="97"/>
  <c r="B38" i="97"/>
  <c r="Z37" i="97"/>
  <c r="T37" i="97"/>
  <c r="P37" i="97"/>
  <c r="X37" i="97" s="1"/>
  <c r="H37" i="97"/>
  <c r="L37" i="97" s="1"/>
  <c r="D37" i="97"/>
  <c r="B37" i="97"/>
  <c r="X36" i="97"/>
  <c r="Z36" i="97" s="1"/>
  <c r="N36" i="97"/>
  <c r="L36" i="97"/>
  <c r="B36" i="97"/>
  <c r="Z35" i="97"/>
  <c r="X35" i="97"/>
  <c r="L35" i="97"/>
  <c r="N35" i="97" s="1"/>
  <c r="B35" i="97"/>
  <c r="X34" i="97"/>
  <c r="Z34" i="97" s="1"/>
  <c r="L34" i="97"/>
  <c r="N34" i="97" s="1"/>
  <c r="B34" i="97"/>
  <c r="Z33" i="97"/>
  <c r="X33" i="97"/>
  <c r="N33" i="97"/>
  <c r="L33" i="97"/>
  <c r="B33" i="97"/>
  <c r="Z32" i="97"/>
  <c r="X32" i="97"/>
  <c r="L32" i="97"/>
  <c r="N32" i="97" s="1"/>
  <c r="B32" i="97"/>
  <c r="X31" i="97"/>
  <c r="Z31" i="97" s="1"/>
  <c r="N31" i="97"/>
  <c r="L31" i="97"/>
  <c r="B31" i="97"/>
  <c r="T30" i="97"/>
  <c r="P30" i="97"/>
  <c r="H30" i="97"/>
  <c r="D30" i="97"/>
  <c r="L30" i="97" s="1"/>
  <c r="N30" i="97" s="1"/>
  <c r="B30" i="97"/>
  <c r="Z29" i="97"/>
  <c r="X29" i="97"/>
  <c r="N29" i="97"/>
  <c r="L29" i="97"/>
  <c r="B29" i="97"/>
  <c r="Z28" i="97"/>
  <c r="X28" i="97"/>
  <c r="N28" i="97"/>
  <c r="L28" i="97"/>
  <c r="B28" i="97"/>
  <c r="Z27" i="97"/>
  <c r="X27" i="97"/>
  <c r="N27" i="97"/>
  <c r="L27" i="97"/>
  <c r="B27" i="97"/>
  <c r="X26" i="97"/>
  <c r="Z26" i="97" s="1"/>
  <c r="L26" i="97"/>
  <c r="N26" i="97" s="1"/>
  <c r="B26" i="97"/>
  <c r="Z25" i="97"/>
  <c r="X25" i="97"/>
  <c r="L25" i="97"/>
  <c r="N25" i="97" s="1"/>
  <c r="B25" i="97"/>
  <c r="X24" i="97"/>
  <c r="Z24" i="97" s="1"/>
  <c r="R24" i="97"/>
  <c r="N24" i="97"/>
  <c r="L24" i="97"/>
  <c r="B24" i="97"/>
  <c r="Z23" i="97"/>
  <c r="X23" i="97"/>
  <c r="R23" i="97"/>
  <c r="N23" i="97"/>
  <c r="L23" i="97"/>
  <c r="B23" i="97"/>
  <c r="X22" i="97"/>
  <c r="Z22" i="97" s="1"/>
  <c r="L22" i="97"/>
  <c r="N22" i="97" s="1"/>
  <c r="B22" i="97"/>
  <c r="Z21" i="97"/>
  <c r="X21" i="97"/>
  <c r="L21" i="97"/>
  <c r="N21" i="97" s="1"/>
  <c r="B21" i="97"/>
  <c r="T20" i="97"/>
  <c r="P20" i="97"/>
  <c r="H20" i="97"/>
  <c r="D20" i="97"/>
  <c r="L20" i="97" s="1"/>
  <c r="N20" i="97" s="1"/>
  <c r="B20" i="97"/>
  <c r="X19" i="97"/>
  <c r="T19" i="97"/>
  <c r="Z19" i="97" s="1"/>
  <c r="P19" i="97"/>
  <c r="H19" i="97"/>
  <c r="D19" i="97"/>
  <c r="L19" i="97" s="1"/>
  <c r="P17" i="97"/>
  <c r="P62" i="97" s="1"/>
  <c r="X15" i="97"/>
  <c r="T15" i="97"/>
  <c r="Z15" i="97" s="1"/>
  <c r="P15" i="97"/>
  <c r="H15" i="97"/>
  <c r="H17" i="97" s="1"/>
  <c r="D15" i="97"/>
  <c r="L15" i="97" s="1"/>
  <c r="X13" i="97"/>
  <c r="T13" i="97"/>
  <c r="Z13" i="97" s="1"/>
  <c r="P13" i="97"/>
  <c r="L13" i="97"/>
  <c r="H13" i="97"/>
  <c r="N13" i="97" s="1"/>
  <c r="D13" i="97"/>
  <c r="D12" i="97" s="1"/>
  <c r="B13" i="97"/>
  <c r="P12" i="97"/>
  <c r="H12" i="97"/>
  <c r="J38" i="97" s="1"/>
  <c r="D6" i="97"/>
  <c r="D4" i="97"/>
  <c r="V31" i="96"/>
  <c r="F31" i="96"/>
  <c r="Z26" i="96"/>
  <c r="X26" i="96"/>
  <c r="V26" i="96"/>
  <c r="N26" i="96"/>
  <c r="L26" i="96"/>
  <c r="F26" i="96"/>
  <c r="V24" i="96"/>
  <c r="F24" i="96"/>
  <c r="V22" i="96"/>
  <c r="T22" i="96"/>
  <c r="Z22" i="96" s="1"/>
  <c r="P22" i="96"/>
  <c r="X22" i="96" s="1"/>
  <c r="H22" i="96"/>
  <c r="F22" i="96"/>
  <c r="D22" i="96"/>
  <c r="L22" i="96" s="1"/>
  <c r="N22" i="96" s="1"/>
  <c r="B22" i="96"/>
  <c r="X21" i="96"/>
  <c r="T21" i="96"/>
  <c r="Z21" i="96" s="1"/>
  <c r="P21" i="96"/>
  <c r="P20" i="96" s="1"/>
  <c r="H21" i="96"/>
  <c r="N21" i="96" s="1"/>
  <c r="D21" i="96"/>
  <c r="L21" i="96" s="1"/>
  <c r="B21" i="96"/>
  <c r="R20" i="96"/>
  <c r="J20" i="96"/>
  <c r="Z18" i="96"/>
  <c r="T18" i="96"/>
  <c r="R18" i="96"/>
  <c r="P18" i="96"/>
  <c r="X18" i="96" s="1"/>
  <c r="J18" i="96"/>
  <c r="H18" i="96"/>
  <c r="N18" i="96" s="1"/>
  <c r="D18" i="96"/>
  <c r="L18" i="96" s="1"/>
  <c r="R16" i="96"/>
  <c r="J16" i="96"/>
  <c r="H16" i="96"/>
  <c r="N16" i="96" s="1"/>
  <c r="Z14" i="96"/>
  <c r="T14" i="96"/>
  <c r="R14" i="96"/>
  <c r="P14" i="96"/>
  <c r="X14" i="96" s="1"/>
  <c r="J14" i="96"/>
  <c r="H14" i="96"/>
  <c r="N14" i="96" s="1"/>
  <c r="F14" i="96"/>
  <c r="D14" i="96"/>
  <c r="L14" i="96" s="1"/>
  <c r="Z12" i="96"/>
  <c r="X12" i="96"/>
  <c r="T12" i="96"/>
  <c r="V21" i="96" s="1"/>
  <c r="P12" i="96"/>
  <c r="R26" i="96" s="1"/>
  <c r="N12" i="96"/>
  <c r="H12" i="96"/>
  <c r="L12" i="96" s="1"/>
  <c r="D12" i="96"/>
  <c r="F21" i="96" s="1"/>
  <c r="D6" i="96"/>
  <c r="D4" i="96"/>
  <c r="Z83" i="95"/>
  <c r="X83" i="95"/>
  <c r="N83" i="95"/>
  <c r="L83" i="95"/>
  <c r="T79" i="95"/>
  <c r="Z79" i="95" s="1"/>
  <c r="P79" i="95"/>
  <c r="X79" i="95" s="1"/>
  <c r="N79" i="95"/>
  <c r="H79" i="95"/>
  <c r="D79" i="95"/>
  <c r="L79" i="95" s="1"/>
  <c r="Z77" i="95"/>
  <c r="X77" i="95"/>
  <c r="N77" i="95"/>
  <c r="L77" i="95"/>
  <c r="B77" i="95"/>
  <c r="X76" i="95"/>
  <c r="T76" i="95"/>
  <c r="Z76" i="95" s="1"/>
  <c r="P76" i="95"/>
  <c r="H76" i="95"/>
  <c r="N76" i="95" s="1"/>
  <c r="D76" i="95"/>
  <c r="L76" i="95" s="1"/>
  <c r="B76" i="95"/>
  <c r="X75" i="95"/>
  <c r="Z75" i="95" s="1"/>
  <c r="N75" i="95"/>
  <c r="L75" i="95"/>
  <c r="B75" i="95"/>
  <c r="T74" i="95"/>
  <c r="P74" i="95"/>
  <c r="X74" i="95" s="1"/>
  <c r="H74" i="95"/>
  <c r="D74" i="95"/>
  <c r="L74" i="95" s="1"/>
  <c r="N74" i="95" s="1"/>
  <c r="B74" i="95"/>
  <c r="Z73" i="95"/>
  <c r="X73" i="95"/>
  <c r="N73" i="95"/>
  <c r="L73" i="95"/>
  <c r="B73" i="95"/>
  <c r="Z72" i="95"/>
  <c r="X72" i="95"/>
  <c r="N72" i="95"/>
  <c r="L72" i="95"/>
  <c r="B72" i="95"/>
  <c r="Z71" i="95"/>
  <c r="X71" i="95"/>
  <c r="N71" i="95"/>
  <c r="L71" i="95"/>
  <c r="B71" i="95"/>
  <c r="Z70" i="95"/>
  <c r="X70" i="95"/>
  <c r="N70" i="95"/>
  <c r="L70" i="95"/>
  <c r="B70" i="95"/>
  <c r="Z69" i="95"/>
  <c r="X69" i="95"/>
  <c r="N69" i="95"/>
  <c r="L69" i="95"/>
  <c r="B69" i="95"/>
  <c r="Z68" i="95"/>
  <c r="X68" i="95"/>
  <c r="N68" i="95"/>
  <c r="L68" i="95"/>
  <c r="B68" i="95"/>
  <c r="T67" i="95"/>
  <c r="P67" i="95"/>
  <c r="X67" i="95" s="1"/>
  <c r="Z67" i="95" s="1"/>
  <c r="H67" i="95"/>
  <c r="N67" i="95" s="1"/>
  <c r="D67" i="95"/>
  <c r="L67" i="95" s="1"/>
  <c r="B67" i="95"/>
  <c r="Z66" i="95"/>
  <c r="X66" i="95"/>
  <c r="N66" i="95"/>
  <c r="L66" i="95"/>
  <c r="B66" i="95"/>
  <c r="Z65" i="95"/>
  <c r="X65" i="95"/>
  <c r="N65" i="95"/>
  <c r="L65" i="95"/>
  <c r="B65" i="95"/>
  <c r="X64" i="95"/>
  <c r="Z64" i="95" s="1"/>
  <c r="N64" i="95"/>
  <c r="L64" i="95"/>
  <c r="B64" i="95"/>
  <c r="T63" i="95"/>
  <c r="P63" i="95"/>
  <c r="X63" i="95" s="1"/>
  <c r="Z63" i="95" s="1"/>
  <c r="N63" i="95"/>
  <c r="H63" i="95"/>
  <c r="D63" i="95"/>
  <c r="L63" i="95" s="1"/>
  <c r="B63" i="95"/>
  <c r="Z62" i="95"/>
  <c r="X62" i="95"/>
  <c r="N62" i="95"/>
  <c r="L62" i="95"/>
  <c r="B62" i="95"/>
  <c r="Z61" i="95"/>
  <c r="X61" i="95"/>
  <c r="N61" i="95"/>
  <c r="L61" i="95"/>
  <c r="B61" i="95"/>
  <c r="X60" i="95"/>
  <c r="Z60" i="95" s="1"/>
  <c r="T60" i="95"/>
  <c r="P60" i="95"/>
  <c r="H60" i="95"/>
  <c r="N60" i="95" s="1"/>
  <c r="D60" i="95"/>
  <c r="B60" i="95"/>
  <c r="Z59" i="95"/>
  <c r="X59" i="95"/>
  <c r="N59" i="95"/>
  <c r="L59" i="95"/>
  <c r="B59" i="95"/>
  <c r="T58" i="95"/>
  <c r="Z58" i="95" s="1"/>
  <c r="P58" i="95"/>
  <c r="N58" i="95"/>
  <c r="H58" i="95"/>
  <c r="D58" i="95"/>
  <c r="L58" i="95" s="1"/>
  <c r="B58" i="95"/>
  <c r="X57" i="95"/>
  <c r="Z57" i="95" s="1"/>
  <c r="N57" i="95"/>
  <c r="L57" i="95"/>
  <c r="B57" i="95"/>
  <c r="T56" i="95"/>
  <c r="P56" i="95"/>
  <c r="X56" i="95" s="1"/>
  <c r="Z56" i="95" s="1"/>
  <c r="H56" i="95"/>
  <c r="N56" i="95" s="1"/>
  <c r="D56" i="95"/>
  <c r="L56" i="95" s="1"/>
  <c r="B56" i="95"/>
  <c r="Z55" i="95"/>
  <c r="X55" i="95"/>
  <c r="N55" i="95"/>
  <c r="L55" i="95"/>
  <c r="B55" i="95"/>
  <c r="T54" i="95"/>
  <c r="Z54" i="95" s="1"/>
  <c r="P54" i="95"/>
  <c r="X54" i="95" s="1"/>
  <c r="L54" i="95"/>
  <c r="H54" i="95"/>
  <c r="N54" i="95" s="1"/>
  <c r="D54" i="95"/>
  <c r="B54" i="95"/>
  <c r="Z53" i="95"/>
  <c r="X53" i="95"/>
  <c r="N53" i="95"/>
  <c r="L53" i="95"/>
  <c r="B53" i="95"/>
  <c r="X52" i="95"/>
  <c r="T52" i="95"/>
  <c r="Z52" i="95" s="1"/>
  <c r="P52" i="95"/>
  <c r="H52" i="95"/>
  <c r="N52" i="95" s="1"/>
  <c r="D52" i="95"/>
  <c r="B52" i="95"/>
  <c r="Z51" i="95"/>
  <c r="X51" i="95"/>
  <c r="N51" i="95"/>
  <c r="L51" i="95"/>
  <c r="B51" i="95"/>
  <c r="T50" i="95"/>
  <c r="Z50" i="95" s="1"/>
  <c r="P50" i="95"/>
  <c r="H50" i="95"/>
  <c r="N50" i="95" s="1"/>
  <c r="D50" i="95"/>
  <c r="L50" i="95" s="1"/>
  <c r="B50" i="95"/>
  <c r="Z49" i="95"/>
  <c r="X49" i="95"/>
  <c r="N49" i="95"/>
  <c r="L49" i="95"/>
  <c r="B49" i="95"/>
  <c r="T48" i="95"/>
  <c r="Z48" i="95" s="1"/>
  <c r="P48" i="95"/>
  <c r="X48" i="95" s="1"/>
  <c r="H48" i="95"/>
  <c r="N48" i="95" s="1"/>
  <c r="D48" i="95"/>
  <c r="L48" i="95" s="1"/>
  <c r="B48" i="95"/>
  <c r="Z47" i="95"/>
  <c r="X47" i="95"/>
  <c r="N47" i="95"/>
  <c r="L47" i="95"/>
  <c r="B47" i="95"/>
  <c r="T46" i="95"/>
  <c r="Z46" i="95" s="1"/>
  <c r="P46" i="95"/>
  <c r="X46" i="95" s="1"/>
  <c r="L46" i="95"/>
  <c r="H46" i="95"/>
  <c r="N46" i="95" s="1"/>
  <c r="D46" i="95"/>
  <c r="B46" i="95"/>
  <c r="Z45" i="95"/>
  <c r="X45" i="95"/>
  <c r="N45" i="95"/>
  <c r="L45" i="95"/>
  <c r="B45" i="95"/>
  <c r="X44" i="95"/>
  <c r="T44" i="95"/>
  <c r="Z44" i="95" s="1"/>
  <c r="P44" i="95"/>
  <c r="H44" i="95"/>
  <c r="N44" i="95" s="1"/>
  <c r="D44" i="95"/>
  <c r="B44" i="95"/>
  <c r="Z43" i="95"/>
  <c r="X43" i="95"/>
  <c r="N43" i="95"/>
  <c r="L43" i="95"/>
  <c r="B43" i="95"/>
  <c r="T42" i="95"/>
  <c r="P42" i="95"/>
  <c r="H42" i="95"/>
  <c r="N42" i="95" s="1"/>
  <c r="D42" i="95"/>
  <c r="L42" i="95" s="1"/>
  <c r="B42" i="95"/>
  <c r="Z41" i="95"/>
  <c r="X41" i="95"/>
  <c r="N41" i="95"/>
  <c r="L41" i="95"/>
  <c r="B41" i="95"/>
  <c r="T40" i="95"/>
  <c r="Z40" i="95" s="1"/>
  <c r="P40" i="95"/>
  <c r="X40" i="95" s="1"/>
  <c r="H40" i="95"/>
  <c r="N40" i="95" s="1"/>
  <c r="D40" i="95"/>
  <c r="L40" i="95" s="1"/>
  <c r="B40" i="95"/>
  <c r="Z39" i="95"/>
  <c r="X39" i="95"/>
  <c r="N39" i="95"/>
  <c r="L39" i="95"/>
  <c r="B39" i="95"/>
  <c r="Z38" i="95"/>
  <c r="X38" i="95"/>
  <c r="N38" i="95"/>
  <c r="L38" i="95"/>
  <c r="B38" i="95"/>
  <c r="Z37" i="95"/>
  <c r="X37" i="95"/>
  <c r="N37" i="95"/>
  <c r="L37" i="95"/>
  <c r="B37" i="95"/>
  <c r="X36" i="95"/>
  <c r="Z36" i="95" s="1"/>
  <c r="L36" i="95"/>
  <c r="N36" i="95" s="1"/>
  <c r="B36" i="95"/>
  <c r="Z35" i="95"/>
  <c r="X35" i="95"/>
  <c r="N35" i="95"/>
  <c r="L35" i="95"/>
  <c r="B35" i="95"/>
  <c r="T34" i="95"/>
  <c r="P34" i="95"/>
  <c r="L34" i="95"/>
  <c r="H34" i="95"/>
  <c r="D34" i="95"/>
  <c r="B34" i="95"/>
  <c r="Z33" i="95"/>
  <c r="X33" i="95"/>
  <c r="N33" i="95"/>
  <c r="L33" i="95"/>
  <c r="B33" i="95"/>
  <c r="X32" i="95"/>
  <c r="Z32" i="95" s="1"/>
  <c r="L32" i="95"/>
  <c r="N32" i="95" s="1"/>
  <c r="B32" i="95"/>
  <c r="Z31" i="95"/>
  <c r="X31" i="95"/>
  <c r="N31" i="95"/>
  <c r="L31" i="95"/>
  <c r="B31" i="95"/>
  <c r="X30" i="95"/>
  <c r="Z30" i="95" s="1"/>
  <c r="L30" i="95"/>
  <c r="N30" i="95" s="1"/>
  <c r="B30" i="95"/>
  <c r="Z29" i="95"/>
  <c r="X29" i="95"/>
  <c r="N29" i="95"/>
  <c r="L29" i="95"/>
  <c r="B29" i="95"/>
  <c r="X28" i="95"/>
  <c r="Z28" i="95" s="1"/>
  <c r="R28" i="95"/>
  <c r="N28" i="95"/>
  <c r="L28" i="95"/>
  <c r="B28" i="95"/>
  <c r="Z27" i="95"/>
  <c r="X27" i="95"/>
  <c r="V27" i="95"/>
  <c r="R27" i="95"/>
  <c r="N27" i="95"/>
  <c r="L27" i="95"/>
  <c r="B27" i="95"/>
  <c r="X26" i="95"/>
  <c r="Z26" i="95" s="1"/>
  <c r="R26" i="95"/>
  <c r="N26" i="95"/>
  <c r="L26" i="95"/>
  <c r="B26" i="95"/>
  <c r="X25" i="95"/>
  <c r="Z25" i="95" s="1"/>
  <c r="V25" i="95"/>
  <c r="N25" i="95"/>
  <c r="L25" i="95"/>
  <c r="B25" i="95"/>
  <c r="X24" i="95"/>
  <c r="V24" i="95"/>
  <c r="T24" i="95"/>
  <c r="Z24" i="95" s="1"/>
  <c r="P24" i="95"/>
  <c r="H24" i="95"/>
  <c r="D24" i="95"/>
  <c r="L24" i="95" s="1"/>
  <c r="B24" i="95"/>
  <c r="T23" i="95"/>
  <c r="P23" i="95"/>
  <c r="X23" i="95" s="1"/>
  <c r="Z23" i="95" s="1"/>
  <c r="H23" i="95"/>
  <c r="D23" i="95"/>
  <c r="L23" i="95" s="1"/>
  <c r="N23" i="95" s="1"/>
  <c r="Z19" i="95"/>
  <c r="X19" i="95"/>
  <c r="N19" i="95"/>
  <c r="L19" i="95"/>
  <c r="B19" i="95"/>
  <c r="Z18" i="95"/>
  <c r="X18" i="95"/>
  <c r="N18" i="95"/>
  <c r="L18" i="95"/>
  <c r="B18" i="95"/>
  <c r="T17" i="95"/>
  <c r="P17" i="95"/>
  <c r="N17" i="95"/>
  <c r="H17" i="95"/>
  <c r="F17" i="95"/>
  <c r="D17" i="95"/>
  <c r="L17" i="95" s="1"/>
  <c r="Z15" i="95"/>
  <c r="T15" i="95"/>
  <c r="T12" i="95" s="1"/>
  <c r="P15" i="95"/>
  <c r="X15" i="95" s="1"/>
  <c r="H15" i="95"/>
  <c r="N15" i="95" s="1"/>
  <c r="D15" i="95"/>
  <c r="B15" i="95"/>
  <c r="X14" i="95"/>
  <c r="T14" i="95"/>
  <c r="Z14" i="95" s="1"/>
  <c r="P14" i="95"/>
  <c r="L14" i="95"/>
  <c r="H14" i="95"/>
  <c r="N14" i="95" s="1"/>
  <c r="D14" i="95"/>
  <c r="D12" i="95" s="1"/>
  <c r="F31" i="95" s="1"/>
  <c r="B14" i="95"/>
  <c r="Z13" i="95"/>
  <c r="T13" i="95"/>
  <c r="P13" i="95"/>
  <c r="X13" i="95" s="1"/>
  <c r="N13" i="95"/>
  <c r="L13" i="95"/>
  <c r="H13" i="95"/>
  <c r="D13" i="95"/>
  <c r="B13" i="95"/>
  <c r="P12" i="95"/>
  <c r="D6" i="95"/>
  <c r="D4" i="95"/>
  <c r="X82" i="94"/>
  <c r="Z82" i="94" s="1"/>
  <c r="L82" i="94"/>
  <c r="N82" i="94" s="1"/>
  <c r="T78" i="94"/>
  <c r="Z78" i="94" s="1"/>
  <c r="P78" i="94"/>
  <c r="X78" i="94" s="1"/>
  <c r="N78" i="94"/>
  <c r="L78" i="94"/>
  <c r="H78" i="94"/>
  <c r="D78" i="94"/>
  <c r="X76" i="94"/>
  <c r="Z76" i="94" s="1"/>
  <c r="N76" i="94"/>
  <c r="L76" i="94"/>
  <c r="B76" i="94"/>
  <c r="X75" i="94"/>
  <c r="Z75" i="94" s="1"/>
  <c r="T75" i="94"/>
  <c r="P75" i="94"/>
  <c r="H75" i="94"/>
  <c r="D75" i="94"/>
  <c r="B75" i="94"/>
  <c r="Z74" i="94"/>
  <c r="X74" i="94"/>
  <c r="N74" i="94"/>
  <c r="L74" i="94"/>
  <c r="B74" i="94"/>
  <c r="T73" i="94"/>
  <c r="P73" i="94"/>
  <c r="H73" i="94"/>
  <c r="D73" i="94"/>
  <c r="L73" i="94" s="1"/>
  <c r="N73" i="94" s="1"/>
  <c r="B73" i="94"/>
  <c r="X72" i="94"/>
  <c r="Z72" i="94" s="1"/>
  <c r="L72" i="94"/>
  <c r="N72" i="94" s="1"/>
  <c r="B72" i="94"/>
  <c r="Z71" i="94"/>
  <c r="X71" i="94"/>
  <c r="N71" i="94"/>
  <c r="L71" i="94"/>
  <c r="B71" i="94"/>
  <c r="Z70" i="94"/>
  <c r="X70" i="94"/>
  <c r="N70" i="94"/>
  <c r="L70" i="94"/>
  <c r="B70" i="94"/>
  <c r="X69" i="94"/>
  <c r="Z69" i="94" s="1"/>
  <c r="R69" i="94"/>
  <c r="N69" i="94"/>
  <c r="L69" i="94"/>
  <c r="B69" i="94"/>
  <c r="X68" i="94"/>
  <c r="Z68" i="94" s="1"/>
  <c r="L68" i="94"/>
  <c r="N68" i="94" s="1"/>
  <c r="B68" i="94"/>
  <c r="Z67" i="94"/>
  <c r="X67" i="94"/>
  <c r="N67" i="94"/>
  <c r="L67" i="94"/>
  <c r="B67" i="94"/>
  <c r="Z66" i="94"/>
  <c r="X66" i="94"/>
  <c r="N66" i="94"/>
  <c r="L66" i="94"/>
  <c r="B66" i="94"/>
  <c r="T65" i="94"/>
  <c r="P65" i="94"/>
  <c r="X65" i="94" s="1"/>
  <c r="Z65" i="94" s="1"/>
  <c r="N65" i="94"/>
  <c r="L65" i="94"/>
  <c r="H65" i="94"/>
  <c r="D65" i="94"/>
  <c r="B65" i="94"/>
  <c r="X64" i="94"/>
  <c r="Z64" i="94" s="1"/>
  <c r="L64" i="94"/>
  <c r="N64" i="94" s="1"/>
  <c r="B64" i="94"/>
  <c r="X63" i="94"/>
  <c r="Z63" i="94" s="1"/>
  <c r="T63" i="94"/>
  <c r="P63" i="94"/>
  <c r="H63" i="94"/>
  <c r="D63" i="94"/>
  <c r="B63" i="94"/>
  <c r="Z62" i="94"/>
  <c r="X62" i="94"/>
  <c r="R62" i="94"/>
  <c r="N62" i="94"/>
  <c r="L62" i="94"/>
  <c r="B62" i="94"/>
  <c r="X61" i="94"/>
  <c r="Z61" i="94" s="1"/>
  <c r="N61" i="94"/>
  <c r="L61" i="94"/>
  <c r="B61" i="94"/>
  <c r="X60" i="94"/>
  <c r="Z60" i="94" s="1"/>
  <c r="N60" i="94"/>
  <c r="L60" i="94"/>
  <c r="B60" i="94"/>
  <c r="Z59" i="94"/>
  <c r="X59" i="94"/>
  <c r="T59" i="94"/>
  <c r="P59" i="94"/>
  <c r="H59" i="94"/>
  <c r="D59" i="94"/>
  <c r="B59" i="94"/>
  <c r="Z58" i="94"/>
  <c r="X58" i="94"/>
  <c r="N58" i="94"/>
  <c r="L58" i="94"/>
  <c r="B58" i="94"/>
  <c r="X57" i="94"/>
  <c r="Z57" i="94" s="1"/>
  <c r="R57" i="94"/>
  <c r="N57" i="94"/>
  <c r="L57" i="94"/>
  <c r="B57" i="94"/>
  <c r="X56" i="94"/>
  <c r="T56" i="94"/>
  <c r="Z56" i="94" s="1"/>
  <c r="P56" i="94"/>
  <c r="H56" i="94"/>
  <c r="D56" i="94"/>
  <c r="B56" i="94"/>
  <c r="Z55" i="94"/>
  <c r="X55" i="94"/>
  <c r="N55" i="94"/>
  <c r="L55" i="94"/>
  <c r="B55" i="94"/>
  <c r="T54" i="94"/>
  <c r="P54" i="94"/>
  <c r="H54" i="94"/>
  <c r="D54" i="94"/>
  <c r="L54" i="94" s="1"/>
  <c r="B54" i="94"/>
  <c r="Z53" i="94"/>
  <c r="X53" i="94"/>
  <c r="N53" i="94"/>
  <c r="L53" i="94"/>
  <c r="B53" i="94"/>
  <c r="T52" i="94"/>
  <c r="Z52" i="94" s="1"/>
  <c r="P52" i="94"/>
  <c r="X52" i="94" s="1"/>
  <c r="N52" i="94"/>
  <c r="H52" i="94"/>
  <c r="L52" i="94" s="1"/>
  <c r="D52" i="94"/>
  <c r="B52" i="94"/>
  <c r="X51" i="94"/>
  <c r="Z51" i="94" s="1"/>
  <c r="N51" i="94"/>
  <c r="L51" i="94"/>
  <c r="B51" i="94"/>
  <c r="Z50" i="94"/>
  <c r="T50" i="94"/>
  <c r="X50" i="94" s="1"/>
  <c r="P50" i="94"/>
  <c r="L50" i="94"/>
  <c r="H50" i="94"/>
  <c r="N50" i="94" s="1"/>
  <c r="D50" i="94"/>
  <c r="B50" i="94"/>
  <c r="X49" i="94"/>
  <c r="Z49" i="94" s="1"/>
  <c r="N49" i="94"/>
  <c r="L49" i="94"/>
  <c r="B49" i="94"/>
  <c r="X48" i="94"/>
  <c r="T48" i="94"/>
  <c r="Z48" i="94" s="1"/>
  <c r="P48" i="94"/>
  <c r="H48" i="94"/>
  <c r="D48" i="94"/>
  <c r="L48" i="94" s="1"/>
  <c r="B48" i="94"/>
  <c r="Z47" i="94"/>
  <c r="X47" i="94"/>
  <c r="N47" i="94"/>
  <c r="L47" i="94"/>
  <c r="B47" i="94"/>
  <c r="T46" i="94"/>
  <c r="P46" i="94"/>
  <c r="X46" i="94" s="1"/>
  <c r="H46" i="94"/>
  <c r="D46" i="94"/>
  <c r="L46" i="94" s="1"/>
  <c r="B46" i="94"/>
  <c r="Z45" i="94"/>
  <c r="X45" i="94"/>
  <c r="L45" i="94"/>
  <c r="N45" i="94" s="1"/>
  <c r="B45" i="94"/>
  <c r="T44" i="94"/>
  <c r="Z44" i="94" s="1"/>
  <c r="P44" i="94"/>
  <c r="X44" i="94" s="1"/>
  <c r="N44" i="94"/>
  <c r="H44" i="94"/>
  <c r="L44" i="94" s="1"/>
  <c r="D44" i="94"/>
  <c r="B44" i="94"/>
  <c r="Z43" i="94"/>
  <c r="X43" i="94"/>
  <c r="N43" i="94"/>
  <c r="L43" i="94"/>
  <c r="B43" i="94"/>
  <c r="T42" i="94"/>
  <c r="X42" i="94" s="1"/>
  <c r="Z42" i="94" s="1"/>
  <c r="P42" i="94"/>
  <c r="L42" i="94"/>
  <c r="H42" i="94"/>
  <c r="N42" i="94" s="1"/>
  <c r="D42" i="94"/>
  <c r="B42" i="94"/>
  <c r="X41" i="94"/>
  <c r="Z41" i="94" s="1"/>
  <c r="N41" i="94"/>
  <c r="L41" i="94"/>
  <c r="B41" i="94"/>
  <c r="X40" i="94"/>
  <c r="T40" i="94"/>
  <c r="P40" i="94"/>
  <c r="H40" i="94"/>
  <c r="N40" i="94" s="1"/>
  <c r="D40" i="94"/>
  <c r="B40" i="94"/>
  <c r="Z39" i="94"/>
  <c r="X39" i="94"/>
  <c r="N39" i="94"/>
  <c r="L39" i="94"/>
  <c r="B39" i="94"/>
  <c r="X38" i="94"/>
  <c r="Z38" i="94" s="1"/>
  <c r="N38" i="94"/>
  <c r="L38" i="94"/>
  <c r="B38" i="94"/>
  <c r="X37" i="94"/>
  <c r="Z37" i="94" s="1"/>
  <c r="N37" i="94"/>
  <c r="L37" i="94"/>
  <c r="B37" i="94"/>
  <c r="X36" i="94"/>
  <c r="Z36" i="94" s="1"/>
  <c r="L36" i="94"/>
  <c r="N36" i="94" s="1"/>
  <c r="B36" i="94"/>
  <c r="Z35" i="94"/>
  <c r="X35" i="94"/>
  <c r="N35" i="94"/>
  <c r="L35" i="94"/>
  <c r="B35" i="94"/>
  <c r="Z34" i="94"/>
  <c r="T34" i="94"/>
  <c r="X34" i="94" s="1"/>
  <c r="P34" i="94"/>
  <c r="L34" i="94"/>
  <c r="H34" i="94"/>
  <c r="D34" i="94"/>
  <c r="B34" i="94"/>
  <c r="X33" i="94"/>
  <c r="Z33" i="94" s="1"/>
  <c r="N33" i="94"/>
  <c r="L33" i="94"/>
  <c r="B33" i="94"/>
  <c r="X32" i="94"/>
  <c r="Z32" i="94" s="1"/>
  <c r="L32" i="94"/>
  <c r="N32" i="94" s="1"/>
  <c r="B32" i="94"/>
  <c r="X31" i="94"/>
  <c r="Z31" i="94" s="1"/>
  <c r="N31" i="94"/>
  <c r="L31" i="94"/>
  <c r="B31" i="94"/>
  <c r="Z30" i="94"/>
  <c r="X30" i="94"/>
  <c r="L30" i="94"/>
  <c r="N30" i="94" s="1"/>
  <c r="B30" i="94"/>
  <c r="Z29" i="94"/>
  <c r="X29" i="94"/>
  <c r="L29" i="94"/>
  <c r="N29" i="94" s="1"/>
  <c r="J29" i="94"/>
  <c r="B29" i="94"/>
  <c r="X28" i="94"/>
  <c r="Z28" i="94" s="1"/>
  <c r="L28" i="94"/>
  <c r="N28" i="94" s="1"/>
  <c r="B28" i="94"/>
  <c r="Z27" i="94"/>
  <c r="X27" i="94"/>
  <c r="N27" i="94"/>
  <c r="L27" i="94"/>
  <c r="B27" i="94"/>
  <c r="X26" i="94"/>
  <c r="Z26" i="94" s="1"/>
  <c r="N26" i="94"/>
  <c r="L26" i="94"/>
  <c r="B26" i="94"/>
  <c r="X25" i="94"/>
  <c r="Z25" i="94" s="1"/>
  <c r="N25" i="94"/>
  <c r="L25" i="94"/>
  <c r="B25" i="94"/>
  <c r="X24" i="94"/>
  <c r="T24" i="94"/>
  <c r="P24" i="94"/>
  <c r="H24" i="94"/>
  <c r="D24" i="94"/>
  <c r="L24" i="94" s="1"/>
  <c r="B24" i="94"/>
  <c r="T23" i="94"/>
  <c r="R23" i="94"/>
  <c r="P23" i="94"/>
  <c r="X23" i="94" s="1"/>
  <c r="Z23" i="94" s="1"/>
  <c r="H23" i="94"/>
  <c r="D23" i="94"/>
  <c r="L23" i="94" s="1"/>
  <c r="N23" i="94" s="1"/>
  <c r="H21" i="94"/>
  <c r="Z19" i="94"/>
  <c r="X19" i="94"/>
  <c r="L19" i="94"/>
  <c r="N19" i="94" s="1"/>
  <c r="B19" i="94"/>
  <c r="Z18" i="94"/>
  <c r="X18" i="94"/>
  <c r="R18" i="94"/>
  <c r="N18" i="94"/>
  <c r="L18" i="94"/>
  <c r="B18" i="94"/>
  <c r="T17" i="94"/>
  <c r="P17" i="94"/>
  <c r="H17" i="94"/>
  <c r="D17" i="94"/>
  <c r="L17" i="94" s="1"/>
  <c r="N17" i="94" s="1"/>
  <c r="T15" i="94"/>
  <c r="Z15" i="94" s="1"/>
  <c r="P15" i="94"/>
  <c r="X15" i="94" s="1"/>
  <c r="H15" i="94"/>
  <c r="D15" i="94"/>
  <c r="B15" i="94"/>
  <c r="X14" i="94"/>
  <c r="T14" i="94"/>
  <c r="Z14" i="94" s="1"/>
  <c r="P14" i="94"/>
  <c r="L14" i="94"/>
  <c r="H14" i="94"/>
  <c r="D14" i="94"/>
  <c r="B14" i="94"/>
  <c r="T13" i="94"/>
  <c r="P13" i="94"/>
  <c r="X13" i="94" s="1"/>
  <c r="Z13" i="94" s="1"/>
  <c r="L13" i="94"/>
  <c r="N13" i="94" s="1"/>
  <c r="H13" i="94"/>
  <c r="H12" i="94" s="1"/>
  <c r="J63" i="94" s="1"/>
  <c r="D13" i="94"/>
  <c r="B13" i="94"/>
  <c r="P12" i="94"/>
  <c r="R26" i="94" s="1"/>
  <c r="D6" i="94"/>
  <c r="D4" i="94"/>
  <c r="V31" i="93"/>
  <c r="F31" i="93"/>
  <c r="Z26" i="93"/>
  <c r="X26" i="93"/>
  <c r="V26" i="93"/>
  <c r="N26" i="93"/>
  <c r="L26" i="93"/>
  <c r="V24" i="93"/>
  <c r="T22" i="93"/>
  <c r="Z22" i="93" s="1"/>
  <c r="P22" i="93"/>
  <c r="X22" i="93" s="1"/>
  <c r="H22" i="93"/>
  <c r="D22" i="93"/>
  <c r="X20" i="93"/>
  <c r="Z20" i="93" s="1"/>
  <c r="V20" i="93"/>
  <c r="N20" i="93"/>
  <c r="L20" i="93"/>
  <c r="B20" i="93"/>
  <c r="X19" i="93"/>
  <c r="Z19" i="93" s="1"/>
  <c r="V19" i="93"/>
  <c r="T19" i="93"/>
  <c r="P19" i="93"/>
  <c r="J19" i="93"/>
  <c r="H19" i="93"/>
  <c r="D19" i="93"/>
  <c r="B19" i="93"/>
  <c r="V18" i="93"/>
  <c r="T18" i="93"/>
  <c r="P18" i="93"/>
  <c r="X18" i="93" s="1"/>
  <c r="H18" i="93"/>
  <c r="N18" i="93" s="1"/>
  <c r="F18" i="93"/>
  <c r="D18" i="93"/>
  <c r="L18" i="93" s="1"/>
  <c r="H16" i="93"/>
  <c r="V14" i="93"/>
  <c r="T14" i="93"/>
  <c r="Z14" i="93" s="1"/>
  <c r="P14" i="93"/>
  <c r="X14" i="93" s="1"/>
  <c r="H14" i="93"/>
  <c r="N14" i="93" s="1"/>
  <c r="F14" i="93"/>
  <c r="D14" i="93"/>
  <c r="L14" i="93" s="1"/>
  <c r="Z12" i="93"/>
  <c r="T12" i="93"/>
  <c r="V16" i="93" s="1"/>
  <c r="P12" i="93"/>
  <c r="H12" i="93"/>
  <c r="J16" i="93" s="1"/>
  <c r="D12" i="93"/>
  <c r="D6" i="93"/>
  <c r="D4" i="93"/>
  <c r="X81" i="92"/>
  <c r="Z81" i="92" s="1"/>
  <c r="N81" i="92"/>
  <c r="L81" i="92"/>
  <c r="T77" i="92"/>
  <c r="Z77" i="92" s="1"/>
  <c r="P77" i="92"/>
  <c r="X77" i="92" s="1"/>
  <c r="H77" i="92"/>
  <c r="N77" i="92" s="1"/>
  <c r="D77" i="92"/>
  <c r="X75" i="92"/>
  <c r="Z75" i="92" s="1"/>
  <c r="L75" i="92"/>
  <c r="N75" i="92" s="1"/>
  <c r="B75" i="92"/>
  <c r="T74" i="92"/>
  <c r="P74" i="92"/>
  <c r="X74" i="92" s="1"/>
  <c r="N74" i="92"/>
  <c r="L74" i="92"/>
  <c r="H74" i="92"/>
  <c r="D74" i="92"/>
  <c r="B74" i="92"/>
  <c r="Z73" i="92"/>
  <c r="X73" i="92"/>
  <c r="N73" i="92"/>
  <c r="L73" i="92"/>
  <c r="B73" i="92"/>
  <c r="Z72" i="92"/>
  <c r="X72" i="92"/>
  <c r="N72" i="92"/>
  <c r="L72" i="92"/>
  <c r="B72" i="92"/>
  <c r="Z71" i="92"/>
  <c r="X71" i="92"/>
  <c r="N71" i="92"/>
  <c r="L71" i="92"/>
  <c r="B71" i="92"/>
  <c r="Z70" i="92"/>
  <c r="X70" i="92"/>
  <c r="N70" i="92"/>
  <c r="L70" i="92"/>
  <c r="B70" i="92"/>
  <c r="X69" i="92"/>
  <c r="Z69" i="92" s="1"/>
  <c r="N69" i="92"/>
  <c r="L69" i="92"/>
  <c r="B69" i="92"/>
  <c r="Z68" i="92"/>
  <c r="X68" i="92"/>
  <c r="N68" i="92"/>
  <c r="L68" i="92"/>
  <c r="B68" i="92"/>
  <c r="X67" i="92"/>
  <c r="Z67" i="92" s="1"/>
  <c r="V67" i="92"/>
  <c r="N67" i="92"/>
  <c r="L67" i="92"/>
  <c r="B67" i="92"/>
  <c r="Z66" i="92"/>
  <c r="X66" i="92"/>
  <c r="N66" i="92"/>
  <c r="L66" i="92"/>
  <c r="B66" i="92"/>
  <c r="X65" i="92"/>
  <c r="Z65" i="92" s="1"/>
  <c r="T65" i="92"/>
  <c r="P65" i="92"/>
  <c r="H65" i="92"/>
  <c r="D65" i="92"/>
  <c r="B65" i="92"/>
  <c r="Z64" i="92"/>
  <c r="X64" i="92"/>
  <c r="N64" i="92"/>
  <c r="L64" i="92"/>
  <c r="B64" i="92"/>
  <c r="X63" i="92"/>
  <c r="Z63" i="92" s="1"/>
  <c r="N63" i="92"/>
  <c r="L63" i="92"/>
  <c r="B63" i="92"/>
  <c r="X62" i="92"/>
  <c r="Z62" i="92" s="1"/>
  <c r="V62" i="92"/>
  <c r="N62" i="92"/>
  <c r="L62" i="92"/>
  <c r="B62" i="92"/>
  <c r="Z61" i="92"/>
  <c r="X61" i="92"/>
  <c r="T61" i="92"/>
  <c r="P61" i="92"/>
  <c r="H61" i="92"/>
  <c r="D61" i="92"/>
  <c r="B61" i="92"/>
  <c r="Z60" i="92"/>
  <c r="X60" i="92"/>
  <c r="N60" i="92"/>
  <c r="L60" i="92"/>
  <c r="B60" i="92"/>
  <c r="X59" i="92"/>
  <c r="Z59" i="92" s="1"/>
  <c r="N59" i="92"/>
  <c r="L59" i="92"/>
  <c r="B59" i="92"/>
  <c r="X58" i="92"/>
  <c r="V58" i="92"/>
  <c r="T58" i="92"/>
  <c r="P58" i="92"/>
  <c r="H58" i="92"/>
  <c r="N58" i="92" s="1"/>
  <c r="D58" i="92"/>
  <c r="B58" i="92"/>
  <c r="X57" i="92"/>
  <c r="Z57" i="92" s="1"/>
  <c r="N57" i="92"/>
  <c r="L57" i="92"/>
  <c r="B57" i="92"/>
  <c r="T56" i="92"/>
  <c r="P56" i="92"/>
  <c r="H56" i="92"/>
  <c r="D56" i="92"/>
  <c r="L56" i="92" s="1"/>
  <c r="B56" i="92"/>
  <c r="Z55" i="92"/>
  <c r="X55" i="92"/>
  <c r="N55" i="92"/>
  <c r="L55" i="92"/>
  <c r="B55" i="92"/>
  <c r="T54" i="92"/>
  <c r="Z54" i="92" s="1"/>
  <c r="P54" i="92"/>
  <c r="X54" i="92" s="1"/>
  <c r="N54" i="92"/>
  <c r="L54" i="92"/>
  <c r="H54" i="92"/>
  <c r="D54" i="92"/>
  <c r="B54" i="92"/>
  <c r="X53" i="92"/>
  <c r="Z53" i="92" s="1"/>
  <c r="L53" i="92"/>
  <c r="N53" i="92" s="1"/>
  <c r="B53" i="92"/>
  <c r="Z52" i="92"/>
  <c r="X52" i="92"/>
  <c r="T52" i="92"/>
  <c r="P52" i="92"/>
  <c r="L52" i="92"/>
  <c r="H52" i="92"/>
  <c r="D52" i="92"/>
  <c r="B52" i="92"/>
  <c r="Z51" i="92"/>
  <c r="X51" i="92"/>
  <c r="N51" i="92"/>
  <c r="L51" i="92"/>
  <c r="B51" i="92"/>
  <c r="X50" i="92"/>
  <c r="T50" i="92"/>
  <c r="Z50" i="92" s="1"/>
  <c r="P50" i="92"/>
  <c r="H50" i="92"/>
  <c r="N50" i="92" s="1"/>
  <c r="D50" i="92"/>
  <c r="B50" i="92"/>
  <c r="Z49" i="92"/>
  <c r="X49" i="92"/>
  <c r="N49" i="92"/>
  <c r="L49" i="92"/>
  <c r="B49" i="92"/>
  <c r="T48" i="92"/>
  <c r="Z48" i="92" s="1"/>
  <c r="P48" i="92"/>
  <c r="H48" i="92"/>
  <c r="N48" i="92" s="1"/>
  <c r="D48" i="92"/>
  <c r="L48" i="92" s="1"/>
  <c r="B48" i="92"/>
  <c r="Z47" i="92"/>
  <c r="X47" i="92"/>
  <c r="N47" i="92"/>
  <c r="L47" i="92"/>
  <c r="B47" i="92"/>
  <c r="T46" i="92"/>
  <c r="Z46" i="92" s="1"/>
  <c r="P46" i="92"/>
  <c r="X46" i="92" s="1"/>
  <c r="N46" i="92"/>
  <c r="L46" i="92"/>
  <c r="H46" i="92"/>
  <c r="D46" i="92"/>
  <c r="B46" i="92"/>
  <c r="Z45" i="92"/>
  <c r="X45" i="92"/>
  <c r="N45" i="92"/>
  <c r="L45" i="92"/>
  <c r="B45" i="92"/>
  <c r="Z44" i="92"/>
  <c r="X44" i="92"/>
  <c r="T44" i="92"/>
  <c r="P44" i="92"/>
  <c r="L44" i="92"/>
  <c r="H44" i="92"/>
  <c r="N44" i="92" s="1"/>
  <c r="D44" i="92"/>
  <c r="B44" i="92"/>
  <c r="Z43" i="92"/>
  <c r="X43" i="92"/>
  <c r="N43" i="92"/>
  <c r="L43" i="92"/>
  <c r="B43" i="92"/>
  <c r="X42" i="92"/>
  <c r="T42" i="92"/>
  <c r="Z42" i="92" s="1"/>
  <c r="P42" i="92"/>
  <c r="H42" i="92"/>
  <c r="N42" i="92" s="1"/>
  <c r="D42" i="92"/>
  <c r="L42" i="92" s="1"/>
  <c r="B42" i="92"/>
  <c r="X41" i="92"/>
  <c r="Z41" i="92" s="1"/>
  <c r="N41" i="92"/>
  <c r="L41" i="92"/>
  <c r="B41" i="92"/>
  <c r="T40" i="92"/>
  <c r="P40" i="92"/>
  <c r="X40" i="92" s="1"/>
  <c r="H40" i="92"/>
  <c r="N40" i="92" s="1"/>
  <c r="D40" i="92"/>
  <c r="L40" i="92" s="1"/>
  <c r="B40" i="92"/>
  <c r="Z39" i="92"/>
  <c r="X39" i="92"/>
  <c r="N39" i="92"/>
  <c r="L39" i="92"/>
  <c r="B39" i="92"/>
  <c r="Z38" i="92"/>
  <c r="X38" i="92"/>
  <c r="N38" i="92"/>
  <c r="L38" i="92"/>
  <c r="B38" i="92"/>
  <c r="Z37" i="92"/>
  <c r="X37" i="92"/>
  <c r="N37" i="92"/>
  <c r="L37" i="92"/>
  <c r="B37" i="92"/>
  <c r="Z36" i="92"/>
  <c r="X36" i="92"/>
  <c r="N36" i="92"/>
  <c r="L36" i="92"/>
  <c r="B36" i="92"/>
  <c r="Z35" i="92"/>
  <c r="X35" i="92"/>
  <c r="N35" i="92"/>
  <c r="L35" i="92"/>
  <c r="B35" i="92"/>
  <c r="X34" i="92"/>
  <c r="T34" i="92"/>
  <c r="Z34" i="92" s="1"/>
  <c r="P34" i="92"/>
  <c r="H34" i="92"/>
  <c r="D34" i="92"/>
  <c r="L34" i="92" s="1"/>
  <c r="B34" i="92"/>
  <c r="X33" i="92"/>
  <c r="Z33" i="92" s="1"/>
  <c r="N33" i="92"/>
  <c r="L33" i="92"/>
  <c r="B33" i="92"/>
  <c r="Z32" i="92"/>
  <c r="X32" i="92"/>
  <c r="N32" i="92"/>
  <c r="L32" i="92"/>
  <c r="B32" i="92"/>
  <c r="Z31" i="92"/>
  <c r="X31" i="92"/>
  <c r="N31" i="92"/>
  <c r="L31" i="92"/>
  <c r="B31" i="92"/>
  <c r="X30" i="92"/>
  <c r="Z30" i="92" s="1"/>
  <c r="L30" i="92"/>
  <c r="N30" i="92" s="1"/>
  <c r="B30" i="92"/>
  <c r="X29" i="92"/>
  <c r="Z29" i="92" s="1"/>
  <c r="L29" i="92"/>
  <c r="N29" i="92" s="1"/>
  <c r="B29" i="92"/>
  <c r="Z28" i="92"/>
  <c r="X28" i="92"/>
  <c r="N28" i="92"/>
  <c r="L28" i="92"/>
  <c r="B28" i="92"/>
  <c r="Z27" i="92"/>
  <c r="X27" i="92"/>
  <c r="N27" i="92"/>
  <c r="L27" i="92"/>
  <c r="B27" i="92"/>
  <c r="X26" i="92"/>
  <c r="Z26" i="92" s="1"/>
  <c r="L26" i="92"/>
  <c r="N26" i="92" s="1"/>
  <c r="B26" i="92"/>
  <c r="X25" i="92"/>
  <c r="Z25" i="92" s="1"/>
  <c r="N25" i="92"/>
  <c r="L25" i="92"/>
  <c r="B25" i="92"/>
  <c r="T24" i="92"/>
  <c r="P24" i="92"/>
  <c r="X24" i="92" s="1"/>
  <c r="H24" i="92"/>
  <c r="N24" i="92" s="1"/>
  <c r="D24" i="92"/>
  <c r="L24" i="92" s="1"/>
  <c r="B24" i="92"/>
  <c r="Z23" i="92"/>
  <c r="T23" i="92"/>
  <c r="P23" i="92"/>
  <c r="X23" i="92" s="1"/>
  <c r="L23" i="92"/>
  <c r="N23" i="92" s="1"/>
  <c r="H23" i="92"/>
  <c r="D23" i="92"/>
  <c r="T21" i="92"/>
  <c r="Z19" i="92"/>
  <c r="X19" i="92"/>
  <c r="N19" i="92"/>
  <c r="L19" i="92"/>
  <c r="B19" i="92"/>
  <c r="Z18" i="92"/>
  <c r="X18" i="92"/>
  <c r="V18" i="92"/>
  <c r="N18" i="92"/>
  <c r="L18" i="92"/>
  <c r="B18" i="92"/>
  <c r="T17" i="92"/>
  <c r="P17" i="92"/>
  <c r="X17" i="92" s="1"/>
  <c r="N17" i="92"/>
  <c r="H17" i="92"/>
  <c r="L17" i="92" s="1"/>
  <c r="D17" i="92"/>
  <c r="T15" i="92"/>
  <c r="P15" i="92"/>
  <c r="N15" i="92"/>
  <c r="L15" i="92"/>
  <c r="H15" i="92"/>
  <c r="D15" i="92"/>
  <c r="B15" i="92"/>
  <c r="X14" i="92"/>
  <c r="Z14" i="92" s="1"/>
  <c r="T14" i="92"/>
  <c r="P14" i="92"/>
  <c r="N14" i="92"/>
  <c r="H14" i="92"/>
  <c r="D14" i="92"/>
  <c r="L14" i="92" s="1"/>
  <c r="B14" i="92"/>
  <c r="T13" i="92"/>
  <c r="P13" i="92"/>
  <c r="H13" i="92"/>
  <c r="D13" i="92"/>
  <c r="B13" i="92"/>
  <c r="T12" i="92"/>
  <c r="V50" i="92" s="1"/>
  <c r="D6" i="92"/>
  <c r="D4" i="92"/>
  <c r="J50" i="91"/>
  <c r="Z48" i="91"/>
  <c r="X48" i="91"/>
  <c r="R48" i="91"/>
  <c r="N48" i="91"/>
  <c r="L48" i="91"/>
  <c r="Z44" i="91"/>
  <c r="X44" i="91"/>
  <c r="T44" i="91"/>
  <c r="P44" i="91"/>
  <c r="H44" i="91"/>
  <c r="D44" i="91"/>
  <c r="Z42" i="91"/>
  <c r="X42" i="91"/>
  <c r="N42" i="91"/>
  <c r="L42" i="91"/>
  <c r="B42" i="91"/>
  <c r="V41" i="91"/>
  <c r="T41" i="91"/>
  <c r="Z41" i="91" s="1"/>
  <c r="P41" i="91"/>
  <c r="N41" i="91"/>
  <c r="H41" i="91"/>
  <c r="D41" i="91"/>
  <c r="L41" i="91" s="1"/>
  <c r="B41" i="91"/>
  <c r="X40" i="91"/>
  <c r="Z40" i="91" s="1"/>
  <c r="L40" i="91"/>
  <c r="N40" i="91" s="1"/>
  <c r="B40" i="91"/>
  <c r="X39" i="91"/>
  <c r="Z39" i="91" s="1"/>
  <c r="T39" i="91"/>
  <c r="P39" i="91"/>
  <c r="N39" i="91"/>
  <c r="H39" i="91"/>
  <c r="L39" i="91" s="1"/>
  <c r="D39" i="91"/>
  <c r="B39" i="91"/>
  <c r="Z38" i="91"/>
  <c r="X38" i="91"/>
  <c r="N38" i="91"/>
  <c r="L38" i="91"/>
  <c r="B38" i="91"/>
  <c r="Z37" i="91"/>
  <c r="X37" i="91"/>
  <c r="R37" i="91"/>
  <c r="N37" i="91"/>
  <c r="L37" i="91"/>
  <c r="B37" i="91"/>
  <c r="T36" i="91"/>
  <c r="P36" i="91"/>
  <c r="X36" i="91" s="1"/>
  <c r="Z36" i="91" s="1"/>
  <c r="N36" i="91"/>
  <c r="L36" i="91"/>
  <c r="H36" i="91"/>
  <c r="D36" i="91"/>
  <c r="B36" i="91"/>
  <c r="Z35" i="91"/>
  <c r="X35" i="91"/>
  <c r="V35" i="91"/>
  <c r="N35" i="91"/>
  <c r="L35" i="91"/>
  <c r="B35" i="91"/>
  <c r="Z34" i="91"/>
  <c r="X34" i="91"/>
  <c r="T34" i="91"/>
  <c r="R34" i="91"/>
  <c r="P34" i="91"/>
  <c r="H34" i="91"/>
  <c r="N34" i="91" s="1"/>
  <c r="D34" i="91"/>
  <c r="B34" i="91"/>
  <c r="X33" i="91"/>
  <c r="Z33" i="91" s="1"/>
  <c r="V33" i="91"/>
  <c r="R33" i="91"/>
  <c r="N33" i="91"/>
  <c r="L33" i="91"/>
  <c r="J33" i="91"/>
  <c r="B33" i="91"/>
  <c r="X32" i="91"/>
  <c r="Z32" i="91" s="1"/>
  <c r="V32" i="91"/>
  <c r="T32" i="91"/>
  <c r="P32" i="91"/>
  <c r="H32" i="91"/>
  <c r="N32" i="91" s="1"/>
  <c r="F32" i="91"/>
  <c r="D32" i="91"/>
  <c r="L32" i="91" s="1"/>
  <c r="B32" i="91"/>
  <c r="Z31" i="91"/>
  <c r="X31" i="91"/>
  <c r="N31" i="91"/>
  <c r="L31" i="91"/>
  <c r="B31" i="91"/>
  <c r="V30" i="91"/>
  <c r="T30" i="91"/>
  <c r="Z30" i="91" s="1"/>
  <c r="R30" i="91"/>
  <c r="P30" i="91"/>
  <c r="H30" i="91"/>
  <c r="N30" i="91" s="1"/>
  <c r="D30" i="91"/>
  <c r="L30" i="91" s="1"/>
  <c r="B30" i="91"/>
  <c r="Z29" i="91"/>
  <c r="X29" i="91"/>
  <c r="V29" i="91"/>
  <c r="L29" i="91"/>
  <c r="N29" i="91" s="1"/>
  <c r="J29" i="91"/>
  <c r="B29" i="91"/>
  <c r="V28" i="91"/>
  <c r="T28" i="91"/>
  <c r="P28" i="91"/>
  <c r="X28" i="91" s="1"/>
  <c r="N28" i="91"/>
  <c r="H28" i="91"/>
  <c r="L28" i="91" s="1"/>
  <c r="D28" i="91"/>
  <c r="B28" i="91"/>
  <c r="Z27" i="91"/>
  <c r="X27" i="91"/>
  <c r="V27" i="91"/>
  <c r="N27" i="91"/>
  <c r="L27" i="91"/>
  <c r="B27" i="91"/>
  <c r="Z26" i="91"/>
  <c r="X26" i="91"/>
  <c r="N26" i="91"/>
  <c r="L26" i="91"/>
  <c r="B26" i="91"/>
  <c r="Z25" i="91"/>
  <c r="X25" i="91"/>
  <c r="V25" i="91"/>
  <c r="L25" i="91"/>
  <c r="N25" i="91" s="1"/>
  <c r="J25" i="91"/>
  <c r="F25" i="91"/>
  <c r="B25" i="91"/>
  <c r="X24" i="91"/>
  <c r="Z24" i="91" s="1"/>
  <c r="V24" i="91"/>
  <c r="L24" i="91"/>
  <c r="N24" i="91" s="1"/>
  <c r="J24" i="91"/>
  <c r="B24" i="91"/>
  <c r="Z23" i="91"/>
  <c r="X23" i="91"/>
  <c r="V23" i="91"/>
  <c r="N23" i="91"/>
  <c r="L23" i="91"/>
  <c r="B23" i="91"/>
  <c r="Z22" i="91"/>
  <c r="X22" i="91"/>
  <c r="V22" i="91"/>
  <c r="R22" i="91"/>
  <c r="N22" i="91"/>
  <c r="L22" i="91"/>
  <c r="B22" i="91"/>
  <c r="X21" i="91"/>
  <c r="Z21" i="91" s="1"/>
  <c r="V21" i="91"/>
  <c r="R21" i="91"/>
  <c r="N21" i="91"/>
  <c r="L21" i="91"/>
  <c r="J21" i="91"/>
  <c r="B21" i="91"/>
  <c r="X20" i="91"/>
  <c r="Z20" i="91" s="1"/>
  <c r="V20" i="91"/>
  <c r="L20" i="91"/>
  <c r="N20" i="91" s="1"/>
  <c r="B20" i="91"/>
  <c r="X19" i="91"/>
  <c r="Z19" i="91" s="1"/>
  <c r="V19" i="91"/>
  <c r="T19" i="91"/>
  <c r="P19" i="91"/>
  <c r="J19" i="91"/>
  <c r="H19" i="91"/>
  <c r="D19" i="91"/>
  <c r="B19" i="91"/>
  <c r="V18" i="91"/>
  <c r="T18" i="91"/>
  <c r="R18" i="91"/>
  <c r="P18" i="91"/>
  <c r="X18" i="91" s="1"/>
  <c r="H18" i="91"/>
  <c r="N18" i="91" s="1"/>
  <c r="D18" i="91"/>
  <c r="L18" i="91" s="1"/>
  <c r="J16" i="91"/>
  <c r="H16" i="91"/>
  <c r="N16" i="91" s="1"/>
  <c r="V14" i="91"/>
  <c r="T14" i="91"/>
  <c r="R14" i="91"/>
  <c r="P14" i="91"/>
  <c r="H14" i="91"/>
  <c r="N14" i="91" s="1"/>
  <c r="D14" i="91"/>
  <c r="L14" i="91" s="1"/>
  <c r="Z12" i="91"/>
  <c r="T12" i="91"/>
  <c r="V36" i="91" s="1"/>
  <c r="P12" i="91"/>
  <c r="R46" i="91" s="1"/>
  <c r="H12" i="91"/>
  <c r="D12" i="91"/>
  <c r="F29" i="91" s="1"/>
  <c r="D6" i="91"/>
  <c r="D4" i="91"/>
  <c r="V51" i="90"/>
  <c r="Z49" i="90"/>
  <c r="X49" i="90"/>
  <c r="N49" i="90"/>
  <c r="L49" i="90"/>
  <c r="X45" i="90"/>
  <c r="V45" i="90"/>
  <c r="T45" i="90"/>
  <c r="Z45" i="90" s="1"/>
  <c r="P45" i="90"/>
  <c r="H45" i="90"/>
  <c r="N45" i="90" s="1"/>
  <c r="D45" i="90"/>
  <c r="L45" i="90" s="1"/>
  <c r="X43" i="90"/>
  <c r="Z43" i="90" s="1"/>
  <c r="N43" i="90"/>
  <c r="L43" i="90"/>
  <c r="B43" i="90"/>
  <c r="T42" i="90"/>
  <c r="P42" i="90"/>
  <c r="N42" i="90"/>
  <c r="H42" i="90"/>
  <c r="D42" i="90"/>
  <c r="L42" i="90" s="1"/>
  <c r="B42" i="90"/>
  <c r="Z41" i="90"/>
  <c r="X41" i="90"/>
  <c r="N41" i="90"/>
  <c r="L41" i="90"/>
  <c r="F41" i="90"/>
  <c r="B41" i="90"/>
  <c r="Z40" i="90"/>
  <c r="V40" i="90"/>
  <c r="T40" i="90"/>
  <c r="P40" i="90"/>
  <c r="X40" i="90" s="1"/>
  <c r="N40" i="90"/>
  <c r="L40" i="90"/>
  <c r="H40" i="90"/>
  <c r="D40" i="90"/>
  <c r="B40" i="90"/>
  <c r="Z39" i="90"/>
  <c r="X39" i="90"/>
  <c r="V39" i="90"/>
  <c r="N39" i="90"/>
  <c r="L39" i="90"/>
  <c r="B39" i="90"/>
  <c r="Z38" i="90"/>
  <c r="X38" i="90"/>
  <c r="T38" i="90"/>
  <c r="R38" i="90"/>
  <c r="P38" i="90"/>
  <c r="H38" i="90"/>
  <c r="D38" i="90"/>
  <c r="B38" i="90"/>
  <c r="X37" i="90"/>
  <c r="Z37" i="90" s="1"/>
  <c r="R37" i="90"/>
  <c r="N37" i="90"/>
  <c r="L37" i="90"/>
  <c r="B37" i="90"/>
  <c r="X36" i="90"/>
  <c r="Z36" i="90" s="1"/>
  <c r="V36" i="90"/>
  <c r="R36" i="90"/>
  <c r="N36" i="90"/>
  <c r="L36" i="90"/>
  <c r="B36" i="90"/>
  <c r="X35" i="90"/>
  <c r="V35" i="90"/>
  <c r="T35" i="90"/>
  <c r="Z35" i="90" s="1"/>
  <c r="P35" i="90"/>
  <c r="H35" i="90"/>
  <c r="D35" i="90"/>
  <c r="B35" i="90"/>
  <c r="Z34" i="90"/>
  <c r="X34" i="90"/>
  <c r="L34" i="90"/>
  <c r="N34" i="90" s="1"/>
  <c r="B34" i="90"/>
  <c r="T33" i="90"/>
  <c r="R33" i="90"/>
  <c r="P33" i="90"/>
  <c r="X33" i="90" s="1"/>
  <c r="H33" i="90"/>
  <c r="N33" i="90" s="1"/>
  <c r="D33" i="90"/>
  <c r="L33" i="90" s="1"/>
  <c r="B33" i="90"/>
  <c r="Z32" i="90"/>
  <c r="X32" i="90"/>
  <c r="V32" i="90"/>
  <c r="N32" i="90"/>
  <c r="L32" i="90"/>
  <c r="B32" i="90"/>
  <c r="T31" i="90"/>
  <c r="Z31" i="90" s="1"/>
  <c r="P31" i="90"/>
  <c r="X31" i="90" s="1"/>
  <c r="H31" i="90"/>
  <c r="L31" i="90" s="1"/>
  <c r="N31" i="90" s="1"/>
  <c r="D31" i="90"/>
  <c r="B31" i="90"/>
  <c r="Z30" i="90"/>
  <c r="X30" i="90"/>
  <c r="N30" i="90"/>
  <c r="L30" i="90"/>
  <c r="B30" i="90"/>
  <c r="Z29" i="90"/>
  <c r="T29" i="90"/>
  <c r="X29" i="90" s="1"/>
  <c r="P29" i="90"/>
  <c r="L29" i="90"/>
  <c r="H29" i="90"/>
  <c r="N29" i="90" s="1"/>
  <c r="D29" i="90"/>
  <c r="B29" i="90"/>
  <c r="Z28" i="90"/>
  <c r="X28" i="90"/>
  <c r="V28" i="90"/>
  <c r="R28" i="90"/>
  <c r="N28" i="90"/>
  <c r="L28" i="90"/>
  <c r="B28" i="90"/>
  <c r="X27" i="90"/>
  <c r="V27" i="90"/>
  <c r="T27" i="90"/>
  <c r="Z27" i="90" s="1"/>
  <c r="P27" i="90"/>
  <c r="H27" i="90"/>
  <c r="N27" i="90" s="1"/>
  <c r="F27" i="90"/>
  <c r="D27" i="90"/>
  <c r="L27" i="90" s="1"/>
  <c r="B27" i="90"/>
  <c r="Z26" i="90"/>
  <c r="X26" i="90"/>
  <c r="N26" i="90"/>
  <c r="L26" i="90"/>
  <c r="B26" i="90"/>
  <c r="X25" i="90"/>
  <c r="Z25" i="90" s="1"/>
  <c r="R25" i="90"/>
  <c r="N25" i="90"/>
  <c r="L25" i="90"/>
  <c r="B25" i="90"/>
  <c r="Z24" i="90"/>
  <c r="X24" i="90"/>
  <c r="V24" i="90"/>
  <c r="R24" i="90"/>
  <c r="N24" i="90"/>
  <c r="L24" i="90"/>
  <c r="B24" i="90"/>
  <c r="X23" i="90"/>
  <c r="Z23" i="90" s="1"/>
  <c r="V23" i="90"/>
  <c r="N23" i="90"/>
  <c r="L23" i="90"/>
  <c r="B23" i="90"/>
  <c r="Z22" i="90"/>
  <c r="X22" i="90"/>
  <c r="V22" i="90"/>
  <c r="N22" i="90"/>
  <c r="L22" i="90"/>
  <c r="B22" i="90"/>
  <c r="T21" i="90"/>
  <c r="X21" i="90" s="1"/>
  <c r="Z21" i="90" s="1"/>
  <c r="P21" i="90"/>
  <c r="L21" i="90"/>
  <c r="H21" i="90"/>
  <c r="D21" i="90"/>
  <c r="B21" i="90"/>
  <c r="V20" i="90"/>
  <c r="T20" i="90"/>
  <c r="R20" i="90"/>
  <c r="P20" i="90"/>
  <c r="H20" i="90"/>
  <c r="D20" i="90"/>
  <c r="L20" i="90" s="1"/>
  <c r="N20" i="90" s="1"/>
  <c r="V18" i="90"/>
  <c r="Z16" i="90"/>
  <c r="X16" i="90"/>
  <c r="V16" i="90"/>
  <c r="R16" i="90"/>
  <c r="N16" i="90"/>
  <c r="L16" i="90"/>
  <c r="B16" i="90"/>
  <c r="V15" i="90"/>
  <c r="T15" i="90"/>
  <c r="Z15" i="90" s="1"/>
  <c r="P15" i="90"/>
  <c r="X15" i="90" s="1"/>
  <c r="H15" i="90"/>
  <c r="N15" i="90" s="1"/>
  <c r="D15" i="90"/>
  <c r="L15" i="90" s="1"/>
  <c r="Z13" i="90"/>
  <c r="X13" i="90"/>
  <c r="T13" i="90"/>
  <c r="P13" i="90"/>
  <c r="L13" i="90"/>
  <c r="H13" i="90"/>
  <c r="D13" i="90"/>
  <c r="D12" i="90" s="1"/>
  <c r="B13" i="90"/>
  <c r="Z12" i="90"/>
  <c r="T12" i="90"/>
  <c r="V38" i="90" s="1"/>
  <c r="P12" i="90"/>
  <c r="R39" i="90" s="1"/>
  <c r="D6" i="90"/>
  <c r="D4" i="90"/>
  <c r="V37" i="89"/>
  <c r="F37" i="89"/>
  <c r="F34" i="89"/>
  <c r="Z32" i="89"/>
  <c r="X32" i="89"/>
  <c r="R32" i="89"/>
  <c r="N32" i="89"/>
  <c r="L32" i="89"/>
  <c r="J32" i="89"/>
  <c r="V30" i="89"/>
  <c r="F30" i="89"/>
  <c r="Z28" i="89"/>
  <c r="T28" i="89"/>
  <c r="P28" i="89"/>
  <c r="X28" i="89" s="1"/>
  <c r="N28" i="89"/>
  <c r="L28" i="89"/>
  <c r="H28" i="89"/>
  <c r="F28" i="89"/>
  <c r="D28" i="89"/>
  <c r="X26" i="89"/>
  <c r="Z26" i="89" s="1"/>
  <c r="V26" i="89"/>
  <c r="R26" i="89"/>
  <c r="N26" i="89"/>
  <c r="L26" i="89"/>
  <c r="B26" i="89"/>
  <c r="T25" i="89"/>
  <c r="P25" i="89"/>
  <c r="X25" i="89" s="1"/>
  <c r="H25" i="89"/>
  <c r="N25" i="89" s="1"/>
  <c r="D25" i="89"/>
  <c r="B25" i="89"/>
  <c r="Z24" i="89"/>
  <c r="X24" i="89"/>
  <c r="N24" i="89"/>
  <c r="L24" i="89"/>
  <c r="B24" i="89"/>
  <c r="T23" i="89"/>
  <c r="R23" i="89"/>
  <c r="P23" i="89"/>
  <c r="X23" i="89" s="1"/>
  <c r="H23" i="89"/>
  <c r="N23" i="89" s="1"/>
  <c r="D23" i="89"/>
  <c r="L23" i="89" s="1"/>
  <c r="B23" i="89"/>
  <c r="Z22" i="89"/>
  <c r="X22" i="89"/>
  <c r="N22" i="89"/>
  <c r="L22" i="89"/>
  <c r="F22" i="89"/>
  <c r="B22" i="89"/>
  <c r="X21" i="89"/>
  <c r="T21" i="89"/>
  <c r="P21" i="89"/>
  <c r="H21" i="89"/>
  <c r="L21" i="89" s="1"/>
  <c r="D21" i="89"/>
  <c r="B21" i="89"/>
  <c r="Z20" i="89"/>
  <c r="X20" i="89"/>
  <c r="N20" i="89"/>
  <c r="L20" i="89"/>
  <c r="B20" i="89"/>
  <c r="T19" i="89"/>
  <c r="P19" i="89"/>
  <c r="H19" i="89"/>
  <c r="D19" i="89"/>
  <c r="L19" i="89" s="1"/>
  <c r="B19" i="89"/>
  <c r="T18" i="89"/>
  <c r="R18" i="89"/>
  <c r="P18" i="89"/>
  <c r="H18" i="89"/>
  <c r="F18" i="89"/>
  <c r="D18" i="89"/>
  <c r="L18" i="89" s="1"/>
  <c r="N18" i="89" s="1"/>
  <c r="V16" i="89"/>
  <c r="R16" i="89"/>
  <c r="P16" i="89"/>
  <c r="P30" i="89" s="1"/>
  <c r="F16" i="89"/>
  <c r="T14" i="89"/>
  <c r="R14" i="89"/>
  <c r="P14" i="89"/>
  <c r="N14" i="89"/>
  <c r="H14" i="89"/>
  <c r="F14" i="89"/>
  <c r="D14" i="89"/>
  <c r="L14" i="89" s="1"/>
  <c r="T12" i="89"/>
  <c r="P12" i="89"/>
  <c r="R37" i="89" s="1"/>
  <c r="H12" i="89"/>
  <c r="J19" i="89" s="1"/>
  <c r="D12" i="89"/>
  <c r="D6" i="89"/>
  <c r="D4" i="89"/>
  <c r="Z34" i="88"/>
  <c r="X34" i="88"/>
  <c r="N34" i="88"/>
  <c r="L34" i="88"/>
  <c r="J34" i="88"/>
  <c r="F34" i="88"/>
  <c r="T30" i="88"/>
  <c r="R30" i="88"/>
  <c r="P30" i="88"/>
  <c r="H30" i="88"/>
  <c r="N30" i="88" s="1"/>
  <c r="D30" i="88"/>
  <c r="B30" i="88"/>
  <c r="P29" i="88"/>
  <c r="Z27" i="88"/>
  <c r="X27" i="88"/>
  <c r="V27" i="88"/>
  <c r="R27" i="88"/>
  <c r="N27" i="88"/>
  <c r="L27" i="88"/>
  <c r="B27" i="88"/>
  <c r="X26" i="88"/>
  <c r="Z26" i="88" s="1"/>
  <c r="V26" i="88"/>
  <c r="T26" i="88"/>
  <c r="P26" i="88"/>
  <c r="H26" i="88"/>
  <c r="F26" i="88"/>
  <c r="D26" i="88"/>
  <c r="B26" i="88"/>
  <c r="Z25" i="88"/>
  <c r="X25" i="88"/>
  <c r="V25" i="88"/>
  <c r="N25" i="88"/>
  <c r="L25" i="88"/>
  <c r="B25" i="88"/>
  <c r="T24" i="88"/>
  <c r="R24" i="88"/>
  <c r="P24" i="88"/>
  <c r="H24" i="88"/>
  <c r="N24" i="88" s="1"/>
  <c r="D24" i="88"/>
  <c r="L24" i="88" s="1"/>
  <c r="B24" i="88"/>
  <c r="Z23" i="88"/>
  <c r="X23" i="88"/>
  <c r="N23" i="88"/>
  <c r="L23" i="88"/>
  <c r="F23" i="88"/>
  <c r="B23" i="88"/>
  <c r="T22" i="88"/>
  <c r="Z22" i="88" s="1"/>
  <c r="P22" i="88"/>
  <c r="X22" i="88" s="1"/>
  <c r="N22" i="88"/>
  <c r="H22" i="88"/>
  <c r="D22" i="88"/>
  <c r="L22" i="88" s="1"/>
  <c r="B22" i="88"/>
  <c r="X21" i="88"/>
  <c r="Z21" i="88" s="1"/>
  <c r="V21" i="88"/>
  <c r="N21" i="88"/>
  <c r="L21" i="88"/>
  <c r="B21" i="88"/>
  <c r="Z20" i="88"/>
  <c r="X20" i="88"/>
  <c r="N20" i="88"/>
  <c r="L20" i="88"/>
  <c r="F20" i="88"/>
  <c r="B20" i="88"/>
  <c r="V19" i="88"/>
  <c r="T19" i="88"/>
  <c r="P19" i="88"/>
  <c r="X19" i="88" s="1"/>
  <c r="Z19" i="88" s="1"/>
  <c r="N19" i="88"/>
  <c r="L19" i="88"/>
  <c r="H19" i="88"/>
  <c r="D19" i="88"/>
  <c r="B19" i="88"/>
  <c r="X18" i="88"/>
  <c r="V18" i="88"/>
  <c r="T18" i="88"/>
  <c r="P18" i="88"/>
  <c r="H18" i="88"/>
  <c r="F18" i="88"/>
  <c r="D18" i="88"/>
  <c r="T16" i="88"/>
  <c r="Z16" i="88" s="1"/>
  <c r="P16" i="88"/>
  <c r="D16" i="88"/>
  <c r="X14" i="88"/>
  <c r="V14" i="88"/>
  <c r="T14" i="88"/>
  <c r="Z14" i="88" s="1"/>
  <c r="P14" i="88"/>
  <c r="H14" i="88"/>
  <c r="F14" i="88"/>
  <c r="D14" i="88"/>
  <c r="T12" i="88"/>
  <c r="V30" i="88" s="1"/>
  <c r="P12" i="88"/>
  <c r="R26" i="88" s="1"/>
  <c r="H12" i="88"/>
  <c r="D12" i="88"/>
  <c r="F39" i="88" s="1"/>
  <c r="D6" i="88"/>
  <c r="D4" i="88"/>
  <c r="R32" i="87"/>
  <c r="X27" i="87"/>
  <c r="Z27" i="87" s="1"/>
  <c r="R27" i="87"/>
  <c r="N27" i="87"/>
  <c r="L27" i="87"/>
  <c r="R25" i="87"/>
  <c r="Z23" i="87"/>
  <c r="T23" i="87"/>
  <c r="P23" i="87"/>
  <c r="X23" i="87" s="1"/>
  <c r="L23" i="87"/>
  <c r="J23" i="87"/>
  <c r="H23" i="87"/>
  <c r="N23" i="87" s="1"/>
  <c r="D23" i="87"/>
  <c r="X21" i="87"/>
  <c r="Z21" i="87" s="1"/>
  <c r="R21" i="87"/>
  <c r="N21" i="87"/>
  <c r="L21" i="87"/>
  <c r="B21" i="87"/>
  <c r="T20" i="87"/>
  <c r="P20" i="87"/>
  <c r="H20" i="87"/>
  <c r="D20" i="87"/>
  <c r="L20" i="87" s="1"/>
  <c r="N20" i="87" s="1"/>
  <c r="B20" i="87"/>
  <c r="T19" i="87"/>
  <c r="P19" i="87"/>
  <c r="X19" i="87" s="1"/>
  <c r="H19" i="87"/>
  <c r="D19" i="87"/>
  <c r="L19" i="87" s="1"/>
  <c r="N19" i="87" s="1"/>
  <c r="H17" i="87"/>
  <c r="T15" i="87"/>
  <c r="Z15" i="87" s="1"/>
  <c r="P15" i="87"/>
  <c r="X15" i="87" s="1"/>
  <c r="N15" i="87"/>
  <c r="H15" i="87"/>
  <c r="D15" i="87"/>
  <c r="L15" i="87" s="1"/>
  <c r="X13" i="87"/>
  <c r="T13" i="87"/>
  <c r="P13" i="87"/>
  <c r="P12" i="87" s="1"/>
  <c r="H13" i="87"/>
  <c r="D13" i="87"/>
  <c r="L13" i="87" s="1"/>
  <c r="B13" i="87"/>
  <c r="H12" i="87"/>
  <c r="J27" i="87" s="1"/>
  <c r="D6" i="87"/>
  <c r="D4" i="87"/>
  <c r="V70" i="86"/>
  <c r="Z68" i="86"/>
  <c r="X68" i="86"/>
  <c r="N68" i="86"/>
  <c r="L68" i="86"/>
  <c r="F68" i="86"/>
  <c r="V64" i="86"/>
  <c r="T64" i="86"/>
  <c r="P64" i="86"/>
  <c r="N64" i="86"/>
  <c r="H64" i="86"/>
  <c r="F64" i="86"/>
  <c r="D64" i="86"/>
  <c r="B64" i="86"/>
  <c r="P63" i="86"/>
  <c r="N63" i="86"/>
  <c r="H63" i="86"/>
  <c r="X61" i="86"/>
  <c r="Z61" i="86" s="1"/>
  <c r="V61" i="86"/>
  <c r="N61" i="86"/>
  <c r="L61" i="86"/>
  <c r="B61" i="86"/>
  <c r="Z60" i="86"/>
  <c r="X60" i="86"/>
  <c r="T60" i="86"/>
  <c r="P60" i="86"/>
  <c r="H60" i="86"/>
  <c r="D60" i="86"/>
  <c r="B60" i="86"/>
  <c r="Z59" i="86"/>
  <c r="X59" i="86"/>
  <c r="R59" i="86"/>
  <c r="N59" i="86"/>
  <c r="L59" i="86"/>
  <c r="B59" i="86"/>
  <c r="Z58" i="86"/>
  <c r="X58" i="86"/>
  <c r="V58" i="86"/>
  <c r="R58" i="86"/>
  <c r="N58" i="86"/>
  <c r="L58" i="86"/>
  <c r="B58" i="86"/>
  <c r="Z57" i="86"/>
  <c r="X57" i="86"/>
  <c r="V57" i="86"/>
  <c r="N57" i="86"/>
  <c r="L57" i="86"/>
  <c r="B57" i="86"/>
  <c r="Z56" i="86"/>
  <c r="X56" i="86"/>
  <c r="N56" i="86"/>
  <c r="L56" i="86"/>
  <c r="B56" i="86"/>
  <c r="Z55" i="86"/>
  <c r="X55" i="86"/>
  <c r="N55" i="86"/>
  <c r="L55" i="86"/>
  <c r="B55" i="86"/>
  <c r="Z54" i="86"/>
  <c r="T54" i="86"/>
  <c r="P54" i="86"/>
  <c r="X54" i="86" s="1"/>
  <c r="N54" i="86"/>
  <c r="L54" i="86"/>
  <c r="H54" i="86"/>
  <c r="D54" i="86"/>
  <c r="B54" i="86"/>
  <c r="Z53" i="86"/>
  <c r="X53" i="86"/>
  <c r="V53" i="86"/>
  <c r="N53" i="86"/>
  <c r="L53" i="86"/>
  <c r="B53" i="86"/>
  <c r="Z52" i="86"/>
  <c r="X52" i="86"/>
  <c r="T52" i="86"/>
  <c r="P52" i="86"/>
  <c r="H52" i="86"/>
  <c r="D52" i="86"/>
  <c r="B52" i="86"/>
  <c r="Z51" i="86"/>
  <c r="X51" i="86"/>
  <c r="R51" i="86"/>
  <c r="N51" i="86"/>
  <c r="L51" i="86"/>
  <c r="B51" i="86"/>
  <c r="V50" i="86"/>
  <c r="T50" i="86"/>
  <c r="P50" i="86"/>
  <c r="H50" i="86"/>
  <c r="N50" i="86" s="1"/>
  <c r="D50" i="86"/>
  <c r="L50" i="86" s="1"/>
  <c r="B50" i="86"/>
  <c r="Z49" i="86"/>
  <c r="X49" i="86"/>
  <c r="N49" i="86"/>
  <c r="L49" i="86"/>
  <c r="J49" i="86"/>
  <c r="B49" i="86"/>
  <c r="Z48" i="86"/>
  <c r="X48" i="86"/>
  <c r="N48" i="86"/>
  <c r="L48" i="86"/>
  <c r="B48" i="86"/>
  <c r="T47" i="86"/>
  <c r="R47" i="86"/>
  <c r="P47" i="86"/>
  <c r="H47" i="86"/>
  <c r="N47" i="86" s="1"/>
  <c r="D47" i="86"/>
  <c r="L47" i="86" s="1"/>
  <c r="B47" i="86"/>
  <c r="Z46" i="86"/>
  <c r="X46" i="86"/>
  <c r="N46" i="86"/>
  <c r="L46" i="86"/>
  <c r="F46" i="86"/>
  <c r="B46" i="86"/>
  <c r="T45" i="86"/>
  <c r="P45" i="86"/>
  <c r="X45" i="86" s="1"/>
  <c r="N45" i="86"/>
  <c r="H45" i="86"/>
  <c r="D45" i="86"/>
  <c r="L45" i="86" s="1"/>
  <c r="B45" i="86"/>
  <c r="Z44" i="86"/>
  <c r="X44" i="86"/>
  <c r="N44" i="86"/>
  <c r="L44" i="86"/>
  <c r="B44" i="86"/>
  <c r="Z43" i="86"/>
  <c r="T43" i="86"/>
  <c r="P43" i="86"/>
  <c r="X43" i="86" s="1"/>
  <c r="L43" i="86"/>
  <c r="J43" i="86"/>
  <c r="H43" i="86"/>
  <c r="N43" i="86" s="1"/>
  <c r="D43" i="86"/>
  <c r="B43" i="86"/>
  <c r="Z42" i="86"/>
  <c r="X42" i="86"/>
  <c r="V42" i="86"/>
  <c r="R42" i="86"/>
  <c r="N42" i="86"/>
  <c r="L42" i="86"/>
  <c r="B42" i="86"/>
  <c r="X41" i="86"/>
  <c r="V41" i="86"/>
  <c r="T41" i="86"/>
  <c r="Z41" i="86" s="1"/>
  <c r="P41" i="86"/>
  <c r="H41" i="86"/>
  <c r="F41" i="86"/>
  <c r="D41" i="86"/>
  <c r="B41" i="86"/>
  <c r="Z40" i="86"/>
  <c r="X40" i="86"/>
  <c r="N40" i="86"/>
  <c r="L40" i="86"/>
  <c r="B40" i="86"/>
  <c r="X39" i="86"/>
  <c r="Z39" i="86" s="1"/>
  <c r="R39" i="86"/>
  <c r="N39" i="86"/>
  <c r="L39" i="86"/>
  <c r="B39" i="86"/>
  <c r="V38" i="86"/>
  <c r="T38" i="86"/>
  <c r="P38" i="86"/>
  <c r="H38" i="86"/>
  <c r="D38" i="86"/>
  <c r="L38" i="86" s="1"/>
  <c r="N38" i="86" s="1"/>
  <c r="B38" i="86"/>
  <c r="Z37" i="86"/>
  <c r="X37" i="86"/>
  <c r="N37" i="86"/>
  <c r="L37" i="86"/>
  <c r="J37" i="86"/>
  <c r="B37" i="86"/>
  <c r="Z36" i="86"/>
  <c r="T36" i="86"/>
  <c r="R36" i="86"/>
  <c r="P36" i="86"/>
  <c r="X36" i="86" s="1"/>
  <c r="N36" i="86"/>
  <c r="H36" i="86"/>
  <c r="D36" i="86"/>
  <c r="L36" i="86" s="1"/>
  <c r="B36" i="86"/>
  <c r="Z35" i="86"/>
  <c r="X35" i="86"/>
  <c r="N35" i="86"/>
  <c r="L35" i="86"/>
  <c r="B35" i="86"/>
  <c r="Z34" i="86"/>
  <c r="T34" i="86"/>
  <c r="P34" i="86"/>
  <c r="X34" i="86" s="1"/>
  <c r="N34" i="86"/>
  <c r="L34" i="86"/>
  <c r="H34" i="86"/>
  <c r="D34" i="86"/>
  <c r="B34" i="86"/>
  <c r="Z33" i="86"/>
  <c r="X33" i="86"/>
  <c r="V33" i="86"/>
  <c r="N33" i="86"/>
  <c r="L33" i="86"/>
  <c r="B33" i="86"/>
  <c r="Z32" i="86"/>
  <c r="X32" i="86"/>
  <c r="N32" i="86"/>
  <c r="L32" i="86"/>
  <c r="B32" i="86"/>
  <c r="Z31" i="86"/>
  <c r="X31" i="86"/>
  <c r="N31" i="86"/>
  <c r="L31" i="86"/>
  <c r="F31" i="86"/>
  <c r="B31" i="86"/>
  <c r="Z30" i="86"/>
  <c r="X30" i="86"/>
  <c r="N30" i="86"/>
  <c r="L30" i="86"/>
  <c r="J30" i="86"/>
  <c r="B30" i="86"/>
  <c r="T29" i="86"/>
  <c r="Z29" i="86" s="1"/>
  <c r="P29" i="86"/>
  <c r="X29" i="86" s="1"/>
  <c r="N29" i="86"/>
  <c r="H29" i="86"/>
  <c r="D29" i="86"/>
  <c r="L29" i="86" s="1"/>
  <c r="B29" i="86"/>
  <c r="Z28" i="86"/>
  <c r="X28" i="86"/>
  <c r="N28" i="86"/>
  <c r="L28" i="86"/>
  <c r="B28" i="86"/>
  <c r="Z27" i="86"/>
  <c r="X27" i="86"/>
  <c r="N27" i="86"/>
  <c r="L27" i="86"/>
  <c r="F27" i="86"/>
  <c r="B27" i="86"/>
  <c r="Z26" i="86"/>
  <c r="X26" i="86"/>
  <c r="N26" i="86"/>
  <c r="L26" i="86"/>
  <c r="J26" i="86"/>
  <c r="B26" i="86"/>
  <c r="X25" i="86"/>
  <c r="Z25" i="86" s="1"/>
  <c r="N25" i="86"/>
  <c r="L25" i="86"/>
  <c r="B25" i="86"/>
  <c r="Z24" i="86"/>
  <c r="X24" i="86"/>
  <c r="N24" i="86"/>
  <c r="L24" i="86"/>
  <c r="B24" i="86"/>
  <c r="X23" i="86"/>
  <c r="Z23" i="86" s="1"/>
  <c r="R23" i="86"/>
  <c r="N23" i="86"/>
  <c r="L23" i="86"/>
  <c r="B23" i="86"/>
  <c r="Z22" i="86"/>
  <c r="X22" i="86"/>
  <c r="V22" i="86"/>
  <c r="R22" i="86"/>
  <c r="N22" i="86"/>
  <c r="L22" i="86"/>
  <c r="B22" i="86"/>
  <c r="X21" i="86"/>
  <c r="Z21" i="86" s="1"/>
  <c r="V21" i="86"/>
  <c r="L21" i="86"/>
  <c r="N21" i="86" s="1"/>
  <c r="B21" i="86"/>
  <c r="Z20" i="86"/>
  <c r="X20" i="86"/>
  <c r="T20" i="86"/>
  <c r="P20" i="86"/>
  <c r="H20" i="86"/>
  <c r="D20" i="86"/>
  <c r="B20" i="86"/>
  <c r="T19" i="86"/>
  <c r="R19" i="86"/>
  <c r="P19" i="86"/>
  <c r="H19" i="86"/>
  <c r="N19" i="86" s="1"/>
  <c r="D19" i="86"/>
  <c r="L19" i="86" s="1"/>
  <c r="P17" i="86"/>
  <c r="J17" i="86"/>
  <c r="Z15" i="86"/>
  <c r="X15" i="86"/>
  <c r="R15" i="86"/>
  <c r="N15" i="86"/>
  <c r="L15" i="86"/>
  <c r="B15" i="86"/>
  <c r="V14" i="86"/>
  <c r="T14" i="86"/>
  <c r="R14" i="86"/>
  <c r="P14" i="86"/>
  <c r="H14" i="86"/>
  <c r="N14" i="86" s="1"/>
  <c r="F14" i="86"/>
  <c r="D14" i="86"/>
  <c r="L14" i="86" s="1"/>
  <c r="Z12" i="86"/>
  <c r="T12" i="86"/>
  <c r="V60" i="86" s="1"/>
  <c r="P12" i="86"/>
  <c r="R70" i="86" s="1"/>
  <c r="H12" i="86"/>
  <c r="J68" i="86" s="1"/>
  <c r="D12" i="86"/>
  <c r="F70" i="86" s="1"/>
  <c r="D6" i="86"/>
  <c r="D4" i="86"/>
  <c r="Z83" i="85"/>
  <c r="X83" i="85"/>
  <c r="N83" i="85"/>
  <c r="L83" i="85"/>
  <c r="Z79" i="85"/>
  <c r="X79" i="85"/>
  <c r="T79" i="85"/>
  <c r="P79" i="85"/>
  <c r="J79" i="85"/>
  <c r="H79" i="85"/>
  <c r="D79" i="85"/>
  <c r="B79" i="85"/>
  <c r="T78" i="85"/>
  <c r="Z78" i="85" s="1"/>
  <c r="P78" i="85"/>
  <c r="X78" i="85" s="1"/>
  <c r="D78" i="85"/>
  <c r="Z76" i="85"/>
  <c r="X76" i="85"/>
  <c r="L76" i="85"/>
  <c r="N76" i="85" s="1"/>
  <c r="B76" i="85"/>
  <c r="T75" i="85"/>
  <c r="P75" i="85"/>
  <c r="X75" i="85" s="1"/>
  <c r="Z75" i="85" s="1"/>
  <c r="L75" i="85"/>
  <c r="N75" i="85" s="1"/>
  <c r="H75" i="85"/>
  <c r="D75" i="85"/>
  <c r="B75" i="85"/>
  <c r="X74" i="85"/>
  <c r="Z74" i="85" s="1"/>
  <c r="L74" i="85"/>
  <c r="N74" i="85" s="1"/>
  <c r="B74" i="85"/>
  <c r="Z73" i="85"/>
  <c r="X73" i="85"/>
  <c r="T73" i="85"/>
  <c r="P73" i="85"/>
  <c r="H73" i="85"/>
  <c r="L73" i="85" s="1"/>
  <c r="F73" i="85"/>
  <c r="D73" i="85"/>
  <c r="B73" i="85"/>
  <c r="X72" i="85"/>
  <c r="Z72" i="85" s="1"/>
  <c r="L72" i="85"/>
  <c r="N72" i="85" s="1"/>
  <c r="B72" i="85"/>
  <c r="Z71" i="85"/>
  <c r="T71" i="85"/>
  <c r="X71" i="85" s="1"/>
  <c r="P71" i="85"/>
  <c r="H71" i="85"/>
  <c r="D71" i="85"/>
  <c r="L71" i="85" s="1"/>
  <c r="B71" i="85"/>
  <c r="Z70" i="85"/>
  <c r="X70" i="85"/>
  <c r="N70" i="85"/>
  <c r="L70" i="85"/>
  <c r="F70" i="85"/>
  <c r="B70" i="85"/>
  <c r="Z69" i="85"/>
  <c r="X69" i="85"/>
  <c r="N69" i="85"/>
  <c r="L69" i="85"/>
  <c r="B69" i="85"/>
  <c r="X68" i="85"/>
  <c r="Z68" i="85" s="1"/>
  <c r="N68" i="85"/>
  <c r="L68" i="85"/>
  <c r="B68" i="85"/>
  <c r="Z67" i="85"/>
  <c r="X67" i="85"/>
  <c r="N67" i="85"/>
  <c r="L67" i="85"/>
  <c r="F67" i="85"/>
  <c r="B67" i="85"/>
  <c r="X66" i="85"/>
  <c r="Z66" i="85" s="1"/>
  <c r="N66" i="85"/>
  <c r="L66" i="85"/>
  <c r="B66" i="85"/>
  <c r="Z65" i="85"/>
  <c r="X65" i="85"/>
  <c r="N65" i="85"/>
  <c r="L65" i="85"/>
  <c r="B65" i="85"/>
  <c r="T64" i="85"/>
  <c r="P64" i="85"/>
  <c r="X64" i="85" s="1"/>
  <c r="L64" i="85"/>
  <c r="H64" i="85"/>
  <c r="N64" i="85" s="1"/>
  <c r="D64" i="85"/>
  <c r="B64" i="85"/>
  <c r="Z63" i="85"/>
  <c r="X63" i="85"/>
  <c r="N63" i="85"/>
  <c r="L63" i="85"/>
  <c r="F63" i="85"/>
  <c r="B63" i="85"/>
  <c r="X62" i="85"/>
  <c r="T62" i="85"/>
  <c r="Z62" i="85" s="1"/>
  <c r="P62" i="85"/>
  <c r="N62" i="85"/>
  <c r="L62" i="85"/>
  <c r="H62" i="85"/>
  <c r="D62" i="85"/>
  <c r="B62" i="85"/>
  <c r="X61" i="85"/>
  <c r="Z61" i="85" s="1"/>
  <c r="N61" i="85"/>
  <c r="L61" i="85"/>
  <c r="B61" i="85"/>
  <c r="Z60" i="85"/>
  <c r="X60" i="85"/>
  <c r="N60" i="85"/>
  <c r="L60" i="85"/>
  <c r="B60" i="85"/>
  <c r="Z59" i="85"/>
  <c r="X59" i="85"/>
  <c r="L59" i="85"/>
  <c r="N59" i="85" s="1"/>
  <c r="B59" i="85"/>
  <c r="X58" i="85"/>
  <c r="Z58" i="85" s="1"/>
  <c r="N58" i="85"/>
  <c r="L58" i="85"/>
  <c r="B58" i="85"/>
  <c r="T57" i="85"/>
  <c r="P57" i="85"/>
  <c r="X57" i="85" s="1"/>
  <c r="H57" i="85"/>
  <c r="D57" i="85"/>
  <c r="L57" i="85" s="1"/>
  <c r="N57" i="85" s="1"/>
  <c r="B57" i="85"/>
  <c r="Z56" i="85"/>
  <c r="X56" i="85"/>
  <c r="N56" i="85"/>
  <c r="L56" i="85"/>
  <c r="B56" i="85"/>
  <c r="Z55" i="85"/>
  <c r="X55" i="85"/>
  <c r="N55" i="85"/>
  <c r="L55" i="85"/>
  <c r="B55" i="85"/>
  <c r="X54" i="85"/>
  <c r="T54" i="85"/>
  <c r="Z54" i="85" s="1"/>
  <c r="P54" i="85"/>
  <c r="N54" i="85"/>
  <c r="L54" i="85"/>
  <c r="H54" i="85"/>
  <c r="D54" i="85"/>
  <c r="B54" i="85"/>
  <c r="X53" i="85"/>
  <c r="Z53" i="85" s="1"/>
  <c r="N53" i="85"/>
  <c r="L53" i="85"/>
  <c r="B53" i="85"/>
  <c r="Z52" i="85"/>
  <c r="X52" i="85"/>
  <c r="T52" i="85"/>
  <c r="P52" i="85"/>
  <c r="H52" i="85"/>
  <c r="D52" i="85"/>
  <c r="L52" i="85" s="1"/>
  <c r="N52" i="85" s="1"/>
  <c r="B52" i="85"/>
  <c r="X51" i="85"/>
  <c r="Z51" i="85" s="1"/>
  <c r="N51" i="85"/>
  <c r="L51" i="85"/>
  <c r="B51" i="85"/>
  <c r="T50" i="85"/>
  <c r="P50" i="85"/>
  <c r="X50" i="85" s="1"/>
  <c r="Z50" i="85" s="1"/>
  <c r="H50" i="85"/>
  <c r="N50" i="85" s="1"/>
  <c r="D50" i="85"/>
  <c r="L50" i="85" s="1"/>
  <c r="B50" i="85"/>
  <c r="Z49" i="85"/>
  <c r="X49" i="85"/>
  <c r="N49" i="85"/>
  <c r="L49" i="85"/>
  <c r="B49" i="85"/>
  <c r="T48" i="85"/>
  <c r="Z48" i="85" s="1"/>
  <c r="P48" i="85"/>
  <c r="X48" i="85" s="1"/>
  <c r="L48" i="85"/>
  <c r="H48" i="85"/>
  <c r="N48" i="85" s="1"/>
  <c r="D48" i="85"/>
  <c r="B48" i="85"/>
  <c r="Z47" i="85"/>
  <c r="X47" i="85"/>
  <c r="L47" i="85"/>
  <c r="N47" i="85" s="1"/>
  <c r="B47" i="85"/>
  <c r="X46" i="85"/>
  <c r="T46" i="85"/>
  <c r="Z46" i="85" s="1"/>
  <c r="P46" i="85"/>
  <c r="N46" i="85"/>
  <c r="L46" i="85"/>
  <c r="H46" i="85"/>
  <c r="D46" i="85"/>
  <c r="B46" i="85"/>
  <c r="X45" i="85"/>
  <c r="Z45" i="85" s="1"/>
  <c r="N45" i="85"/>
  <c r="L45" i="85"/>
  <c r="B45" i="85"/>
  <c r="Z44" i="85"/>
  <c r="X44" i="85"/>
  <c r="L44" i="85"/>
  <c r="N44" i="85" s="1"/>
  <c r="B44" i="85"/>
  <c r="T43" i="85"/>
  <c r="P43" i="85"/>
  <c r="X43" i="85" s="1"/>
  <c r="Z43" i="85" s="1"/>
  <c r="L43" i="85"/>
  <c r="N43" i="85" s="1"/>
  <c r="H43" i="85"/>
  <c r="D43" i="85"/>
  <c r="B43" i="85"/>
  <c r="Z42" i="85"/>
  <c r="X42" i="85"/>
  <c r="L42" i="85"/>
  <c r="N42" i="85" s="1"/>
  <c r="B42" i="85"/>
  <c r="X41" i="85"/>
  <c r="Z41" i="85" s="1"/>
  <c r="T41" i="85"/>
  <c r="P41" i="85"/>
  <c r="H41" i="85"/>
  <c r="D41" i="85"/>
  <c r="B41" i="85"/>
  <c r="X40" i="85"/>
  <c r="Z40" i="85" s="1"/>
  <c r="N40" i="85"/>
  <c r="L40" i="85"/>
  <c r="B40" i="85"/>
  <c r="T39" i="85"/>
  <c r="P39" i="85"/>
  <c r="H39" i="85"/>
  <c r="D39" i="85"/>
  <c r="L39" i="85" s="1"/>
  <c r="B39" i="85"/>
  <c r="X38" i="85"/>
  <c r="Z38" i="85" s="1"/>
  <c r="N38" i="85"/>
  <c r="L38" i="85"/>
  <c r="B38" i="85"/>
  <c r="T37" i="85"/>
  <c r="P37" i="85"/>
  <c r="X37" i="85" s="1"/>
  <c r="H37" i="85"/>
  <c r="D37" i="85"/>
  <c r="L37" i="85" s="1"/>
  <c r="N37" i="85" s="1"/>
  <c r="B37" i="85"/>
  <c r="Z36" i="85"/>
  <c r="X36" i="85"/>
  <c r="N36" i="85"/>
  <c r="L36" i="85"/>
  <c r="B36" i="85"/>
  <c r="Z35" i="85"/>
  <c r="X35" i="85"/>
  <c r="L35" i="85"/>
  <c r="N35" i="85" s="1"/>
  <c r="B35" i="85"/>
  <c r="X34" i="85"/>
  <c r="Z34" i="85" s="1"/>
  <c r="N34" i="85"/>
  <c r="L34" i="85"/>
  <c r="B34" i="85"/>
  <c r="Z33" i="85"/>
  <c r="X33" i="85"/>
  <c r="L33" i="85"/>
  <c r="N33" i="85" s="1"/>
  <c r="B33" i="85"/>
  <c r="T32" i="85"/>
  <c r="P32" i="85"/>
  <c r="X32" i="85" s="1"/>
  <c r="L32" i="85"/>
  <c r="H32" i="85"/>
  <c r="N32" i="85" s="1"/>
  <c r="D32" i="85"/>
  <c r="B32" i="85"/>
  <c r="Z31" i="85"/>
  <c r="X31" i="85"/>
  <c r="L31" i="85"/>
  <c r="N31" i="85" s="1"/>
  <c r="B31" i="85"/>
  <c r="X30" i="85"/>
  <c r="Z30" i="85" s="1"/>
  <c r="N30" i="85"/>
  <c r="L30" i="85"/>
  <c r="B30" i="85"/>
  <c r="Z29" i="85"/>
  <c r="X29" i="85"/>
  <c r="L29" i="85"/>
  <c r="N29" i="85" s="1"/>
  <c r="B29" i="85"/>
  <c r="X28" i="85"/>
  <c r="Z28" i="85" s="1"/>
  <c r="N28" i="85"/>
  <c r="L28" i="85"/>
  <c r="B28" i="85"/>
  <c r="X27" i="85"/>
  <c r="Z27" i="85" s="1"/>
  <c r="N27" i="85"/>
  <c r="L27" i="85"/>
  <c r="B27" i="85"/>
  <c r="Z26" i="85"/>
  <c r="X26" i="85"/>
  <c r="L26" i="85"/>
  <c r="N26" i="85" s="1"/>
  <c r="B26" i="85"/>
  <c r="X25" i="85"/>
  <c r="Z25" i="85" s="1"/>
  <c r="N25" i="85"/>
  <c r="L25" i="85"/>
  <c r="B25" i="85"/>
  <c r="Z24" i="85"/>
  <c r="X24" i="85"/>
  <c r="L24" i="85"/>
  <c r="N24" i="85" s="1"/>
  <c r="B24" i="85"/>
  <c r="T23" i="85"/>
  <c r="P23" i="85"/>
  <c r="X23" i="85" s="1"/>
  <c r="Z23" i="85" s="1"/>
  <c r="L23" i="85"/>
  <c r="N23" i="85" s="1"/>
  <c r="H23" i="85"/>
  <c r="D23" i="85"/>
  <c r="B23" i="85"/>
  <c r="T22" i="85"/>
  <c r="P22" i="85"/>
  <c r="X22" i="85" s="1"/>
  <c r="Z22" i="85" s="1"/>
  <c r="H22" i="85"/>
  <c r="N22" i="85" s="1"/>
  <c r="D22" i="85"/>
  <c r="L22" i="85" s="1"/>
  <c r="Z18" i="85"/>
  <c r="X18" i="85"/>
  <c r="L18" i="85"/>
  <c r="N18" i="85" s="1"/>
  <c r="B18" i="85"/>
  <c r="X17" i="85"/>
  <c r="Z17" i="85" s="1"/>
  <c r="N17" i="85"/>
  <c r="L17" i="85"/>
  <c r="B17" i="85"/>
  <c r="Z16" i="85"/>
  <c r="X16" i="85"/>
  <c r="T16" i="85"/>
  <c r="P16" i="85"/>
  <c r="H16" i="85"/>
  <c r="D16" i="85"/>
  <c r="L16" i="85" s="1"/>
  <c r="N16" i="85" s="1"/>
  <c r="T14" i="85"/>
  <c r="P14" i="85"/>
  <c r="X14" i="85" s="1"/>
  <c r="N14" i="85"/>
  <c r="L14" i="85"/>
  <c r="H14" i="85"/>
  <c r="D14" i="85"/>
  <c r="D12" i="85" s="1"/>
  <c r="F55" i="85" s="1"/>
  <c r="B14" i="85"/>
  <c r="T13" i="85"/>
  <c r="P13" i="85"/>
  <c r="H13" i="85"/>
  <c r="H12" i="85" s="1"/>
  <c r="J69" i="85" s="1"/>
  <c r="D13" i="85"/>
  <c r="L13" i="85" s="1"/>
  <c r="N13" i="85" s="1"/>
  <c r="B13" i="85"/>
  <c r="T12" i="85"/>
  <c r="V26" i="85" s="1"/>
  <c r="D6" i="85"/>
  <c r="D4" i="85"/>
  <c r="F38" i="84"/>
  <c r="Z36" i="84"/>
  <c r="X36" i="84"/>
  <c r="L36" i="84"/>
  <c r="N36" i="84" s="1"/>
  <c r="J34" i="84"/>
  <c r="T32" i="84"/>
  <c r="Z32" i="84" s="1"/>
  <c r="P32" i="84"/>
  <c r="X32" i="84" s="1"/>
  <c r="L32" i="84"/>
  <c r="H32" i="84"/>
  <c r="N32" i="84" s="1"/>
  <c r="F32" i="84"/>
  <c r="D32" i="84"/>
  <c r="Z30" i="84"/>
  <c r="X30" i="84"/>
  <c r="N30" i="84"/>
  <c r="L30" i="84"/>
  <c r="B30" i="84"/>
  <c r="Z29" i="84"/>
  <c r="X29" i="84"/>
  <c r="N29" i="84"/>
  <c r="L29" i="84"/>
  <c r="F29" i="84"/>
  <c r="B29" i="84"/>
  <c r="X28" i="84"/>
  <c r="T28" i="84"/>
  <c r="Z28" i="84" s="1"/>
  <c r="P28" i="84"/>
  <c r="N28" i="84"/>
  <c r="L28" i="84"/>
  <c r="H28" i="84"/>
  <c r="D28" i="84"/>
  <c r="B28" i="84"/>
  <c r="X27" i="84"/>
  <c r="Z27" i="84" s="1"/>
  <c r="N27" i="84"/>
  <c r="L27" i="84"/>
  <c r="F27" i="84"/>
  <c r="B27" i="84"/>
  <c r="Z26" i="84"/>
  <c r="X26" i="84"/>
  <c r="T26" i="84"/>
  <c r="P26" i="84"/>
  <c r="N26" i="84"/>
  <c r="J26" i="84"/>
  <c r="H26" i="84"/>
  <c r="D26" i="84"/>
  <c r="L26" i="84" s="1"/>
  <c r="B26" i="84"/>
  <c r="X25" i="84"/>
  <c r="Z25" i="84" s="1"/>
  <c r="N25" i="84"/>
  <c r="L25" i="84"/>
  <c r="B25" i="84"/>
  <c r="V24" i="84"/>
  <c r="T24" i="84"/>
  <c r="P24" i="84"/>
  <c r="X24" i="84" s="1"/>
  <c r="Z24" i="84" s="1"/>
  <c r="H24" i="84"/>
  <c r="N24" i="84" s="1"/>
  <c r="F24" i="84"/>
  <c r="D24" i="84"/>
  <c r="L24" i="84" s="1"/>
  <c r="B24" i="84"/>
  <c r="Z23" i="84"/>
  <c r="X23" i="84"/>
  <c r="L23" i="84"/>
  <c r="N23" i="84" s="1"/>
  <c r="B23" i="84"/>
  <c r="T22" i="84"/>
  <c r="P22" i="84"/>
  <c r="X22" i="84" s="1"/>
  <c r="L22" i="84"/>
  <c r="H22" i="84"/>
  <c r="N22" i="84" s="1"/>
  <c r="F22" i="84"/>
  <c r="D22" i="84"/>
  <c r="B22" i="84"/>
  <c r="Z21" i="84"/>
  <c r="X21" i="84"/>
  <c r="N21" i="84"/>
  <c r="L21" i="84"/>
  <c r="F21" i="84"/>
  <c r="B21" i="84"/>
  <c r="X20" i="84"/>
  <c r="T20" i="84"/>
  <c r="Z20" i="84" s="1"/>
  <c r="P20" i="84"/>
  <c r="N20" i="84"/>
  <c r="L20" i="84"/>
  <c r="H20" i="84"/>
  <c r="D20" i="84"/>
  <c r="B20" i="84"/>
  <c r="X19" i="84"/>
  <c r="Z19" i="84" s="1"/>
  <c r="T19" i="84"/>
  <c r="P19" i="84"/>
  <c r="H19" i="84"/>
  <c r="F19" i="84"/>
  <c r="D19" i="84"/>
  <c r="D17" i="84"/>
  <c r="Z15" i="84"/>
  <c r="X15" i="84"/>
  <c r="T15" i="84"/>
  <c r="P15" i="84"/>
  <c r="H15" i="84"/>
  <c r="F15" i="84"/>
  <c r="D15" i="84"/>
  <c r="T13" i="84"/>
  <c r="P13" i="84"/>
  <c r="X13" i="84" s="1"/>
  <c r="Z13" i="84" s="1"/>
  <c r="L13" i="84"/>
  <c r="H13" i="84"/>
  <c r="H12" i="84" s="1"/>
  <c r="D13" i="84"/>
  <c r="B13" i="84"/>
  <c r="T12" i="84"/>
  <c r="V27" i="84" s="1"/>
  <c r="N12" i="84"/>
  <c r="D12" i="84"/>
  <c r="F41" i="84" s="1"/>
  <c r="D6" i="84"/>
  <c r="D4" i="84"/>
  <c r="V45" i="83"/>
  <c r="F45" i="83"/>
  <c r="R42" i="83"/>
  <c r="Z40" i="83"/>
  <c r="X40" i="83"/>
  <c r="V40" i="83"/>
  <c r="R40" i="83"/>
  <c r="N40" i="83"/>
  <c r="L40" i="83"/>
  <c r="V38" i="83"/>
  <c r="F38" i="83"/>
  <c r="X36" i="83"/>
  <c r="T36" i="83"/>
  <c r="Z36" i="83" s="1"/>
  <c r="R36" i="83"/>
  <c r="P36" i="83"/>
  <c r="N36" i="83"/>
  <c r="L36" i="83"/>
  <c r="H36" i="83"/>
  <c r="D36" i="83"/>
  <c r="Z34" i="83"/>
  <c r="X34" i="83"/>
  <c r="V34" i="83"/>
  <c r="R34" i="83"/>
  <c r="L34" i="83"/>
  <c r="N34" i="83" s="1"/>
  <c r="B34" i="83"/>
  <c r="X33" i="83"/>
  <c r="Z33" i="83" s="1"/>
  <c r="V33" i="83"/>
  <c r="T33" i="83"/>
  <c r="P33" i="83"/>
  <c r="H33" i="83"/>
  <c r="D33" i="83"/>
  <c r="B33" i="83"/>
  <c r="X32" i="83"/>
  <c r="Z32" i="83" s="1"/>
  <c r="V32" i="83"/>
  <c r="N32" i="83"/>
  <c r="L32" i="83"/>
  <c r="B32" i="83"/>
  <c r="T31" i="83"/>
  <c r="R31" i="83"/>
  <c r="P31" i="83"/>
  <c r="H31" i="83"/>
  <c r="N31" i="83" s="1"/>
  <c r="D31" i="83"/>
  <c r="L31" i="83" s="1"/>
  <c r="B31" i="83"/>
  <c r="X30" i="83"/>
  <c r="Z30" i="83" s="1"/>
  <c r="N30" i="83"/>
  <c r="L30" i="83"/>
  <c r="J30" i="83"/>
  <c r="B30" i="83"/>
  <c r="T29" i="83"/>
  <c r="Z29" i="83" s="1"/>
  <c r="P29" i="83"/>
  <c r="X29" i="83" s="1"/>
  <c r="N29" i="83"/>
  <c r="H29" i="83"/>
  <c r="D29" i="83"/>
  <c r="L29" i="83" s="1"/>
  <c r="B29" i="83"/>
  <c r="Z28" i="83"/>
  <c r="X28" i="83"/>
  <c r="N28" i="83"/>
  <c r="L28" i="83"/>
  <c r="B28" i="83"/>
  <c r="T27" i="83"/>
  <c r="P27" i="83"/>
  <c r="X27" i="83" s="1"/>
  <c r="Z27" i="83" s="1"/>
  <c r="L27" i="83"/>
  <c r="N27" i="83" s="1"/>
  <c r="H27" i="83"/>
  <c r="D27" i="83"/>
  <c r="B27" i="83"/>
  <c r="Z26" i="83"/>
  <c r="X26" i="83"/>
  <c r="V26" i="83"/>
  <c r="R26" i="83"/>
  <c r="N26" i="83"/>
  <c r="L26" i="83"/>
  <c r="B26" i="83"/>
  <c r="X25" i="83"/>
  <c r="Z25" i="83" s="1"/>
  <c r="V25" i="83"/>
  <c r="T25" i="83"/>
  <c r="P25" i="83"/>
  <c r="H25" i="83"/>
  <c r="D25" i="83"/>
  <c r="B25" i="83"/>
  <c r="Z24" i="83"/>
  <c r="X24" i="83"/>
  <c r="V24" i="83"/>
  <c r="N24" i="83"/>
  <c r="L24" i="83"/>
  <c r="B24" i="83"/>
  <c r="X23" i="83"/>
  <c r="Z23" i="83" s="1"/>
  <c r="R23" i="83"/>
  <c r="N23" i="83"/>
  <c r="L23" i="83"/>
  <c r="B23" i="83"/>
  <c r="Z22" i="83"/>
  <c r="X22" i="83"/>
  <c r="V22" i="83"/>
  <c r="R22" i="83"/>
  <c r="N22" i="83"/>
  <c r="L22" i="83"/>
  <c r="B22" i="83"/>
  <c r="X21" i="83"/>
  <c r="Z21" i="83" s="1"/>
  <c r="V21" i="83"/>
  <c r="N21" i="83"/>
  <c r="L21" i="83"/>
  <c r="F21" i="83"/>
  <c r="B21" i="83"/>
  <c r="Z20" i="83"/>
  <c r="X20" i="83"/>
  <c r="R20" i="83"/>
  <c r="N20" i="83"/>
  <c r="L20" i="83"/>
  <c r="B20" i="83"/>
  <c r="V19" i="83"/>
  <c r="T19" i="83"/>
  <c r="P19" i="83"/>
  <c r="X19" i="83" s="1"/>
  <c r="Z19" i="83" s="1"/>
  <c r="N19" i="83"/>
  <c r="L19" i="83"/>
  <c r="H19" i="83"/>
  <c r="D19" i="83"/>
  <c r="B19" i="83"/>
  <c r="V18" i="83"/>
  <c r="T18" i="83"/>
  <c r="P18" i="83"/>
  <c r="X18" i="83" s="1"/>
  <c r="Z18" i="83" s="1"/>
  <c r="H18" i="83"/>
  <c r="F18" i="83"/>
  <c r="D18" i="83"/>
  <c r="L18" i="83" s="1"/>
  <c r="R16" i="83"/>
  <c r="Z14" i="83"/>
  <c r="V14" i="83"/>
  <c r="T14" i="83"/>
  <c r="P14" i="83"/>
  <c r="P16" i="83" s="1"/>
  <c r="H14" i="83"/>
  <c r="N14" i="83" s="1"/>
  <c r="F14" i="83"/>
  <c r="D14" i="83"/>
  <c r="L14" i="83" s="1"/>
  <c r="X12" i="83"/>
  <c r="T12" i="83"/>
  <c r="V28" i="83" s="1"/>
  <c r="P12" i="83"/>
  <c r="R45" i="83" s="1"/>
  <c r="N12" i="83"/>
  <c r="H12" i="83"/>
  <c r="D12" i="83"/>
  <c r="F33" i="83" s="1"/>
  <c r="D6" i="83"/>
  <c r="D4" i="83"/>
  <c r="V40" i="82"/>
  <c r="R40" i="82"/>
  <c r="J37" i="82"/>
  <c r="Z35" i="82"/>
  <c r="X35" i="82"/>
  <c r="V35" i="82"/>
  <c r="N35" i="82"/>
  <c r="L35" i="82"/>
  <c r="V33" i="82"/>
  <c r="R33" i="82"/>
  <c r="Z31" i="82"/>
  <c r="X31" i="82"/>
  <c r="T31" i="82"/>
  <c r="P31" i="82"/>
  <c r="N31" i="82"/>
  <c r="J31" i="82"/>
  <c r="H31" i="82"/>
  <c r="D31" i="82"/>
  <c r="L31" i="82" s="1"/>
  <c r="X29" i="82"/>
  <c r="Z29" i="82" s="1"/>
  <c r="V29" i="82"/>
  <c r="N29" i="82"/>
  <c r="L29" i="82"/>
  <c r="B29" i="82"/>
  <c r="X28" i="82"/>
  <c r="T28" i="82"/>
  <c r="R28" i="82"/>
  <c r="P28" i="82"/>
  <c r="H28" i="82"/>
  <c r="D28" i="82"/>
  <c r="B28" i="82"/>
  <c r="X27" i="82"/>
  <c r="Z27" i="82" s="1"/>
  <c r="N27" i="82"/>
  <c r="L27" i="82"/>
  <c r="J27" i="82"/>
  <c r="B27" i="82"/>
  <c r="T26" i="82"/>
  <c r="P26" i="82"/>
  <c r="N26" i="82"/>
  <c r="H26" i="82"/>
  <c r="D26" i="82"/>
  <c r="L26" i="82" s="1"/>
  <c r="B26" i="82"/>
  <c r="Z25" i="82"/>
  <c r="X25" i="82"/>
  <c r="N25" i="82"/>
  <c r="L25" i="82"/>
  <c r="J25" i="82"/>
  <c r="B25" i="82"/>
  <c r="Z24" i="82"/>
  <c r="X24" i="82"/>
  <c r="N24" i="82"/>
  <c r="L24" i="82"/>
  <c r="B24" i="82"/>
  <c r="X23" i="82"/>
  <c r="T23" i="82"/>
  <c r="Z23" i="82" s="1"/>
  <c r="R23" i="82"/>
  <c r="P23" i="82"/>
  <c r="N23" i="82"/>
  <c r="L23" i="82"/>
  <c r="H23" i="82"/>
  <c r="D23" i="82"/>
  <c r="B23" i="82"/>
  <c r="X22" i="82"/>
  <c r="Z22" i="82" s="1"/>
  <c r="N22" i="82"/>
  <c r="L22" i="82"/>
  <c r="B22" i="82"/>
  <c r="Z21" i="82"/>
  <c r="X21" i="82"/>
  <c r="T21" i="82"/>
  <c r="P21" i="82"/>
  <c r="N21" i="82"/>
  <c r="J21" i="82"/>
  <c r="H21" i="82"/>
  <c r="D21" i="82"/>
  <c r="L21" i="82" s="1"/>
  <c r="B21" i="82"/>
  <c r="X20" i="82"/>
  <c r="Z20" i="82" s="1"/>
  <c r="R20" i="82"/>
  <c r="N20" i="82"/>
  <c r="L20" i="82"/>
  <c r="J20" i="82"/>
  <c r="B20" i="82"/>
  <c r="Z19" i="82"/>
  <c r="V19" i="82"/>
  <c r="T19" i="82"/>
  <c r="P19" i="82"/>
  <c r="X19" i="82" s="1"/>
  <c r="J19" i="82"/>
  <c r="H19" i="82"/>
  <c r="D19" i="82"/>
  <c r="L19" i="82" s="1"/>
  <c r="B19" i="82"/>
  <c r="T18" i="82"/>
  <c r="R18" i="82"/>
  <c r="P18" i="82"/>
  <c r="X18" i="82" s="1"/>
  <c r="J18" i="82"/>
  <c r="H18" i="82"/>
  <c r="D18" i="82"/>
  <c r="L18" i="82" s="1"/>
  <c r="N18" i="82" s="1"/>
  <c r="R16" i="82"/>
  <c r="H16" i="82"/>
  <c r="T14" i="82"/>
  <c r="Z14" i="82" s="1"/>
  <c r="R14" i="82"/>
  <c r="P14" i="82"/>
  <c r="N14" i="82"/>
  <c r="J14" i="82"/>
  <c r="H14" i="82"/>
  <c r="D14" i="82"/>
  <c r="L14" i="82" s="1"/>
  <c r="X12" i="82"/>
  <c r="T12" i="82"/>
  <c r="V22" i="82" s="1"/>
  <c r="P12" i="82"/>
  <c r="R22" i="82" s="1"/>
  <c r="N12" i="82"/>
  <c r="H12" i="82"/>
  <c r="J35" i="82" s="1"/>
  <c r="D12" i="82"/>
  <c r="D6" i="82"/>
  <c r="D4" i="82"/>
  <c r="Z74" i="81"/>
  <c r="X74" i="81"/>
  <c r="N74" i="81"/>
  <c r="L74" i="81"/>
  <c r="X70" i="81"/>
  <c r="T70" i="81"/>
  <c r="P70" i="81"/>
  <c r="H70" i="81"/>
  <c r="N70" i="81" s="1"/>
  <c r="D70" i="81"/>
  <c r="B70" i="81"/>
  <c r="X69" i="81"/>
  <c r="T69" i="81"/>
  <c r="Z69" i="81" s="1"/>
  <c r="R69" i="81"/>
  <c r="P69" i="81"/>
  <c r="N69" i="81"/>
  <c r="L69" i="81"/>
  <c r="H69" i="81"/>
  <c r="D69" i="81"/>
  <c r="B69" i="81"/>
  <c r="P68" i="81"/>
  <c r="H68" i="81"/>
  <c r="N68" i="81" s="1"/>
  <c r="Z66" i="81"/>
  <c r="X66" i="81"/>
  <c r="L66" i="81"/>
  <c r="N66" i="81" s="1"/>
  <c r="B66" i="81"/>
  <c r="T65" i="81"/>
  <c r="Z65" i="81" s="1"/>
  <c r="P65" i="81"/>
  <c r="X65" i="81" s="1"/>
  <c r="L65" i="81"/>
  <c r="H65" i="81"/>
  <c r="N65" i="81" s="1"/>
  <c r="D65" i="81"/>
  <c r="B65" i="81"/>
  <c r="Z64" i="81"/>
  <c r="X64" i="81"/>
  <c r="N64" i="81"/>
  <c r="L64" i="81"/>
  <c r="B64" i="81"/>
  <c r="Z63" i="81"/>
  <c r="X63" i="81"/>
  <c r="N63" i="81"/>
  <c r="L63" i="81"/>
  <c r="B63" i="81"/>
  <c r="T62" i="81"/>
  <c r="P62" i="81"/>
  <c r="X62" i="81" s="1"/>
  <c r="N62" i="81"/>
  <c r="H62" i="81"/>
  <c r="D62" i="81"/>
  <c r="L62" i="81" s="1"/>
  <c r="B62" i="81"/>
  <c r="Z61" i="81"/>
  <c r="X61" i="81"/>
  <c r="L61" i="81"/>
  <c r="N61" i="81" s="1"/>
  <c r="B61" i="81"/>
  <c r="T60" i="81"/>
  <c r="P60" i="81"/>
  <c r="X60" i="81" s="1"/>
  <c r="Z60" i="81" s="1"/>
  <c r="L60" i="81"/>
  <c r="H60" i="81"/>
  <c r="D60" i="81"/>
  <c r="B60" i="81"/>
  <c r="Z59" i="81"/>
  <c r="X59" i="81"/>
  <c r="N59" i="81"/>
  <c r="L59" i="81"/>
  <c r="B59" i="81"/>
  <c r="X58" i="81"/>
  <c r="Z58" i="81" s="1"/>
  <c r="N58" i="81"/>
  <c r="L58" i="81"/>
  <c r="B58" i="81"/>
  <c r="Z57" i="81"/>
  <c r="X57" i="81"/>
  <c r="T57" i="81"/>
  <c r="P57" i="81"/>
  <c r="H57" i="81"/>
  <c r="N57" i="81" s="1"/>
  <c r="D57" i="81"/>
  <c r="L57" i="81" s="1"/>
  <c r="B57" i="81"/>
  <c r="Z56" i="81"/>
  <c r="X56" i="81"/>
  <c r="N56" i="81"/>
  <c r="L56" i="81"/>
  <c r="B56" i="81"/>
  <c r="Z55" i="81"/>
  <c r="X55" i="81"/>
  <c r="L55" i="81"/>
  <c r="N55" i="81" s="1"/>
  <c r="B55" i="81"/>
  <c r="Z54" i="81"/>
  <c r="X54" i="81"/>
  <c r="N54" i="81"/>
  <c r="L54" i="81"/>
  <c r="B54" i="81"/>
  <c r="X53" i="81"/>
  <c r="Z53" i="81" s="1"/>
  <c r="T53" i="81"/>
  <c r="P53" i="81"/>
  <c r="N53" i="81"/>
  <c r="H53" i="81"/>
  <c r="D53" i="81"/>
  <c r="L53" i="81" s="1"/>
  <c r="B53" i="81"/>
  <c r="X52" i="81"/>
  <c r="Z52" i="81" s="1"/>
  <c r="N52" i="81"/>
  <c r="L52" i="81"/>
  <c r="B52" i="81"/>
  <c r="Z51" i="81"/>
  <c r="X51" i="81"/>
  <c r="L51" i="81"/>
  <c r="N51" i="81" s="1"/>
  <c r="B51" i="81"/>
  <c r="Z50" i="81"/>
  <c r="X50" i="81"/>
  <c r="N50" i="81"/>
  <c r="L50" i="81"/>
  <c r="B50" i="81"/>
  <c r="Z49" i="81"/>
  <c r="X49" i="81"/>
  <c r="T49" i="81"/>
  <c r="P49" i="81"/>
  <c r="H49" i="81"/>
  <c r="D49" i="81"/>
  <c r="B49" i="81"/>
  <c r="X48" i="81"/>
  <c r="Z48" i="81" s="1"/>
  <c r="N48" i="81"/>
  <c r="L48" i="81"/>
  <c r="B48" i="81"/>
  <c r="T47" i="81"/>
  <c r="P47" i="81"/>
  <c r="H47" i="81"/>
  <c r="D47" i="81"/>
  <c r="L47" i="81" s="1"/>
  <c r="B47" i="81"/>
  <c r="Z46" i="81"/>
  <c r="X46" i="81"/>
  <c r="N46" i="81"/>
  <c r="L46" i="81"/>
  <c r="B46" i="81"/>
  <c r="T45" i="81"/>
  <c r="Z45" i="81" s="1"/>
  <c r="R45" i="81"/>
  <c r="P45" i="81"/>
  <c r="X45" i="81" s="1"/>
  <c r="H45" i="81"/>
  <c r="N45" i="81" s="1"/>
  <c r="D45" i="81"/>
  <c r="L45" i="81" s="1"/>
  <c r="B45" i="81"/>
  <c r="Z44" i="81"/>
  <c r="X44" i="81"/>
  <c r="V44" i="81"/>
  <c r="N44" i="81"/>
  <c r="L44" i="81"/>
  <c r="B44" i="81"/>
  <c r="T43" i="81"/>
  <c r="R43" i="81"/>
  <c r="P43" i="81"/>
  <c r="X43" i="81" s="1"/>
  <c r="N43" i="81"/>
  <c r="H43" i="81"/>
  <c r="D43" i="81"/>
  <c r="L43" i="81" s="1"/>
  <c r="B43" i="81"/>
  <c r="X42" i="81"/>
  <c r="Z42" i="81" s="1"/>
  <c r="N42" i="81"/>
  <c r="L42" i="81"/>
  <c r="B42" i="81"/>
  <c r="X41" i="81"/>
  <c r="T41" i="81"/>
  <c r="Z41" i="81" s="1"/>
  <c r="P41" i="81"/>
  <c r="H41" i="81"/>
  <c r="D41" i="81"/>
  <c r="B41" i="81"/>
  <c r="Z40" i="81"/>
  <c r="X40" i="81"/>
  <c r="N40" i="81"/>
  <c r="L40" i="81"/>
  <c r="F40" i="81"/>
  <c r="B40" i="81"/>
  <c r="Z39" i="81"/>
  <c r="T39" i="81"/>
  <c r="P39" i="81"/>
  <c r="X39" i="81" s="1"/>
  <c r="L39" i="81"/>
  <c r="H39" i="81"/>
  <c r="N39" i="81" s="1"/>
  <c r="D39" i="81"/>
  <c r="B39" i="81"/>
  <c r="Z38" i="81"/>
  <c r="X38" i="81"/>
  <c r="N38" i="81"/>
  <c r="L38" i="81"/>
  <c r="B38" i="81"/>
  <c r="X37" i="81"/>
  <c r="Z37" i="81" s="1"/>
  <c r="L37" i="81"/>
  <c r="N37" i="81" s="1"/>
  <c r="B37" i="81"/>
  <c r="Z36" i="81"/>
  <c r="X36" i="81"/>
  <c r="T36" i="81"/>
  <c r="P36" i="81"/>
  <c r="J36" i="81"/>
  <c r="H36" i="81"/>
  <c r="D36" i="81"/>
  <c r="B36" i="81"/>
  <c r="X35" i="81"/>
  <c r="Z35" i="81" s="1"/>
  <c r="R35" i="81"/>
  <c r="N35" i="81"/>
  <c r="L35" i="81"/>
  <c r="B35" i="81"/>
  <c r="V34" i="81"/>
  <c r="T34" i="81"/>
  <c r="P34" i="81"/>
  <c r="H34" i="81"/>
  <c r="F34" i="81"/>
  <c r="D34" i="81"/>
  <c r="L34" i="81" s="1"/>
  <c r="N34" i="81" s="1"/>
  <c r="B34" i="81"/>
  <c r="Z33" i="81"/>
  <c r="X33" i="81"/>
  <c r="N33" i="81"/>
  <c r="L33" i="81"/>
  <c r="J33" i="81"/>
  <c r="B33" i="81"/>
  <c r="Z32" i="81"/>
  <c r="X32" i="81"/>
  <c r="N32" i="81"/>
  <c r="L32" i="81"/>
  <c r="B32" i="81"/>
  <c r="Z31" i="81"/>
  <c r="X31" i="81"/>
  <c r="R31" i="81"/>
  <c r="N31" i="81"/>
  <c r="L31" i="81"/>
  <c r="B31" i="81"/>
  <c r="Z30" i="81"/>
  <c r="X30" i="81"/>
  <c r="V30" i="81"/>
  <c r="N30" i="81"/>
  <c r="L30" i="81"/>
  <c r="B30" i="81"/>
  <c r="X29" i="81"/>
  <c r="Z29" i="81" s="1"/>
  <c r="L29" i="81"/>
  <c r="N29" i="81" s="1"/>
  <c r="B29" i="81"/>
  <c r="Z28" i="81"/>
  <c r="X28" i="81"/>
  <c r="T28" i="81"/>
  <c r="P28" i="81"/>
  <c r="J28" i="81"/>
  <c r="H28" i="81"/>
  <c r="D28" i="81"/>
  <c r="L28" i="81" s="1"/>
  <c r="B28" i="81"/>
  <c r="X27" i="81"/>
  <c r="Z27" i="81" s="1"/>
  <c r="R27" i="81"/>
  <c r="N27" i="81"/>
  <c r="L27" i="81"/>
  <c r="B27" i="81"/>
  <c r="Z26" i="81"/>
  <c r="X26" i="81"/>
  <c r="V26" i="81"/>
  <c r="N26" i="81"/>
  <c r="L26" i="81"/>
  <c r="B26" i="81"/>
  <c r="X25" i="81"/>
  <c r="Z25" i="81" s="1"/>
  <c r="L25" i="81"/>
  <c r="N25" i="81" s="1"/>
  <c r="B25" i="81"/>
  <c r="Z24" i="81"/>
  <c r="X24" i="81"/>
  <c r="L24" i="81"/>
  <c r="N24" i="81" s="1"/>
  <c r="J24" i="81"/>
  <c r="B24" i="81"/>
  <c r="Z23" i="81"/>
  <c r="X23" i="81"/>
  <c r="L23" i="81"/>
  <c r="N23" i="81" s="1"/>
  <c r="F23" i="81"/>
  <c r="B23" i="81"/>
  <c r="Z22" i="81"/>
  <c r="X22" i="81"/>
  <c r="N22" i="81"/>
  <c r="L22" i="81"/>
  <c r="J22" i="81"/>
  <c r="F22" i="81"/>
  <c r="B22" i="81"/>
  <c r="X21" i="81"/>
  <c r="Z21" i="81" s="1"/>
  <c r="L21" i="81"/>
  <c r="N21" i="81" s="1"/>
  <c r="J21" i="81"/>
  <c r="B21" i="81"/>
  <c r="X20" i="81"/>
  <c r="Z20" i="81" s="1"/>
  <c r="N20" i="81"/>
  <c r="L20" i="81"/>
  <c r="B20" i="81"/>
  <c r="T19" i="81"/>
  <c r="P19" i="81"/>
  <c r="H19" i="81"/>
  <c r="N19" i="81" s="1"/>
  <c r="D19" i="81"/>
  <c r="L19" i="81" s="1"/>
  <c r="B19" i="81"/>
  <c r="T18" i="81"/>
  <c r="Z18" i="81" s="1"/>
  <c r="P18" i="81"/>
  <c r="X18" i="81" s="1"/>
  <c r="N18" i="81"/>
  <c r="L18" i="81"/>
  <c r="H18" i="81"/>
  <c r="D18" i="81"/>
  <c r="V16" i="81"/>
  <c r="J16" i="81"/>
  <c r="F16" i="81"/>
  <c r="D16" i="81"/>
  <c r="T14" i="81"/>
  <c r="Z14" i="81" s="1"/>
  <c r="P14" i="81"/>
  <c r="X14" i="81" s="1"/>
  <c r="N14" i="81"/>
  <c r="L14" i="81"/>
  <c r="H14" i="81"/>
  <c r="H16" i="81" s="1"/>
  <c r="D14" i="81"/>
  <c r="T12" i="81"/>
  <c r="V65" i="81" s="1"/>
  <c r="P12" i="81"/>
  <c r="R65" i="81" s="1"/>
  <c r="H12" i="81"/>
  <c r="J49" i="81" s="1"/>
  <c r="D12" i="81"/>
  <c r="F65" i="81" s="1"/>
  <c r="D6" i="81"/>
  <c r="D4" i="81"/>
  <c r="R36" i="80"/>
  <c r="Z34" i="80"/>
  <c r="X34" i="80"/>
  <c r="N34" i="80"/>
  <c r="L34" i="80"/>
  <c r="J32" i="80"/>
  <c r="T30" i="80"/>
  <c r="Z30" i="80" s="1"/>
  <c r="R30" i="80"/>
  <c r="P30" i="80"/>
  <c r="X30" i="80" s="1"/>
  <c r="H30" i="80"/>
  <c r="N30" i="80" s="1"/>
  <c r="D30" i="80"/>
  <c r="L30" i="80" s="1"/>
  <c r="Z28" i="80"/>
  <c r="X28" i="80"/>
  <c r="N28" i="80"/>
  <c r="L28" i="80"/>
  <c r="B28" i="80"/>
  <c r="T27" i="80"/>
  <c r="P27" i="80"/>
  <c r="X27" i="80" s="1"/>
  <c r="Z27" i="80" s="1"/>
  <c r="N27" i="80"/>
  <c r="L27" i="80"/>
  <c r="H27" i="80"/>
  <c r="D27" i="80"/>
  <c r="B27" i="80"/>
  <c r="Z26" i="80"/>
  <c r="X26" i="80"/>
  <c r="V26" i="80"/>
  <c r="R26" i="80"/>
  <c r="N26" i="80"/>
  <c r="L26" i="80"/>
  <c r="B26" i="80"/>
  <c r="X25" i="80"/>
  <c r="Z25" i="80" s="1"/>
  <c r="V25" i="80"/>
  <c r="T25" i="80"/>
  <c r="P25" i="80"/>
  <c r="H25" i="80"/>
  <c r="D25" i="80"/>
  <c r="B25" i="80"/>
  <c r="X24" i="80"/>
  <c r="Z24" i="80" s="1"/>
  <c r="V24" i="80"/>
  <c r="N24" i="80"/>
  <c r="L24" i="80"/>
  <c r="B24" i="80"/>
  <c r="T23" i="80"/>
  <c r="R23" i="80"/>
  <c r="P23" i="80"/>
  <c r="H23" i="80"/>
  <c r="N23" i="80" s="1"/>
  <c r="D23" i="80"/>
  <c r="L23" i="80" s="1"/>
  <c r="B23" i="80"/>
  <c r="X22" i="80"/>
  <c r="Z22" i="80" s="1"/>
  <c r="N22" i="80"/>
  <c r="L22" i="80"/>
  <c r="B22" i="80"/>
  <c r="V21" i="80"/>
  <c r="T21" i="80"/>
  <c r="P21" i="80"/>
  <c r="X21" i="80" s="1"/>
  <c r="H21" i="80"/>
  <c r="D21" i="80"/>
  <c r="L21" i="80" s="1"/>
  <c r="N21" i="80" s="1"/>
  <c r="B21" i="80"/>
  <c r="Z20" i="80"/>
  <c r="X20" i="80"/>
  <c r="N20" i="80"/>
  <c r="L20" i="80"/>
  <c r="B20" i="80"/>
  <c r="T19" i="80"/>
  <c r="P19" i="80"/>
  <c r="X19" i="80" s="1"/>
  <c r="Z19" i="80" s="1"/>
  <c r="N19" i="80"/>
  <c r="L19" i="80"/>
  <c r="H19" i="80"/>
  <c r="D19" i="80"/>
  <c r="B19" i="80"/>
  <c r="V18" i="80"/>
  <c r="T18" i="80"/>
  <c r="P18" i="80"/>
  <c r="X18" i="80" s="1"/>
  <c r="H18" i="80"/>
  <c r="N18" i="80" s="1"/>
  <c r="F18" i="80"/>
  <c r="D18" i="80"/>
  <c r="L18" i="80" s="1"/>
  <c r="R16" i="80"/>
  <c r="V14" i="80"/>
  <c r="T14" i="80"/>
  <c r="T16" i="80" s="1"/>
  <c r="P14" i="80"/>
  <c r="X14" i="80" s="1"/>
  <c r="H14" i="80"/>
  <c r="N14" i="80" s="1"/>
  <c r="F14" i="80"/>
  <c r="D14" i="80"/>
  <c r="L14" i="80" s="1"/>
  <c r="T12" i="80"/>
  <c r="V39" i="80" s="1"/>
  <c r="P12" i="80"/>
  <c r="R18" i="80" s="1"/>
  <c r="H12" i="80"/>
  <c r="J22" i="80" s="1"/>
  <c r="D12" i="80"/>
  <c r="F25" i="80" s="1"/>
  <c r="D6" i="80"/>
  <c r="D4" i="80"/>
  <c r="Z83" i="79"/>
  <c r="X83" i="79"/>
  <c r="N83" i="79"/>
  <c r="L83" i="79"/>
  <c r="Z79" i="79"/>
  <c r="X79" i="79"/>
  <c r="T79" i="79"/>
  <c r="P79" i="79"/>
  <c r="P78" i="79" s="1"/>
  <c r="H79" i="79"/>
  <c r="N79" i="79" s="1"/>
  <c r="D79" i="79"/>
  <c r="B79" i="79"/>
  <c r="T78" i="79"/>
  <c r="Z78" i="79" s="1"/>
  <c r="D78" i="79"/>
  <c r="Z76" i="79"/>
  <c r="X76" i="79"/>
  <c r="L76" i="79"/>
  <c r="N76" i="79" s="1"/>
  <c r="B76" i="79"/>
  <c r="T75" i="79"/>
  <c r="Z75" i="79" s="1"/>
  <c r="P75" i="79"/>
  <c r="X75" i="79" s="1"/>
  <c r="N75" i="79"/>
  <c r="L75" i="79"/>
  <c r="H75" i="79"/>
  <c r="D75" i="79"/>
  <c r="B75" i="79"/>
  <c r="X74" i="79"/>
  <c r="Z74" i="79" s="1"/>
  <c r="N74" i="79"/>
  <c r="L74" i="79"/>
  <c r="B74" i="79"/>
  <c r="Z73" i="79"/>
  <c r="X73" i="79"/>
  <c r="T73" i="79"/>
  <c r="P73" i="79"/>
  <c r="H73" i="79"/>
  <c r="N73" i="79" s="1"/>
  <c r="D73" i="79"/>
  <c r="B73" i="79"/>
  <c r="Z72" i="79"/>
  <c r="X72" i="79"/>
  <c r="N72" i="79"/>
  <c r="L72" i="79"/>
  <c r="B72" i="79"/>
  <c r="Z71" i="79"/>
  <c r="X71" i="79"/>
  <c r="N71" i="79"/>
  <c r="L71" i="79"/>
  <c r="B71" i="79"/>
  <c r="Z70" i="79"/>
  <c r="X70" i="79"/>
  <c r="N70" i="79"/>
  <c r="L70" i="79"/>
  <c r="B70" i="79"/>
  <c r="Z69" i="79"/>
  <c r="X69" i="79"/>
  <c r="N69" i="79"/>
  <c r="L69" i="79"/>
  <c r="B69" i="79"/>
  <c r="Z68" i="79"/>
  <c r="X68" i="79"/>
  <c r="N68" i="79"/>
  <c r="L68" i="79"/>
  <c r="B68" i="79"/>
  <c r="Z67" i="79"/>
  <c r="X67" i="79"/>
  <c r="N67" i="79"/>
  <c r="L67" i="79"/>
  <c r="B67" i="79"/>
  <c r="Z66" i="79"/>
  <c r="X66" i="79"/>
  <c r="L66" i="79"/>
  <c r="N66" i="79" s="1"/>
  <c r="B66" i="79"/>
  <c r="Z65" i="79"/>
  <c r="X65" i="79"/>
  <c r="N65" i="79"/>
  <c r="L65" i="79"/>
  <c r="B65" i="79"/>
  <c r="T64" i="79"/>
  <c r="P64" i="79"/>
  <c r="H64" i="79"/>
  <c r="N64" i="79" s="1"/>
  <c r="D64" i="79"/>
  <c r="L64" i="79" s="1"/>
  <c r="B64" i="79"/>
  <c r="Z63" i="79"/>
  <c r="X63" i="79"/>
  <c r="N63" i="79"/>
  <c r="L63" i="79"/>
  <c r="B63" i="79"/>
  <c r="T62" i="79"/>
  <c r="Z62" i="79" s="1"/>
  <c r="P62" i="79"/>
  <c r="X62" i="79" s="1"/>
  <c r="N62" i="79"/>
  <c r="H62" i="79"/>
  <c r="D62" i="79"/>
  <c r="L62" i="79" s="1"/>
  <c r="B62" i="79"/>
  <c r="Z61" i="79"/>
  <c r="X61" i="79"/>
  <c r="N61" i="79"/>
  <c r="L61" i="79"/>
  <c r="B61" i="79"/>
  <c r="Z60" i="79"/>
  <c r="X60" i="79"/>
  <c r="N60" i="79"/>
  <c r="L60" i="79"/>
  <c r="F60" i="79"/>
  <c r="B60" i="79"/>
  <c r="Z59" i="79"/>
  <c r="X59" i="79"/>
  <c r="N59" i="79"/>
  <c r="L59" i="79"/>
  <c r="B59" i="79"/>
  <c r="Z58" i="79"/>
  <c r="X58" i="79"/>
  <c r="N58" i="79"/>
  <c r="L58" i="79"/>
  <c r="B58" i="79"/>
  <c r="T57" i="79"/>
  <c r="Z57" i="79" s="1"/>
  <c r="P57" i="79"/>
  <c r="X57" i="79" s="1"/>
  <c r="H57" i="79"/>
  <c r="N57" i="79" s="1"/>
  <c r="D57" i="79"/>
  <c r="L57" i="79" s="1"/>
  <c r="B57" i="79"/>
  <c r="Z56" i="79"/>
  <c r="X56" i="79"/>
  <c r="N56" i="79"/>
  <c r="L56" i="79"/>
  <c r="B56" i="79"/>
  <c r="X55" i="79"/>
  <c r="Z55" i="79" s="1"/>
  <c r="N55" i="79"/>
  <c r="L55" i="79"/>
  <c r="B55" i="79"/>
  <c r="T54" i="79"/>
  <c r="P54" i="79"/>
  <c r="X54" i="79" s="1"/>
  <c r="N54" i="79"/>
  <c r="H54" i="79"/>
  <c r="D54" i="79"/>
  <c r="L54" i="79" s="1"/>
  <c r="B54" i="79"/>
  <c r="Z53" i="79"/>
  <c r="X53" i="79"/>
  <c r="N53" i="79"/>
  <c r="L53" i="79"/>
  <c r="B53" i="79"/>
  <c r="T52" i="79"/>
  <c r="P52" i="79"/>
  <c r="X52" i="79" s="1"/>
  <c r="Z52" i="79" s="1"/>
  <c r="N52" i="79"/>
  <c r="L52" i="79"/>
  <c r="H52" i="79"/>
  <c r="D52" i="79"/>
  <c r="B52" i="79"/>
  <c r="Z51" i="79"/>
  <c r="X51" i="79"/>
  <c r="N51" i="79"/>
  <c r="L51" i="79"/>
  <c r="B51" i="79"/>
  <c r="Z50" i="79"/>
  <c r="X50" i="79"/>
  <c r="T50" i="79"/>
  <c r="P50" i="79"/>
  <c r="H50" i="79"/>
  <c r="D50" i="79"/>
  <c r="B50" i="79"/>
  <c r="X49" i="79"/>
  <c r="Z49" i="79" s="1"/>
  <c r="N49" i="79"/>
  <c r="L49" i="79"/>
  <c r="B49" i="79"/>
  <c r="T48" i="79"/>
  <c r="P48" i="79"/>
  <c r="H48" i="79"/>
  <c r="N48" i="79" s="1"/>
  <c r="D48" i="79"/>
  <c r="L48" i="79" s="1"/>
  <c r="B48" i="79"/>
  <c r="Z47" i="79"/>
  <c r="X47" i="79"/>
  <c r="N47" i="79"/>
  <c r="L47" i="79"/>
  <c r="J47" i="79"/>
  <c r="B47" i="79"/>
  <c r="T46" i="79"/>
  <c r="Z46" i="79" s="1"/>
  <c r="P46" i="79"/>
  <c r="X46" i="79" s="1"/>
  <c r="N46" i="79"/>
  <c r="H46" i="79"/>
  <c r="D46" i="79"/>
  <c r="L46" i="79" s="1"/>
  <c r="B46" i="79"/>
  <c r="Z45" i="79"/>
  <c r="X45" i="79"/>
  <c r="N45" i="79"/>
  <c r="L45" i="79"/>
  <c r="B45" i="79"/>
  <c r="Z44" i="79"/>
  <c r="X44" i="79"/>
  <c r="L44" i="79"/>
  <c r="N44" i="79" s="1"/>
  <c r="B44" i="79"/>
  <c r="T43" i="79"/>
  <c r="P43" i="79"/>
  <c r="X43" i="79" s="1"/>
  <c r="Z43" i="79" s="1"/>
  <c r="N43" i="79"/>
  <c r="L43" i="79"/>
  <c r="H43" i="79"/>
  <c r="D43" i="79"/>
  <c r="B43" i="79"/>
  <c r="Z42" i="79"/>
  <c r="X42" i="79"/>
  <c r="N42" i="79"/>
  <c r="L42" i="79"/>
  <c r="B42" i="79"/>
  <c r="Z41" i="79"/>
  <c r="X41" i="79"/>
  <c r="T41" i="79"/>
  <c r="P41" i="79"/>
  <c r="H41" i="79"/>
  <c r="N41" i="79" s="1"/>
  <c r="D41" i="79"/>
  <c r="B41" i="79"/>
  <c r="Z40" i="79"/>
  <c r="X40" i="79"/>
  <c r="R40" i="79"/>
  <c r="N40" i="79"/>
  <c r="L40" i="79"/>
  <c r="B40" i="79"/>
  <c r="T39" i="79"/>
  <c r="Z39" i="79" s="1"/>
  <c r="P39" i="79"/>
  <c r="H39" i="79"/>
  <c r="N39" i="79" s="1"/>
  <c r="D39" i="79"/>
  <c r="L39" i="79" s="1"/>
  <c r="B39" i="79"/>
  <c r="Z38" i="79"/>
  <c r="X38" i="79"/>
  <c r="N38" i="79"/>
  <c r="L38" i="79"/>
  <c r="B38" i="79"/>
  <c r="T37" i="79"/>
  <c r="Z37" i="79" s="1"/>
  <c r="R37" i="79"/>
  <c r="P37" i="79"/>
  <c r="X37" i="79" s="1"/>
  <c r="H37" i="79"/>
  <c r="N37" i="79" s="1"/>
  <c r="D37" i="79"/>
  <c r="L37" i="79" s="1"/>
  <c r="B37" i="79"/>
  <c r="Z36" i="79"/>
  <c r="X36" i="79"/>
  <c r="N36" i="79"/>
  <c r="L36" i="79"/>
  <c r="B36" i="79"/>
  <c r="Z35" i="79"/>
  <c r="X35" i="79"/>
  <c r="N35" i="79"/>
  <c r="L35" i="79"/>
  <c r="J35" i="79"/>
  <c r="B35" i="79"/>
  <c r="Z34" i="79"/>
  <c r="X34" i="79"/>
  <c r="N34" i="79"/>
  <c r="L34" i="79"/>
  <c r="B34" i="79"/>
  <c r="Z33" i="79"/>
  <c r="X33" i="79"/>
  <c r="N33" i="79"/>
  <c r="L33" i="79"/>
  <c r="B33" i="79"/>
  <c r="T32" i="79"/>
  <c r="Z32" i="79" s="1"/>
  <c r="P32" i="79"/>
  <c r="X32" i="79" s="1"/>
  <c r="N32" i="79"/>
  <c r="H32" i="79"/>
  <c r="D32" i="79"/>
  <c r="L32" i="79" s="1"/>
  <c r="B32" i="79"/>
  <c r="Z31" i="79"/>
  <c r="X31" i="79"/>
  <c r="N31" i="79"/>
  <c r="L31" i="79"/>
  <c r="J31" i="79"/>
  <c r="B31" i="79"/>
  <c r="Z30" i="79"/>
  <c r="X30" i="79"/>
  <c r="N30" i="79"/>
  <c r="L30" i="79"/>
  <c r="B30" i="79"/>
  <c r="Z29" i="79"/>
  <c r="X29" i="79"/>
  <c r="N29" i="79"/>
  <c r="L29" i="79"/>
  <c r="B29" i="79"/>
  <c r="Z28" i="79"/>
  <c r="X28" i="79"/>
  <c r="N28" i="79"/>
  <c r="L28" i="79"/>
  <c r="B28" i="79"/>
  <c r="Z27" i="79"/>
  <c r="X27" i="79"/>
  <c r="N27" i="79"/>
  <c r="L27" i="79"/>
  <c r="B27" i="79"/>
  <c r="Z26" i="79"/>
  <c r="X26" i="79"/>
  <c r="N26" i="79"/>
  <c r="L26" i="79"/>
  <c r="B26" i="79"/>
  <c r="Z25" i="79"/>
  <c r="X25" i="79"/>
  <c r="N25" i="79"/>
  <c r="L25" i="79"/>
  <c r="B25" i="79"/>
  <c r="Z24" i="79"/>
  <c r="X24" i="79"/>
  <c r="L24" i="79"/>
  <c r="N24" i="79" s="1"/>
  <c r="B24" i="79"/>
  <c r="T23" i="79"/>
  <c r="P23" i="79"/>
  <c r="X23" i="79" s="1"/>
  <c r="N23" i="79"/>
  <c r="L23" i="79"/>
  <c r="H23" i="79"/>
  <c r="D23" i="79"/>
  <c r="B23" i="79"/>
  <c r="X22" i="79"/>
  <c r="T22" i="79"/>
  <c r="Z22" i="79" s="1"/>
  <c r="P22" i="79"/>
  <c r="H22" i="79"/>
  <c r="D22" i="79"/>
  <c r="L22" i="79" s="1"/>
  <c r="P20" i="79"/>
  <c r="Z18" i="79"/>
  <c r="X18" i="79"/>
  <c r="N18" i="79"/>
  <c r="L18" i="79"/>
  <c r="B18" i="79"/>
  <c r="Z17" i="79"/>
  <c r="X17" i="79"/>
  <c r="N17" i="79"/>
  <c r="L17" i="79"/>
  <c r="B17" i="79"/>
  <c r="Z16" i="79"/>
  <c r="X16" i="79"/>
  <c r="T16" i="79"/>
  <c r="P16" i="79"/>
  <c r="L16" i="79"/>
  <c r="H16" i="79"/>
  <c r="N16" i="79" s="1"/>
  <c r="D16" i="79"/>
  <c r="T14" i="79"/>
  <c r="Z14" i="79" s="1"/>
  <c r="P14" i="79"/>
  <c r="X14" i="79" s="1"/>
  <c r="N14" i="79"/>
  <c r="L14" i="79"/>
  <c r="H14" i="79"/>
  <c r="D14" i="79"/>
  <c r="D12" i="79" s="1"/>
  <c r="B14" i="79"/>
  <c r="T13" i="79"/>
  <c r="P13" i="79"/>
  <c r="P12" i="79" s="1"/>
  <c r="R57" i="79" s="1"/>
  <c r="N13" i="79"/>
  <c r="H13" i="79"/>
  <c r="H12" i="79" s="1"/>
  <c r="D13" i="79"/>
  <c r="L13" i="79" s="1"/>
  <c r="B13" i="79"/>
  <c r="D6" i="79"/>
  <c r="D4" i="79"/>
  <c r="Z30" i="78"/>
  <c r="X30" i="78"/>
  <c r="N30" i="78"/>
  <c r="L30" i="78"/>
  <c r="F30" i="78"/>
  <c r="T26" i="78"/>
  <c r="Z26" i="78" s="1"/>
  <c r="P26" i="78"/>
  <c r="X26" i="78" s="1"/>
  <c r="H26" i="78"/>
  <c r="N26" i="78" s="1"/>
  <c r="D26" i="78"/>
  <c r="L26" i="78" s="1"/>
  <c r="Z24" i="78"/>
  <c r="X24" i="78"/>
  <c r="N24" i="78"/>
  <c r="L24" i="78"/>
  <c r="F24" i="78"/>
  <c r="B24" i="78"/>
  <c r="Z23" i="78"/>
  <c r="T23" i="78"/>
  <c r="P23" i="78"/>
  <c r="X23" i="78" s="1"/>
  <c r="N23" i="78"/>
  <c r="L23" i="78"/>
  <c r="H23" i="78"/>
  <c r="D23" i="78"/>
  <c r="B23" i="78"/>
  <c r="X22" i="78"/>
  <c r="T22" i="78"/>
  <c r="Z22" i="78" s="1"/>
  <c r="P22" i="78"/>
  <c r="H22" i="78"/>
  <c r="N22" i="78" s="1"/>
  <c r="F22" i="78"/>
  <c r="D22" i="78"/>
  <c r="X18" i="78"/>
  <c r="Z18" i="78" s="1"/>
  <c r="N18" i="78"/>
  <c r="L18" i="78"/>
  <c r="B18" i="78"/>
  <c r="Z17" i="78"/>
  <c r="X17" i="78"/>
  <c r="N17" i="78"/>
  <c r="L17" i="78"/>
  <c r="B17" i="78"/>
  <c r="Z16" i="78"/>
  <c r="X16" i="78"/>
  <c r="T16" i="78"/>
  <c r="P16" i="78"/>
  <c r="L16" i="78"/>
  <c r="H16" i="78"/>
  <c r="N16" i="78" s="1"/>
  <c r="D16" i="78"/>
  <c r="T14" i="78"/>
  <c r="P14" i="78"/>
  <c r="X14" i="78" s="1"/>
  <c r="Z14" i="78" s="1"/>
  <c r="N14" i="78"/>
  <c r="L14" i="78"/>
  <c r="H14" i="78"/>
  <c r="D14" i="78"/>
  <c r="B14" i="78"/>
  <c r="T13" i="78"/>
  <c r="P13" i="78"/>
  <c r="N13" i="78"/>
  <c r="H13" i="78"/>
  <c r="H12" i="78" s="1"/>
  <c r="D13" i="78"/>
  <c r="L13" i="78" s="1"/>
  <c r="B13" i="78"/>
  <c r="D12" i="78"/>
  <c r="D6" i="78"/>
  <c r="D4" i="78"/>
  <c r="Z107" i="77"/>
  <c r="X107" i="77"/>
  <c r="L107" i="77"/>
  <c r="N107" i="77" s="1"/>
  <c r="T103" i="77"/>
  <c r="Z103" i="77" s="1"/>
  <c r="P103" i="77"/>
  <c r="H103" i="77"/>
  <c r="N103" i="77" s="1"/>
  <c r="D103" i="77"/>
  <c r="L103" i="77" s="1"/>
  <c r="Z101" i="77"/>
  <c r="X101" i="77"/>
  <c r="L101" i="77"/>
  <c r="N101" i="77" s="1"/>
  <c r="B101" i="77"/>
  <c r="T100" i="77"/>
  <c r="P100" i="77"/>
  <c r="X100" i="77" s="1"/>
  <c r="Z100" i="77" s="1"/>
  <c r="N100" i="77"/>
  <c r="L100" i="77"/>
  <c r="H100" i="77"/>
  <c r="D100" i="77"/>
  <c r="B100" i="77"/>
  <c r="X99" i="77"/>
  <c r="Z99" i="77" s="1"/>
  <c r="N99" i="77"/>
  <c r="L99" i="77"/>
  <c r="B99" i="77"/>
  <c r="Z98" i="77"/>
  <c r="X98" i="77"/>
  <c r="T98" i="77"/>
  <c r="P98" i="77"/>
  <c r="H98" i="77"/>
  <c r="D98" i="77"/>
  <c r="B98" i="77"/>
  <c r="X97" i="77"/>
  <c r="Z97" i="77" s="1"/>
  <c r="N97" i="77"/>
  <c r="L97" i="77"/>
  <c r="B97" i="77"/>
  <c r="T96" i="77"/>
  <c r="P96" i="77"/>
  <c r="H96" i="77"/>
  <c r="D96" i="77"/>
  <c r="L96" i="77" s="1"/>
  <c r="N96" i="77" s="1"/>
  <c r="B96" i="77"/>
  <c r="Z95" i="77"/>
  <c r="X95" i="77"/>
  <c r="N95" i="77"/>
  <c r="L95" i="77"/>
  <c r="B95" i="77"/>
  <c r="Z94" i="77"/>
  <c r="X94" i="77"/>
  <c r="L94" i="77"/>
  <c r="N94" i="77" s="1"/>
  <c r="B94" i="77"/>
  <c r="X93" i="77"/>
  <c r="Z93" i="77" s="1"/>
  <c r="N93" i="77"/>
  <c r="L93" i="77"/>
  <c r="B93" i="77"/>
  <c r="Z92" i="77"/>
  <c r="X92" i="77"/>
  <c r="N92" i="77"/>
  <c r="L92" i="77"/>
  <c r="B92" i="77"/>
  <c r="X91" i="77"/>
  <c r="T91" i="77"/>
  <c r="P91" i="77"/>
  <c r="H91" i="77"/>
  <c r="D91" i="77"/>
  <c r="B91" i="77"/>
  <c r="Z90" i="77"/>
  <c r="X90" i="77"/>
  <c r="N90" i="77"/>
  <c r="L90" i="77"/>
  <c r="B90" i="77"/>
  <c r="T89" i="77"/>
  <c r="P89" i="77"/>
  <c r="X89" i="77" s="1"/>
  <c r="H89" i="77"/>
  <c r="N89" i="77" s="1"/>
  <c r="D89" i="77"/>
  <c r="L89" i="77" s="1"/>
  <c r="B89" i="77"/>
  <c r="Z88" i="77"/>
  <c r="X88" i="77"/>
  <c r="N88" i="77"/>
  <c r="L88" i="77"/>
  <c r="B88" i="77"/>
  <c r="X87" i="77"/>
  <c r="Z87" i="77" s="1"/>
  <c r="N87" i="77"/>
  <c r="L87" i="77"/>
  <c r="B87" i="77"/>
  <c r="Z86" i="77"/>
  <c r="X86" i="77"/>
  <c r="L86" i="77"/>
  <c r="N86" i="77" s="1"/>
  <c r="B86" i="77"/>
  <c r="T85" i="77"/>
  <c r="P85" i="77"/>
  <c r="H85" i="77"/>
  <c r="D85" i="77"/>
  <c r="L85" i="77" s="1"/>
  <c r="N85" i="77" s="1"/>
  <c r="B85" i="77"/>
  <c r="Z84" i="77"/>
  <c r="X84" i="77"/>
  <c r="N84" i="77"/>
  <c r="L84" i="77"/>
  <c r="B84" i="77"/>
  <c r="X83" i="77"/>
  <c r="Z83" i="77" s="1"/>
  <c r="N83" i="77"/>
  <c r="L83" i="77"/>
  <c r="B83" i="77"/>
  <c r="Z82" i="77"/>
  <c r="X82" i="77"/>
  <c r="N82" i="77"/>
  <c r="L82" i="77"/>
  <c r="B82" i="77"/>
  <c r="T81" i="77"/>
  <c r="P81" i="77"/>
  <c r="N81" i="77"/>
  <c r="H81" i="77"/>
  <c r="D81" i="77"/>
  <c r="L81" i="77" s="1"/>
  <c r="B81" i="77"/>
  <c r="Z80" i="77"/>
  <c r="X80" i="77"/>
  <c r="N80" i="77"/>
  <c r="L80" i="77"/>
  <c r="B80" i="77"/>
  <c r="T79" i="77"/>
  <c r="P79" i="77"/>
  <c r="X79" i="77" s="1"/>
  <c r="Z79" i="77" s="1"/>
  <c r="N79" i="77"/>
  <c r="L79" i="77"/>
  <c r="H79" i="77"/>
  <c r="D79" i="77"/>
  <c r="B79" i="77"/>
  <c r="Z78" i="77"/>
  <c r="X78" i="77"/>
  <c r="N78" i="77"/>
  <c r="L78" i="77"/>
  <c r="B78" i="77"/>
  <c r="Z77" i="77"/>
  <c r="X77" i="77"/>
  <c r="T77" i="77"/>
  <c r="P77" i="77"/>
  <c r="L77" i="77"/>
  <c r="H77" i="77"/>
  <c r="N77" i="77" s="1"/>
  <c r="D77" i="77"/>
  <c r="B77" i="77"/>
  <c r="Z76" i="77"/>
  <c r="X76" i="77"/>
  <c r="N76" i="77"/>
  <c r="L76" i="77"/>
  <c r="B76" i="77"/>
  <c r="X75" i="77"/>
  <c r="T75" i="77"/>
  <c r="Z75" i="77" s="1"/>
  <c r="P75" i="77"/>
  <c r="H75" i="77"/>
  <c r="D75" i="77"/>
  <c r="B75" i="77"/>
  <c r="Z74" i="77"/>
  <c r="X74" i="77"/>
  <c r="L74" i="77"/>
  <c r="N74" i="77" s="1"/>
  <c r="B74" i="77"/>
  <c r="T73" i="77"/>
  <c r="P73" i="77"/>
  <c r="H73" i="77"/>
  <c r="D73" i="77"/>
  <c r="L73" i="77" s="1"/>
  <c r="N73" i="77" s="1"/>
  <c r="B73" i="77"/>
  <c r="Z72" i="77"/>
  <c r="X72" i="77"/>
  <c r="N72" i="77"/>
  <c r="L72" i="77"/>
  <c r="B72" i="77"/>
  <c r="Z71" i="77"/>
  <c r="T71" i="77"/>
  <c r="P71" i="77"/>
  <c r="X71" i="77" s="1"/>
  <c r="N71" i="77"/>
  <c r="L71" i="77"/>
  <c r="H71" i="77"/>
  <c r="D71" i="77"/>
  <c r="B71" i="77"/>
  <c r="Z70" i="77"/>
  <c r="X70" i="77"/>
  <c r="N70" i="77"/>
  <c r="L70" i="77"/>
  <c r="B70" i="77"/>
  <c r="Z69" i="77"/>
  <c r="X69" i="77"/>
  <c r="T69" i="77"/>
  <c r="P69" i="77"/>
  <c r="L69" i="77"/>
  <c r="H69" i="77"/>
  <c r="N69" i="77" s="1"/>
  <c r="D69" i="77"/>
  <c r="B69" i="77"/>
  <c r="Z68" i="77"/>
  <c r="X68" i="77"/>
  <c r="N68" i="77"/>
  <c r="L68" i="77"/>
  <c r="B68" i="77"/>
  <c r="T67" i="77"/>
  <c r="P67" i="77"/>
  <c r="H67" i="77"/>
  <c r="D67" i="77"/>
  <c r="B67" i="77"/>
  <c r="Z66" i="77"/>
  <c r="X66" i="77"/>
  <c r="N66" i="77"/>
  <c r="L66" i="77"/>
  <c r="B66" i="77"/>
  <c r="T65" i="77"/>
  <c r="P65" i="77"/>
  <c r="L65" i="77"/>
  <c r="N65" i="77" s="1"/>
  <c r="H65" i="77"/>
  <c r="D65" i="77"/>
  <c r="B65" i="77"/>
  <c r="Z64" i="77"/>
  <c r="X64" i="77"/>
  <c r="N64" i="77"/>
  <c r="L64" i="77"/>
  <c r="B64" i="77"/>
  <c r="T63" i="77"/>
  <c r="P63" i="77"/>
  <c r="X63" i="77" s="1"/>
  <c r="Z63" i="77" s="1"/>
  <c r="N63" i="77"/>
  <c r="L63" i="77"/>
  <c r="H63" i="77"/>
  <c r="D63" i="77"/>
  <c r="B63" i="77"/>
  <c r="X62" i="77"/>
  <c r="Z62" i="77" s="1"/>
  <c r="N62" i="77"/>
  <c r="L62" i="77"/>
  <c r="B62" i="77"/>
  <c r="X61" i="77"/>
  <c r="Z61" i="77" s="1"/>
  <c r="L61" i="77"/>
  <c r="N61" i="77" s="1"/>
  <c r="B61" i="77"/>
  <c r="Z60" i="77"/>
  <c r="X60" i="77"/>
  <c r="N60" i="77"/>
  <c r="L60" i="77"/>
  <c r="B60" i="77"/>
  <c r="Z59" i="77"/>
  <c r="X59" i="77"/>
  <c r="N59" i="77"/>
  <c r="L59" i="77"/>
  <c r="B59" i="77"/>
  <c r="Z58" i="77"/>
  <c r="X58" i="77"/>
  <c r="L58" i="77"/>
  <c r="N58" i="77" s="1"/>
  <c r="B58" i="77"/>
  <c r="T57" i="77"/>
  <c r="Z57" i="77" s="1"/>
  <c r="P57" i="77"/>
  <c r="X57" i="77" s="1"/>
  <c r="H57" i="77"/>
  <c r="N57" i="77" s="1"/>
  <c r="D57" i="77"/>
  <c r="L57" i="77" s="1"/>
  <c r="B57" i="77"/>
  <c r="Z56" i="77"/>
  <c r="X56" i="77"/>
  <c r="L56" i="77"/>
  <c r="N56" i="77" s="1"/>
  <c r="B56" i="77"/>
  <c r="Z55" i="77"/>
  <c r="X55" i="77"/>
  <c r="N55" i="77"/>
  <c r="L55" i="77"/>
  <c r="B55" i="77"/>
  <c r="Z54" i="77"/>
  <c r="X54" i="77"/>
  <c r="L54" i="77"/>
  <c r="N54" i="77" s="1"/>
  <c r="B54" i="77"/>
  <c r="X53" i="77"/>
  <c r="Z53" i="77" s="1"/>
  <c r="N53" i="77"/>
  <c r="L53" i="77"/>
  <c r="B53" i="77"/>
  <c r="X52" i="77"/>
  <c r="Z52" i="77" s="1"/>
  <c r="N52" i="77"/>
  <c r="L52" i="77"/>
  <c r="B52" i="77"/>
  <c r="Z51" i="77"/>
  <c r="X51" i="77"/>
  <c r="N51" i="77"/>
  <c r="L51" i="77"/>
  <c r="B51" i="77"/>
  <c r="X50" i="77"/>
  <c r="Z50" i="77" s="1"/>
  <c r="N50" i="77"/>
  <c r="L50" i="77"/>
  <c r="B50" i="77"/>
  <c r="Z49" i="77"/>
  <c r="X49" i="77"/>
  <c r="L49" i="77"/>
  <c r="N49" i="77" s="1"/>
  <c r="B49" i="77"/>
  <c r="T48" i="77"/>
  <c r="P48" i="77"/>
  <c r="X48" i="77" s="1"/>
  <c r="Z48" i="77" s="1"/>
  <c r="L48" i="77"/>
  <c r="N48" i="77" s="1"/>
  <c r="H48" i="77"/>
  <c r="D48" i="77"/>
  <c r="B48" i="77"/>
  <c r="Z47" i="77"/>
  <c r="T47" i="77"/>
  <c r="X47" i="77" s="1"/>
  <c r="P47" i="77"/>
  <c r="H47" i="77"/>
  <c r="D47" i="77"/>
  <c r="L47" i="77" s="1"/>
  <c r="Z43" i="77"/>
  <c r="X43" i="77"/>
  <c r="N43" i="77"/>
  <c r="L43" i="77"/>
  <c r="B43" i="77"/>
  <c r="Z42" i="77"/>
  <c r="X42" i="77"/>
  <c r="N42" i="77"/>
  <c r="L42" i="77"/>
  <c r="B42" i="77"/>
  <c r="X41" i="77"/>
  <c r="Z41" i="77" s="1"/>
  <c r="N41" i="77"/>
  <c r="L41" i="77"/>
  <c r="B41" i="77"/>
  <c r="Z40" i="77"/>
  <c r="X40" i="77"/>
  <c r="N40" i="77"/>
  <c r="L40" i="77"/>
  <c r="B40" i="77"/>
  <c r="Z39" i="77"/>
  <c r="X39" i="77"/>
  <c r="N39" i="77"/>
  <c r="L39" i="77"/>
  <c r="B39" i="77"/>
  <c r="Z38" i="77"/>
  <c r="X38" i="77"/>
  <c r="N38" i="77"/>
  <c r="L38" i="77"/>
  <c r="B38" i="77"/>
  <c r="Z37" i="77"/>
  <c r="X37" i="77"/>
  <c r="N37" i="77"/>
  <c r="L37" i="77"/>
  <c r="B37" i="77"/>
  <c r="X36" i="77"/>
  <c r="T36" i="77"/>
  <c r="Z36" i="77" s="1"/>
  <c r="P36" i="77"/>
  <c r="H36" i="77"/>
  <c r="D36" i="77"/>
  <c r="Z34" i="77"/>
  <c r="X34" i="77"/>
  <c r="T34" i="77"/>
  <c r="P34" i="77"/>
  <c r="L34" i="77"/>
  <c r="H34" i="77"/>
  <c r="N34" i="77" s="1"/>
  <c r="D34" i="77"/>
  <c r="B34" i="77"/>
  <c r="T33" i="77"/>
  <c r="P33" i="77"/>
  <c r="X33" i="77" s="1"/>
  <c r="Z33" i="77" s="1"/>
  <c r="N33" i="77"/>
  <c r="H33" i="77"/>
  <c r="D33" i="77"/>
  <c r="L33" i="77" s="1"/>
  <c r="B33" i="77"/>
  <c r="T32" i="77"/>
  <c r="Z32" i="77" s="1"/>
  <c r="P32" i="77"/>
  <c r="X32" i="77" s="1"/>
  <c r="H32" i="77"/>
  <c r="D32" i="77"/>
  <c r="B32" i="77"/>
  <c r="T31" i="77"/>
  <c r="P31" i="77"/>
  <c r="X31" i="77" s="1"/>
  <c r="L31" i="77"/>
  <c r="N31" i="77" s="1"/>
  <c r="H31" i="77"/>
  <c r="D31" i="77"/>
  <c r="B31" i="77"/>
  <c r="X30" i="77"/>
  <c r="T30" i="77"/>
  <c r="P30" i="77"/>
  <c r="N30" i="77"/>
  <c r="L30" i="77"/>
  <c r="H30" i="77"/>
  <c r="D30" i="77"/>
  <c r="B30" i="77"/>
  <c r="Z29" i="77"/>
  <c r="T29" i="77"/>
  <c r="P29" i="77"/>
  <c r="X29" i="77" s="1"/>
  <c r="N29" i="77"/>
  <c r="H29" i="77"/>
  <c r="D29" i="77"/>
  <c r="L29" i="77" s="1"/>
  <c r="B29" i="77"/>
  <c r="T28" i="77"/>
  <c r="P28" i="77"/>
  <c r="H28" i="77"/>
  <c r="N28" i="77" s="1"/>
  <c r="D28" i="77"/>
  <c r="L28" i="77" s="1"/>
  <c r="B28" i="77"/>
  <c r="Z27" i="77"/>
  <c r="X27" i="77"/>
  <c r="T27" i="77"/>
  <c r="P27" i="77"/>
  <c r="H27" i="77"/>
  <c r="N27" i="77" s="1"/>
  <c r="D27" i="77"/>
  <c r="B27" i="77"/>
  <c r="Z26" i="77"/>
  <c r="X26" i="77"/>
  <c r="T26" i="77"/>
  <c r="P26" i="77"/>
  <c r="L26" i="77"/>
  <c r="H26" i="77"/>
  <c r="N26" i="77" s="1"/>
  <c r="D26" i="77"/>
  <c r="B26" i="77"/>
  <c r="T25" i="77"/>
  <c r="P25" i="77"/>
  <c r="X25" i="77" s="1"/>
  <c r="Z25" i="77" s="1"/>
  <c r="N25" i="77"/>
  <c r="H25" i="77"/>
  <c r="D25" i="77"/>
  <c r="L25" i="77" s="1"/>
  <c r="B25" i="77"/>
  <c r="T24" i="77"/>
  <c r="P24" i="77"/>
  <c r="X24" i="77" s="1"/>
  <c r="H24" i="77"/>
  <c r="N24" i="77" s="1"/>
  <c r="D24" i="77"/>
  <c r="B24" i="77"/>
  <c r="T23" i="77"/>
  <c r="P23" i="77"/>
  <c r="L23" i="77"/>
  <c r="N23" i="77" s="1"/>
  <c r="H23" i="77"/>
  <c r="D23" i="77"/>
  <c r="B23" i="77"/>
  <c r="X22" i="77"/>
  <c r="T22" i="77"/>
  <c r="Z22" i="77" s="1"/>
  <c r="P22" i="77"/>
  <c r="N22" i="77"/>
  <c r="L22" i="77"/>
  <c r="H22" i="77"/>
  <c r="D22" i="77"/>
  <c r="B22" i="77"/>
  <c r="T21" i="77"/>
  <c r="P21" i="77"/>
  <c r="X21" i="77" s="1"/>
  <c r="Z21" i="77" s="1"/>
  <c r="H21" i="77"/>
  <c r="D21" i="77"/>
  <c r="L21" i="77" s="1"/>
  <c r="N21" i="77" s="1"/>
  <c r="B21" i="77"/>
  <c r="T20" i="77"/>
  <c r="P20" i="77"/>
  <c r="H20" i="77"/>
  <c r="D20" i="77"/>
  <c r="L20" i="77" s="1"/>
  <c r="B20" i="77"/>
  <c r="X19" i="77"/>
  <c r="Z19" i="77" s="1"/>
  <c r="T19" i="77"/>
  <c r="P19" i="77"/>
  <c r="H19" i="77"/>
  <c r="N19" i="77" s="1"/>
  <c r="D19" i="77"/>
  <c r="L19" i="77" s="1"/>
  <c r="B19" i="77"/>
  <c r="Z18" i="77"/>
  <c r="X18" i="77"/>
  <c r="T18" i="77"/>
  <c r="P18" i="77"/>
  <c r="L18" i="77"/>
  <c r="H18" i="77"/>
  <c r="N18" i="77" s="1"/>
  <c r="D18" i="77"/>
  <c r="B18" i="77"/>
  <c r="T17" i="77"/>
  <c r="P17" i="77"/>
  <c r="X17" i="77" s="1"/>
  <c r="Z17" i="77" s="1"/>
  <c r="N17" i="77"/>
  <c r="H17" i="77"/>
  <c r="D17" i="77"/>
  <c r="L17" i="77" s="1"/>
  <c r="B17" i="77"/>
  <c r="T16" i="77"/>
  <c r="P16" i="77"/>
  <c r="X16" i="77" s="1"/>
  <c r="H16" i="77"/>
  <c r="D16" i="77"/>
  <c r="B16" i="77"/>
  <c r="T15" i="77"/>
  <c r="P15" i="77"/>
  <c r="L15" i="77"/>
  <c r="N15" i="77" s="1"/>
  <c r="H15" i="77"/>
  <c r="D15" i="77"/>
  <c r="B15" i="77"/>
  <c r="X14" i="77"/>
  <c r="T14" i="77"/>
  <c r="P14" i="77"/>
  <c r="N14" i="77"/>
  <c r="L14" i="77"/>
  <c r="H14" i="77"/>
  <c r="D14" i="77"/>
  <c r="B14" i="77"/>
  <c r="T13" i="77"/>
  <c r="P13" i="77"/>
  <c r="P12" i="77" s="1"/>
  <c r="H13" i="77"/>
  <c r="D13" i="77"/>
  <c r="L13" i="77" s="1"/>
  <c r="N13" i="77" s="1"/>
  <c r="B13" i="77"/>
  <c r="D6" i="77"/>
  <c r="D4" i="77"/>
  <c r="Z73" i="76"/>
  <c r="X73" i="76"/>
  <c r="N73" i="76"/>
  <c r="L73" i="76"/>
  <c r="X69" i="76"/>
  <c r="T69" i="76"/>
  <c r="Z69" i="76" s="1"/>
  <c r="P69" i="76"/>
  <c r="H69" i="76"/>
  <c r="N69" i="76" s="1"/>
  <c r="D69" i="76"/>
  <c r="L69" i="76" s="1"/>
  <c r="Z67" i="76"/>
  <c r="X67" i="76"/>
  <c r="L67" i="76"/>
  <c r="N67" i="76" s="1"/>
  <c r="B67" i="76"/>
  <c r="T66" i="76"/>
  <c r="Z66" i="76" s="1"/>
  <c r="P66" i="76"/>
  <c r="X66" i="76" s="1"/>
  <c r="L66" i="76"/>
  <c r="N66" i="76" s="1"/>
  <c r="H66" i="76"/>
  <c r="D66" i="76"/>
  <c r="B66" i="76"/>
  <c r="X65" i="76"/>
  <c r="Z65" i="76" s="1"/>
  <c r="L65" i="76"/>
  <c r="N65" i="76" s="1"/>
  <c r="B65" i="76"/>
  <c r="X64" i="76"/>
  <c r="Z64" i="76" s="1"/>
  <c r="T64" i="76"/>
  <c r="P64" i="76"/>
  <c r="N64" i="76"/>
  <c r="H64" i="76"/>
  <c r="L64" i="76" s="1"/>
  <c r="D64" i="76"/>
  <c r="B64" i="76"/>
  <c r="Z63" i="76"/>
  <c r="X63" i="76"/>
  <c r="N63" i="76"/>
  <c r="L63" i="76"/>
  <c r="B63" i="76"/>
  <c r="Z62" i="76"/>
  <c r="X62" i="76"/>
  <c r="N62" i="76"/>
  <c r="L62" i="76"/>
  <c r="B62" i="76"/>
  <c r="X61" i="76"/>
  <c r="Z61" i="76" s="1"/>
  <c r="N61" i="76"/>
  <c r="L61" i="76"/>
  <c r="B61" i="76"/>
  <c r="X60" i="76"/>
  <c r="Z60" i="76" s="1"/>
  <c r="N60" i="76"/>
  <c r="L60" i="76"/>
  <c r="B60" i="76"/>
  <c r="T59" i="76"/>
  <c r="P59" i="76"/>
  <c r="X59" i="76" s="1"/>
  <c r="Z59" i="76" s="1"/>
  <c r="N59" i="76"/>
  <c r="L59" i="76"/>
  <c r="H59" i="76"/>
  <c r="D59" i="76"/>
  <c r="B59" i="76"/>
  <c r="Z58" i="76"/>
  <c r="X58" i="76"/>
  <c r="N58" i="76"/>
  <c r="L58" i="76"/>
  <c r="B58" i="76"/>
  <c r="Z57" i="76"/>
  <c r="X57" i="76"/>
  <c r="N57" i="76"/>
  <c r="L57" i="76"/>
  <c r="B57" i="76"/>
  <c r="X56" i="76"/>
  <c r="Z56" i="76" s="1"/>
  <c r="N56" i="76"/>
  <c r="L56" i="76"/>
  <c r="B56" i="76"/>
  <c r="Z55" i="76"/>
  <c r="X55" i="76"/>
  <c r="N55" i="76"/>
  <c r="L55" i="76"/>
  <c r="B55" i="76"/>
  <c r="T54" i="76"/>
  <c r="R54" i="76"/>
  <c r="P54" i="76"/>
  <c r="X54" i="76" s="1"/>
  <c r="L54" i="76"/>
  <c r="N54" i="76" s="1"/>
  <c r="H54" i="76"/>
  <c r="D54" i="76"/>
  <c r="B54" i="76"/>
  <c r="Z53" i="76"/>
  <c r="X53" i="76"/>
  <c r="N53" i="76"/>
  <c r="L53" i="76"/>
  <c r="B53" i="76"/>
  <c r="X52" i="76"/>
  <c r="Z52" i="76" s="1"/>
  <c r="N52" i="76"/>
  <c r="L52" i="76"/>
  <c r="B52" i="76"/>
  <c r="T51" i="76"/>
  <c r="P51" i="76"/>
  <c r="X51" i="76" s="1"/>
  <c r="Z51" i="76" s="1"/>
  <c r="N51" i="76"/>
  <c r="L51" i="76"/>
  <c r="H51" i="76"/>
  <c r="D51" i="76"/>
  <c r="B51" i="76"/>
  <c r="Z50" i="76"/>
  <c r="X50" i="76"/>
  <c r="L50" i="76"/>
  <c r="N50" i="76" s="1"/>
  <c r="B50" i="76"/>
  <c r="X49" i="76"/>
  <c r="Z49" i="76" s="1"/>
  <c r="T49" i="76"/>
  <c r="P49" i="76"/>
  <c r="L49" i="76"/>
  <c r="H49" i="76"/>
  <c r="N49" i="76" s="1"/>
  <c r="D49" i="76"/>
  <c r="B49" i="76"/>
  <c r="Z48" i="76"/>
  <c r="X48" i="76"/>
  <c r="L48" i="76"/>
  <c r="N48" i="76" s="1"/>
  <c r="B48" i="76"/>
  <c r="X47" i="76"/>
  <c r="T47" i="76"/>
  <c r="P47" i="76"/>
  <c r="H47" i="76"/>
  <c r="D47" i="76"/>
  <c r="B47" i="76"/>
  <c r="X46" i="76"/>
  <c r="Z46" i="76" s="1"/>
  <c r="N46" i="76"/>
  <c r="L46" i="76"/>
  <c r="B46" i="76"/>
  <c r="T45" i="76"/>
  <c r="P45" i="76"/>
  <c r="N45" i="76"/>
  <c r="H45" i="76"/>
  <c r="D45" i="76"/>
  <c r="L45" i="76" s="1"/>
  <c r="B45" i="76"/>
  <c r="X44" i="76"/>
  <c r="Z44" i="76" s="1"/>
  <c r="N44" i="76"/>
  <c r="L44" i="76"/>
  <c r="B44" i="76"/>
  <c r="Z43" i="76"/>
  <c r="X43" i="76"/>
  <c r="L43" i="76"/>
  <c r="N43" i="76" s="1"/>
  <c r="B43" i="76"/>
  <c r="T42" i="76"/>
  <c r="R42" i="76"/>
  <c r="P42" i="76"/>
  <c r="X42" i="76" s="1"/>
  <c r="L42" i="76"/>
  <c r="N42" i="76" s="1"/>
  <c r="H42" i="76"/>
  <c r="D42" i="76"/>
  <c r="B42" i="76"/>
  <c r="Z41" i="76"/>
  <c r="X41" i="76"/>
  <c r="N41" i="76"/>
  <c r="L41" i="76"/>
  <c r="B41" i="76"/>
  <c r="Z40" i="76"/>
  <c r="X40" i="76"/>
  <c r="T40" i="76"/>
  <c r="P40" i="76"/>
  <c r="N40" i="76"/>
  <c r="H40" i="76"/>
  <c r="L40" i="76" s="1"/>
  <c r="D40" i="76"/>
  <c r="B40" i="76"/>
  <c r="Z39" i="76"/>
  <c r="X39" i="76"/>
  <c r="N39" i="76"/>
  <c r="L39" i="76"/>
  <c r="B39" i="76"/>
  <c r="Z38" i="76"/>
  <c r="T38" i="76"/>
  <c r="X38" i="76" s="1"/>
  <c r="P38" i="76"/>
  <c r="H38" i="76"/>
  <c r="N38" i="76" s="1"/>
  <c r="D38" i="76"/>
  <c r="L38" i="76" s="1"/>
  <c r="B38" i="76"/>
  <c r="Z37" i="76"/>
  <c r="X37" i="76"/>
  <c r="R37" i="76"/>
  <c r="N37" i="76"/>
  <c r="L37" i="76"/>
  <c r="B37" i="76"/>
  <c r="T36" i="76"/>
  <c r="Z36" i="76" s="1"/>
  <c r="P36" i="76"/>
  <c r="X36" i="76" s="1"/>
  <c r="H36" i="76"/>
  <c r="N36" i="76" s="1"/>
  <c r="D36" i="76"/>
  <c r="L36" i="76" s="1"/>
  <c r="B36" i="76"/>
  <c r="Z35" i="76"/>
  <c r="X35" i="76"/>
  <c r="N35" i="76"/>
  <c r="L35" i="76"/>
  <c r="B35" i="76"/>
  <c r="Z34" i="76"/>
  <c r="X34" i="76"/>
  <c r="N34" i="76"/>
  <c r="L34" i="76"/>
  <c r="B34" i="76"/>
  <c r="X33" i="76"/>
  <c r="Z33" i="76" s="1"/>
  <c r="R33" i="76"/>
  <c r="N33" i="76"/>
  <c r="L33" i="76"/>
  <c r="B33" i="76"/>
  <c r="T32" i="76"/>
  <c r="P32" i="76"/>
  <c r="X32" i="76" s="1"/>
  <c r="H32" i="76"/>
  <c r="N32" i="76" s="1"/>
  <c r="D32" i="76"/>
  <c r="L32" i="76" s="1"/>
  <c r="B32" i="76"/>
  <c r="Z31" i="76"/>
  <c r="X31" i="76"/>
  <c r="N31" i="76"/>
  <c r="L31" i="76"/>
  <c r="B31" i="76"/>
  <c r="X30" i="76"/>
  <c r="Z30" i="76" s="1"/>
  <c r="N30" i="76"/>
  <c r="L30" i="76"/>
  <c r="B30" i="76"/>
  <c r="Z29" i="76"/>
  <c r="X29" i="76"/>
  <c r="R29" i="76"/>
  <c r="N29" i="76"/>
  <c r="L29" i="76"/>
  <c r="B29" i="76"/>
  <c r="Z28" i="76"/>
  <c r="X28" i="76"/>
  <c r="N28" i="76"/>
  <c r="L28" i="76"/>
  <c r="B28" i="76"/>
  <c r="Z27" i="76"/>
  <c r="X27" i="76"/>
  <c r="N27" i="76"/>
  <c r="L27" i="76"/>
  <c r="B27" i="76"/>
  <c r="Z26" i="76"/>
  <c r="X26" i="76"/>
  <c r="R26" i="76"/>
  <c r="N26" i="76"/>
  <c r="L26" i="76"/>
  <c r="B26" i="76"/>
  <c r="Z25" i="76"/>
  <c r="X25" i="76"/>
  <c r="N25" i="76"/>
  <c r="L25" i="76"/>
  <c r="B25" i="76"/>
  <c r="X24" i="76"/>
  <c r="Z24" i="76" s="1"/>
  <c r="N24" i="76"/>
  <c r="L24" i="76"/>
  <c r="J24" i="76"/>
  <c r="B24" i="76"/>
  <c r="Z23" i="76"/>
  <c r="T23" i="76"/>
  <c r="P23" i="76"/>
  <c r="X23" i="76" s="1"/>
  <c r="N23" i="76"/>
  <c r="L23" i="76"/>
  <c r="J23" i="76"/>
  <c r="H23" i="76"/>
  <c r="D23" i="76"/>
  <c r="B23" i="76"/>
  <c r="T22" i="76"/>
  <c r="X22" i="76" s="1"/>
  <c r="P22" i="76"/>
  <c r="H22" i="76"/>
  <c r="N22" i="76" s="1"/>
  <c r="D22" i="76"/>
  <c r="L22" i="76" s="1"/>
  <c r="P20" i="76"/>
  <c r="Z18" i="76"/>
  <c r="X18" i="76"/>
  <c r="R18" i="76"/>
  <c r="N18" i="76"/>
  <c r="L18" i="76"/>
  <c r="B18" i="76"/>
  <c r="Z17" i="76"/>
  <c r="X17" i="76"/>
  <c r="N17" i="76"/>
  <c r="L17" i="76"/>
  <c r="B17" i="76"/>
  <c r="X16" i="76"/>
  <c r="Z16" i="76" s="1"/>
  <c r="T16" i="76"/>
  <c r="P16" i="76"/>
  <c r="J16" i="76"/>
  <c r="H16" i="76"/>
  <c r="N16" i="76" s="1"/>
  <c r="D16" i="76"/>
  <c r="T14" i="76"/>
  <c r="Z14" i="76" s="1"/>
  <c r="P14" i="76"/>
  <c r="N14" i="76"/>
  <c r="L14" i="76"/>
  <c r="H14" i="76"/>
  <c r="D14" i="76"/>
  <c r="D12" i="76" s="1"/>
  <c r="F57" i="76" s="1"/>
  <c r="B14" i="76"/>
  <c r="T13" i="76"/>
  <c r="P13" i="76"/>
  <c r="N13" i="76"/>
  <c r="H13" i="76"/>
  <c r="H12" i="76" s="1"/>
  <c r="J60" i="76" s="1"/>
  <c r="D13" i="76"/>
  <c r="L13" i="76" s="1"/>
  <c r="B13" i="76"/>
  <c r="T12" i="76"/>
  <c r="V48" i="76" s="1"/>
  <c r="P12" i="76"/>
  <c r="D6" i="76"/>
  <c r="D4" i="76"/>
  <c r="Z31" i="75"/>
  <c r="X31" i="75"/>
  <c r="L31" i="75"/>
  <c r="N31" i="75" s="1"/>
  <c r="V27" i="75"/>
  <c r="T27" i="75"/>
  <c r="Z27" i="75" s="1"/>
  <c r="R27" i="75"/>
  <c r="P27" i="75"/>
  <c r="X27" i="75" s="1"/>
  <c r="H27" i="75"/>
  <c r="N27" i="75" s="1"/>
  <c r="D27" i="75"/>
  <c r="L27" i="75" s="1"/>
  <c r="Z25" i="75"/>
  <c r="X25" i="75"/>
  <c r="T25" i="75"/>
  <c r="P25" i="75"/>
  <c r="N25" i="75"/>
  <c r="L25" i="75"/>
  <c r="H25" i="75"/>
  <c r="D25" i="75"/>
  <c r="X21" i="75"/>
  <c r="Z21" i="75" s="1"/>
  <c r="L21" i="75"/>
  <c r="N21" i="75" s="1"/>
  <c r="B21" i="75"/>
  <c r="Z20" i="75"/>
  <c r="X20" i="75"/>
  <c r="L20" i="75"/>
  <c r="N20" i="75" s="1"/>
  <c r="B20" i="75"/>
  <c r="Z19" i="75"/>
  <c r="X19" i="75"/>
  <c r="N19" i="75"/>
  <c r="L19" i="75"/>
  <c r="B19" i="75"/>
  <c r="T18" i="75"/>
  <c r="R18" i="75"/>
  <c r="P18" i="75"/>
  <c r="X18" i="75" s="1"/>
  <c r="N18" i="75"/>
  <c r="H18" i="75"/>
  <c r="D18" i="75"/>
  <c r="L18" i="75" s="1"/>
  <c r="Z16" i="75"/>
  <c r="X16" i="75"/>
  <c r="T16" i="75"/>
  <c r="T12" i="75" s="1"/>
  <c r="P16" i="75"/>
  <c r="H16" i="75"/>
  <c r="N16" i="75" s="1"/>
  <c r="D16" i="75"/>
  <c r="L16" i="75" s="1"/>
  <c r="B16" i="75"/>
  <c r="X15" i="75"/>
  <c r="Z15" i="75" s="1"/>
  <c r="T15" i="75"/>
  <c r="P15" i="75"/>
  <c r="H15" i="75"/>
  <c r="D15" i="75"/>
  <c r="B15" i="75"/>
  <c r="Z14" i="75"/>
  <c r="T14" i="75"/>
  <c r="P14" i="75"/>
  <c r="X14" i="75" s="1"/>
  <c r="H14" i="75"/>
  <c r="D14" i="75"/>
  <c r="L14" i="75" s="1"/>
  <c r="B14" i="75"/>
  <c r="T13" i="75"/>
  <c r="Z13" i="75" s="1"/>
  <c r="P13" i="75"/>
  <c r="X13" i="75" s="1"/>
  <c r="L13" i="75"/>
  <c r="H13" i="75"/>
  <c r="N13" i="75" s="1"/>
  <c r="D13" i="75"/>
  <c r="B13" i="75"/>
  <c r="P12" i="75"/>
  <c r="D6" i="75"/>
  <c r="D4" i="75"/>
  <c r="V51" i="74"/>
  <c r="Z46" i="74"/>
  <c r="X46" i="74"/>
  <c r="R46" i="74"/>
  <c r="N46" i="74"/>
  <c r="L46" i="74"/>
  <c r="T42" i="74"/>
  <c r="Z42" i="74" s="1"/>
  <c r="R42" i="74"/>
  <c r="P42" i="74"/>
  <c r="X42" i="74" s="1"/>
  <c r="L42" i="74"/>
  <c r="H42" i="74"/>
  <c r="N42" i="74" s="1"/>
  <c r="D42" i="74"/>
  <c r="Z40" i="74"/>
  <c r="X40" i="74"/>
  <c r="R40" i="74"/>
  <c r="L40" i="74"/>
  <c r="N40" i="74" s="1"/>
  <c r="B40" i="74"/>
  <c r="V39" i="74"/>
  <c r="T39" i="74"/>
  <c r="P39" i="74"/>
  <c r="X39" i="74" s="1"/>
  <c r="Z39" i="74" s="1"/>
  <c r="L39" i="74"/>
  <c r="H39" i="74"/>
  <c r="N39" i="74" s="1"/>
  <c r="F39" i="74"/>
  <c r="D39" i="74"/>
  <c r="B39" i="74"/>
  <c r="Z38" i="74"/>
  <c r="X38" i="74"/>
  <c r="V38" i="74"/>
  <c r="N38" i="74"/>
  <c r="L38" i="74"/>
  <c r="B38" i="74"/>
  <c r="X37" i="74"/>
  <c r="V37" i="74"/>
  <c r="T37" i="74"/>
  <c r="Z37" i="74" s="1"/>
  <c r="R37" i="74"/>
  <c r="P37" i="74"/>
  <c r="H37" i="74"/>
  <c r="N37" i="74" s="1"/>
  <c r="D37" i="74"/>
  <c r="B37" i="74"/>
  <c r="X36" i="74"/>
  <c r="Z36" i="74" s="1"/>
  <c r="N36" i="74"/>
  <c r="L36" i="74"/>
  <c r="F36" i="74"/>
  <c r="B36" i="74"/>
  <c r="T35" i="74"/>
  <c r="P35" i="74"/>
  <c r="N35" i="74"/>
  <c r="H35" i="74"/>
  <c r="D35" i="74"/>
  <c r="L35" i="74" s="1"/>
  <c r="B35" i="74"/>
  <c r="X34" i="74"/>
  <c r="Z34" i="74" s="1"/>
  <c r="N34" i="74"/>
  <c r="L34" i="74"/>
  <c r="B34" i="74"/>
  <c r="Z33" i="74"/>
  <c r="X33" i="74"/>
  <c r="N33" i="74"/>
  <c r="L33" i="74"/>
  <c r="B33" i="74"/>
  <c r="T32" i="74"/>
  <c r="Z32" i="74" s="1"/>
  <c r="R32" i="74"/>
  <c r="P32" i="74"/>
  <c r="X32" i="74" s="1"/>
  <c r="L32" i="74"/>
  <c r="H32" i="74"/>
  <c r="N32" i="74" s="1"/>
  <c r="D32" i="74"/>
  <c r="B32" i="74"/>
  <c r="Z31" i="74"/>
  <c r="X31" i="74"/>
  <c r="V31" i="74"/>
  <c r="N31" i="74"/>
  <c r="L31" i="74"/>
  <c r="F31" i="74"/>
  <c r="B31" i="74"/>
  <c r="X30" i="74"/>
  <c r="T30" i="74"/>
  <c r="Z30" i="74" s="1"/>
  <c r="P30" i="74"/>
  <c r="H30" i="74"/>
  <c r="D30" i="74"/>
  <c r="B30" i="74"/>
  <c r="X29" i="74"/>
  <c r="Z29" i="74" s="1"/>
  <c r="V29" i="74"/>
  <c r="N29" i="74"/>
  <c r="L29" i="74"/>
  <c r="B29" i="74"/>
  <c r="T28" i="74"/>
  <c r="P28" i="74"/>
  <c r="H28" i="74"/>
  <c r="D28" i="74"/>
  <c r="L28" i="74" s="1"/>
  <c r="B28" i="74"/>
  <c r="Z27" i="74"/>
  <c r="X27" i="74"/>
  <c r="R27" i="74"/>
  <c r="N27" i="74"/>
  <c r="L27" i="74"/>
  <c r="J27" i="74"/>
  <c r="B27" i="74"/>
  <c r="V26" i="74"/>
  <c r="T26" i="74"/>
  <c r="P26" i="74"/>
  <c r="X26" i="74" s="1"/>
  <c r="H26" i="74"/>
  <c r="N26" i="74" s="1"/>
  <c r="F26" i="74"/>
  <c r="D26" i="74"/>
  <c r="L26" i="74" s="1"/>
  <c r="B26" i="74"/>
  <c r="Z25" i="74"/>
  <c r="X25" i="74"/>
  <c r="V25" i="74"/>
  <c r="N25" i="74"/>
  <c r="L25" i="74"/>
  <c r="B25" i="74"/>
  <c r="X24" i="74"/>
  <c r="Z24" i="74" s="1"/>
  <c r="N24" i="74"/>
  <c r="L24" i="74"/>
  <c r="F24" i="74"/>
  <c r="B24" i="74"/>
  <c r="Z23" i="74"/>
  <c r="X23" i="74"/>
  <c r="R23" i="74"/>
  <c r="N23" i="74"/>
  <c r="L23" i="74"/>
  <c r="J23" i="74"/>
  <c r="B23" i="74"/>
  <c r="Z22" i="74"/>
  <c r="X22" i="74"/>
  <c r="V22" i="74"/>
  <c r="R22" i="74"/>
  <c r="N22" i="74"/>
  <c r="L22" i="74"/>
  <c r="B22" i="74"/>
  <c r="X21" i="74"/>
  <c r="Z21" i="74" s="1"/>
  <c r="V21" i="74"/>
  <c r="N21" i="74"/>
  <c r="L21" i="74"/>
  <c r="B21" i="74"/>
  <c r="T20" i="74"/>
  <c r="P20" i="74"/>
  <c r="H20" i="74"/>
  <c r="N20" i="74" s="1"/>
  <c r="D20" i="74"/>
  <c r="L20" i="74" s="1"/>
  <c r="B20" i="74"/>
  <c r="T19" i="74"/>
  <c r="R19" i="74"/>
  <c r="P19" i="74"/>
  <c r="H19" i="74"/>
  <c r="D19" i="74"/>
  <c r="L19" i="74" s="1"/>
  <c r="N19" i="74" s="1"/>
  <c r="V17" i="74"/>
  <c r="F17" i="74"/>
  <c r="X15" i="74"/>
  <c r="Z15" i="74" s="1"/>
  <c r="V15" i="74"/>
  <c r="R15" i="74"/>
  <c r="N15" i="74"/>
  <c r="L15" i="74"/>
  <c r="J15" i="74"/>
  <c r="B15" i="74"/>
  <c r="V14" i="74"/>
  <c r="T14" i="74"/>
  <c r="Z14" i="74" s="1"/>
  <c r="P14" i="74"/>
  <c r="X14" i="74" s="1"/>
  <c r="H14" i="74"/>
  <c r="N14" i="74" s="1"/>
  <c r="F14" i="74"/>
  <c r="D14" i="74"/>
  <c r="L14" i="74" s="1"/>
  <c r="Z12" i="74"/>
  <c r="X12" i="74"/>
  <c r="T12" i="74"/>
  <c r="V48" i="74" s="1"/>
  <c r="P12" i="74"/>
  <c r="R48" i="74" s="1"/>
  <c r="H12" i="74"/>
  <c r="J51" i="74" s="1"/>
  <c r="D12" i="74"/>
  <c r="F30" i="74" s="1"/>
  <c r="D6" i="74"/>
  <c r="D4" i="74"/>
  <c r="R73" i="73"/>
  <c r="X68" i="73"/>
  <c r="Z68" i="73" s="1"/>
  <c r="N68" i="73"/>
  <c r="L68" i="73"/>
  <c r="R66" i="73"/>
  <c r="T64" i="73"/>
  <c r="P64" i="73"/>
  <c r="H64" i="73"/>
  <c r="N64" i="73" s="1"/>
  <c r="D64" i="73"/>
  <c r="L64" i="73" s="1"/>
  <c r="X62" i="73"/>
  <c r="Z62" i="73" s="1"/>
  <c r="N62" i="73"/>
  <c r="L62" i="73"/>
  <c r="B62" i="73"/>
  <c r="T61" i="73"/>
  <c r="P61" i="73"/>
  <c r="H61" i="73"/>
  <c r="D61" i="73"/>
  <c r="L61" i="73" s="1"/>
  <c r="N61" i="73" s="1"/>
  <c r="B61" i="73"/>
  <c r="X60" i="73"/>
  <c r="Z60" i="73" s="1"/>
  <c r="N60" i="73"/>
  <c r="L60" i="73"/>
  <c r="B60" i="73"/>
  <c r="T59" i="73"/>
  <c r="P59" i="73"/>
  <c r="X59" i="73" s="1"/>
  <c r="Z59" i="73" s="1"/>
  <c r="H59" i="73"/>
  <c r="D59" i="73"/>
  <c r="L59" i="73" s="1"/>
  <c r="N59" i="73" s="1"/>
  <c r="B59" i="73"/>
  <c r="Z58" i="73"/>
  <c r="X58" i="73"/>
  <c r="R58" i="73"/>
  <c r="N58" i="73"/>
  <c r="L58" i="73"/>
  <c r="B58" i="73"/>
  <c r="Z57" i="73"/>
  <c r="X57" i="73"/>
  <c r="N57" i="73"/>
  <c r="L57" i="73"/>
  <c r="B57" i="73"/>
  <c r="Z56" i="73"/>
  <c r="X56" i="73"/>
  <c r="N56" i="73"/>
  <c r="L56" i="73"/>
  <c r="B56" i="73"/>
  <c r="Z55" i="73"/>
  <c r="X55" i="73"/>
  <c r="N55" i="73"/>
  <c r="L55" i="73"/>
  <c r="B55" i="73"/>
  <c r="Z54" i="73"/>
  <c r="X54" i="73"/>
  <c r="N54" i="73"/>
  <c r="L54" i="73"/>
  <c r="B54" i="73"/>
  <c r="T53" i="73"/>
  <c r="Z53" i="73" s="1"/>
  <c r="P53" i="73"/>
  <c r="X53" i="73" s="1"/>
  <c r="N53" i="73"/>
  <c r="H53" i="73"/>
  <c r="D53" i="73"/>
  <c r="L53" i="73" s="1"/>
  <c r="B53" i="73"/>
  <c r="X52" i="73"/>
  <c r="Z52" i="73" s="1"/>
  <c r="N52" i="73"/>
  <c r="L52" i="73"/>
  <c r="B52" i="73"/>
  <c r="Z51" i="73"/>
  <c r="X51" i="73"/>
  <c r="L51" i="73"/>
  <c r="N51" i="73" s="1"/>
  <c r="B51" i="73"/>
  <c r="T50" i="73"/>
  <c r="R50" i="73"/>
  <c r="P50" i="73"/>
  <c r="X50" i="73" s="1"/>
  <c r="L50" i="73"/>
  <c r="H50" i="73"/>
  <c r="D50" i="73"/>
  <c r="B50" i="73"/>
  <c r="Z49" i="73"/>
  <c r="X49" i="73"/>
  <c r="N49" i="73"/>
  <c r="L49" i="73"/>
  <c r="B49" i="73"/>
  <c r="X48" i="73"/>
  <c r="T48" i="73"/>
  <c r="P48" i="73"/>
  <c r="H48" i="73"/>
  <c r="D48" i="73"/>
  <c r="B48" i="73"/>
  <c r="X47" i="73"/>
  <c r="Z47" i="73" s="1"/>
  <c r="N47" i="73"/>
  <c r="L47" i="73"/>
  <c r="B47" i="73"/>
  <c r="Z46" i="73"/>
  <c r="X46" i="73"/>
  <c r="R46" i="73"/>
  <c r="N46" i="73"/>
  <c r="L46" i="73"/>
  <c r="B46" i="73"/>
  <c r="V45" i="73"/>
  <c r="T45" i="73"/>
  <c r="P45" i="73"/>
  <c r="X45" i="73" s="1"/>
  <c r="Z45" i="73" s="1"/>
  <c r="L45" i="73"/>
  <c r="H45" i="73"/>
  <c r="N45" i="73" s="1"/>
  <c r="F45" i="73"/>
  <c r="D45" i="73"/>
  <c r="B45" i="73"/>
  <c r="Z44" i="73"/>
  <c r="X44" i="73"/>
  <c r="N44" i="73"/>
  <c r="L44" i="73"/>
  <c r="B44" i="73"/>
  <c r="X43" i="73"/>
  <c r="T43" i="73"/>
  <c r="Z43" i="73" s="1"/>
  <c r="R43" i="73"/>
  <c r="P43" i="73"/>
  <c r="H43" i="73"/>
  <c r="N43" i="73" s="1"/>
  <c r="D43" i="73"/>
  <c r="L43" i="73" s="1"/>
  <c r="B43" i="73"/>
  <c r="X42" i="73"/>
  <c r="Z42" i="73" s="1"/>
  <c r="N42" i="73"/>
  <c r="L42" i="73"/>
  <c r="B42" i="73"/>
  <c r="T41" i="73"/>
  <c r="Z41" i="73" s="1"/>
  <c r="P41" i="73"/>
  <c r="X41" i="73" s="1"/>
  <c r="H41" i="73"/>
  <c r="D41" i="73"/>
  <c r="L41" i="73" s="1"/>
  <c r="N41" i="73" s="1"/>
  <c r="B41" i="73"/>
  <c r="X40" i="73"/>
  <c r="Z40" i="73" s="1"/>
  <c r="N40" i="73"/>
  <c r="L40" i="73"/>
  <c r="B40" i="73"/>
  <c r="T39" i="73"/>
  <c r="P39" i="73"/>
  <c r="X39" i="73" s="1"/>
  <c r="Z39" i="73" s="1"/>
  <c r="N39" i="73"/>
  <c r="L39" i="73"/>
  <c r="H39" i="73"/>
  <c r="D39" i="73"/>
  <c r="B39" i="73"/>
  <c r="Z38" i="73"/>
  <c r="X38" i="73"/>
  <c r="R38" i="73"/>
  <c r="N38" i="73"/>
  <c r="L38" i="73"/>
  <c r="B38" i="73"/>
  <c r="Z37" i="73"/>
  <c r="X37" i="73"/>
  <c r="V37" i="73"/>
  <c r="T37" i="73"/>
  <c r="P37" i="73"/>
  <c r="L37" i="73"/>
  <c r="H37" i="73"/>
  <c r="N37" i="73" s="1"/>
  <c r="D37" i="73"/>
  <c r="B37" i="73"/>
  <c r="Z36" i="73"/>
  <c r="X36" i="73"/>
  <c r="N36" i="73"/>
  <c r="L36" i="73"/>
  <c r="B36" i="73"/>
  <c r="X35" i="73"/>
  <c r="Z35" i="73" s="1"/>
  <c r="N35" i="73"/>
  <c r="L35" i="73"/>
  <c r="B35" i="73"/>
  <c r="Z34" i="73"/>
  <c r="X34" i="73"/>
  <c r="R34" i="73"/>
  <c r="N34" i="73"/>
  <c r="L34" i="73"/>
  <c r="B34" i="73"/>
  <c r="Z33" i="73"/>
  <c r="X33" i="73"/>
  <c r="V33" i="73"/>
  <c r="L33" i="73"/>
  <c r="N33" i="73" s="1"/>
  <c r="B33" i="73"/>
  <c r="X32" i="73"/>
  <c r="Z32" i="73" s="1"/>
  <c r="T32" i="73"/>
  <c r="P32" i="73"/>
  <c r="H32" i="73"/>
  <c r="D32" i="73"/>
  <c r="B32" i="73"/>
  <c r="X31" i="73"/>
  <c r="Z31" i="73" s="1"/>
  <c r="N31" i="73"/>
  <c r="L31" i="73"/>
  <c r="B31" i="73"/>
  <c r="Z30" i="73"/>
  <c r="X30" i="73"/>
  <c r="R30" i="73"/>
  <c r="L30" i="73"/>
  <c r="N30" i="73" s="1"/>
  <c r="B30" i="73"/>
  <c r="Z29" i="73"/>
  <c r="X29" i="73"/>
  <c r="V29" i="73"/>
  <c r="L29" i="73"/>
  <c r="N29" i="73" s="1"/>
  <c r="B29" i="73"/>
  <c r="X28" i="73"/>
  <c r="Z28" i="73" s="1"/>
  <c r="N28" i="73"/>
  <c r="L28" i="73"/>
  <c r="B28" i="73"/>
  <c r="Z27" i="73"/>
  <c r="X27" i="73"/>
  <c r="L27" i="73"/>
  <c r="N27" i="73" s="1"/>
  <c r="B27" i="73"/>
  <c r="X26" i="73"/>
  <c r="Z26" i="73" s="1"/>
  <c r="N26" i="73"/>
  <c r="L26" i="73"/>
  <c r="F26" i="73"/>
  <c r="B26" i="73"/>
  <c r="X25" i="73"/>
  <c r="Z25" i="73" s="1"/>
  <c r="R25" i="73"/>
  <c r="N25" i="73"/>
  <c r="L25" i="73"/>
  <c r="B25" i="73"/>
  <c r="Z24" i="73"/>
  <c r="X24" i="73"/>
  <c r="R24" i="73"/>
  <c r="L24" i="73"/>
  <c r="N24" i="73" s="1"/>
  <c r="B24" i="73"/>
  <c r="X23" i="73"/>
  <c r="T23" i="73"/>
  <c r="Z23" i="73" s="1"/>
  <c r="R23" i="73"/>
  <c r="P23" i="73"/>
  <c r="H23" i="73"/>
  <c r="N23" i="73" s="1"/>
  <c r="D23" i="73"/>
  <c r="L23" i="73" s="1"/>
  <c r="B23" i="73"/>
  <c r="T22" i="73"/>
  <c r="R22" i="73"/>
  <c r="P22" i="73"/>
  <c r="X22" i="73" s="1"/>
  <c r="L22" i="73"/>
  <c r="H22" i="73"/>
  <c r="D22" i="73"/>
  <c r="T20" i="73"/>
  <c r="Z18" i="73"/>
  <c r="X18" i="73"/>
  <c r="N18" i="73"/>
  <c r="L18" i="73"/>
  <c r="F18" i="73"/>
  <c r="B18" i="73"/>
  <c r="Z17" i="73"/>
  <c r="X17" i="73"/>
  <c r="R17" i="73"/>
  <c r="N17" i="73"/>
  <c r="L17" i="73"/>
  <c r="B17" i="73"/>
  <c r="T16" i="73"/>
  <c r="Z16" i="73" s="1"/>
  <c r="P16" i="73"/>
  <c r="X16" i="73" s="1"/>
  <c r="H16" i="73"/>
  <c r="N16" i="73" s="1"/>
  <c r="D16" i="73"/>
  <c r="L16" i="73" s="1"/>
  <c r="X14" i="73"/>
  <c r="Z14" i="73" s="1"/>
  <c r="T14" i="73"/>
  <c r="P14" i="73"/>
  <c r="H14" i="73"/>
  <c r="N14" i="73" s="1"/>
  <c r="D14" i="73"/>
  <c r="L14" i="73" s="1"/>
  <c r="B14" i="73"/>
  <c r="T13" i="73"/>
  <c r="T12" i="73" s="1"/>
  <c r="V49" i="73" s="1"/>
  <c r="P13" i="73"/>
  <c r="X13" i="73" s="1"/>
  <c r="Z13" i="73" s="1"/>
  <c r="L13" i="73"/>
  <c r="H13" i="73"/>
  <c r="N13" i="73" s="1"/>
  <c r="D13" i="73"/>
  <c r="B13" i="73"/>
  <c r="P12" i="73"/>
  <c r="R70" i="73" s="1"/>
  <c r="D12" i="73"/>
  <c r="F54" i="73" s="1"/>
  <c r="D6" i="73"/>
  <c r="D4" i="73"/>
  <c r="X97" i="71"/>
  <c r="Z97" i="71" s="1"/>
  <c r="L97" i="71"/>
  <c r="N97" i="71" s="1"/>
  <c r="X93" i="71"/>
  <c r="T93" i="71"/>
  <c r="Z93" i="71" s="1"/>
  <c r="P93" i="71"/>
  <c r="H93" i="71"/>
  <c r="D93" i="71"/>
  <c r="B93" i="71"/>
  <c r="Z92" i="71"/>
  <c r="X92" i="71"/>
  <c r="T92" i="71"/>
  <c r="P92" i="71"/>
  <c r="H92" i="71"/>
  <c r="N92" i="71" s="1"/>
  <c r="D92" i="71"/>
  <c r="B92" i="71"/>
  <c r="T91" i="71"/>
  <c r="Z91" i="71" s="1"/>
  <c r="P91" i="71"/>
  <c r="X91" i="71" s="1"/>
  <c r="L91" i="71"/>
  <c r="H91" i="71"/>
  <c r="N91" i="71" s="1"/>
  <c r="D91" i="71"/>
  <c r="D90" i="71" s="1"/>
  <c r="B91" i="71"/>
  <c r="X88" i="71"/>
  <c r="Z88" i="71" s="1"/>
  <c r="N88" i="71"/>
  <c r="L88" i="71"/>
  <c r="B88" i="71"/>
  <c r="T87" i="71"/>
  <c r="Z87" i="71" s="1"/>
  <c r="P87" i="71"/>
  <c r="X87" i="71" s="1"/>
  <c r="H87" i="71"/>
  <c r="N87" i="71" s="1"/>
  <c r="D87" i="71"/>
  <c r="L87" i="71" s="1"/>
  <c r="B87" i="71"/>
  <c r="Z86" i="71"/>
  <c r="X86" i="71"/>
  <c r="L86" i="71"/>
  <c r="N86" i="71" s="1"/>
  <c r="B86" i="71"/>
  <c r="T85" i="71"/>
  <c r="P85" i="71"/>
  <c r="X85" i="71" s="1"/>
  <c r="L85" i="71"/>
  <c r="H85" i="71"/>
  <c r="D85" i="71"/>
  <c r="B85" i="71"/>
  <c r="Z84" i="71"/>
  <c r="X84" i="71"/>
  <c r="N84" i="71"/>
  <c r="L84" i="71"/>
  <c r="B84" i="71"/>
  <c r="X83" i="71"/>
  <c r="Z83" i="71" s="1"/>
  <c r="L83" i="71"/>
  <c r="N83" i="71" s="1"/>
  <c r="B83" i="71"/>
  <c r="Z82" i="71"/>
  <c r="X82" i="71"/>
  <c r="N82" i="71"/>
  <c r="L82" i="71"/>
  <c r="B82" i="71"/>
  <c r="T81" i="71"/>
  <c r="P81" i="71"/>
  <c r="X81" i="71" s="1"/>
  <c r="L81" i="71"/>
  <c r="N81" i="71" s="1"/>
  <c r="H81" i="71"/>
  <c r="D81" i="71"/>
  <c r="B81" i="71"/>
  <c r="Z80" i="71"/>
  <c r="X80" i="71"/>
  <c r="N80" i="71"/>
  <c r="L80" i="71"/>
  <c r="B80" i="71"/>
  <c r="X79" i="71"/>
  <c r="Z79" i="71" s="1"/>
  <c r="T79" i="71"/>
  <c r="P79" i="71"/>
  <c r="H79" i="71"/>
  <c r="L79" i="71" s="1"/>
  <c r="D79" i="71"/>
  <c r="B79" i="71"/>
  <c r="X78" i="71"/>
  <c r="Z78" i="71" s="1"/>
  <c r="N78" i="71"/>
  <c r="L78" i="71"/>
  <c r="B78" i="71"/>
  <c r="T77" i="71"/>
  <c r="X77" i="71" s="1"/>
  <c r="P77" i="71"/>
  <c r="H77" i="71"/>
  <c r="N77" i="71" s="1"/>
  <c r="D77" i="71"/>
  <c r="L77" i="71" s="1"/>
  <c r="B77" i="71"/>
  <c r="Z76" i="71"/>
  <c r="X76" i="71"/>
  <c r="N76" i="71"/>
  <c r="L76" i="71"/>
  <c r="B76" i="71"/>
  <c r="X75" i="71"/>
  <c r="Z75" i="71" s="1"/>
  <c r="L75" i="71"/>
  <c r="N75" i="71" s="1"/>
  <c r="B75" i="71"/>
  <c r="X74" i="71"/>
  <c r="Z74" i="71" s="1"/>
  <c r="T74" i="71"/>
  <c r="P74" i="71"/>
  <c r="H74" i="71"/>
  <c r="D74" i="71"/>
  <c r="B74" i="71"/>
  <c r="Z73" i="71"/>
  <c r="X73" i="71"/>
  <c r="N73" i="71"/>
  <c r="L73" i="71"/>
  <c r="B73" i="71"/>
  <c r="T72" i="71"/>
  <c r="Z72" i="71" s="1"/>
  <c r="P72" i="71"/>
  <c r="N72" i="71"/>
  <c r="H72" i="71"/>
  <c r="D72" i="71"/>
  <c r="L72" i="71" s="1"/>
  <c r="B72" i="71"/>
  <c r="X71" i="71"/>
  <c r="Z71" i="71" s="1"/>
  <c r="L71" i="71"/>
  <c r="N71" i="71" s="1"/>
  <c r="B71" i="71"/>
  <c r="Z70" i="71"/>
  <c r="T70" i="71"/>
  <c r="P70" i="71"/>
  <c r="X70" i="71" s="1"/>
  <c r="N70" i="71"/>
  <c r="L70" i="71"/>
  <c r="H70" i="71"/>
  <c r="D70" i="71"/>
  <c r="B70" i="71"/>
  <c r="Z69" i="71"/>
  <c r="X69" i="71"/>
  <c r="N69" i="71"/>
  <c r="L69" i="71"/>
  <c r="B69" i="71"/>
  <c r="Z68" i="71"/>
  <c r="X68" i="71"/>
  <c r="T68" i="71"/>
  <c r="P68" i="71"/>
  <c r="L68" i="71"/>
  <c r="H68" i="71"/>
  <c r="N68" i="71" s="1"/>
  <c r="D68" i="71"/>
  <c r="B68" i="71"/>
  <c r="Z67" i="71"/>
  <c r="X67" i="71"/>
  <c r="N67" i="71"/>
  <c r="L67" i="71"/>
  <c r="B67" i="71"/>
  <c r="X66" i="71"/>
  <c r="Z66" i="71" s="1"/>
  <c r="N66" i="71"/>
  <c r="L66" i="71"/>
  <c r="B66" i="71"/>
  <c r="Z65" i="71"/>
  <c r="X65" i="71"/>
  <c r="N65" i="71"/>
  <c r="L65" i="71"/>
  <c r="B65" i="71"/>
  <c r="Z64" i="71"/>
  <c r="X64" i="71"/>
  <c r="L64" i="71"/>
  <c r="N64" i="71" s="1"/>
  <c r="B64" i="71"/>
  <c r="X63" i="71"/>
  <c r="Z63" i="71" s="1"/>
  <c r="L63" i="71"/>
  <c r="N63" i="71" s="1"/>
  <c r="B63" i="71"/>
  <c r="T62" i="71"/>
  <c r="P62" i="71"/>
  <c r="X62" i="71" s="1"/>
  <c r="Z62" i="71" s="1"/>
  <c r="N62" i="71"/>
  <c r="L62" i="71"/>
  <c r="H62" i="71"/>
  <c r="D62" i="71"/>
  <c r="B62" i="71"/>
  <c r="Z61" i="71"/>
  <c r="X61" i="71"/>
  <c r="N61" i="71"/>
  <c r="L61" i="71"/>
  <c r="B61" i="71"/>
  <c r="Z60" i="71"/>
  <c r="X60" i="71"/>
  <c r="L60" i="71"/>
  <c r="N60" i="71" s="1"/>
  <c r="B60" i="71"/>
  <c r="X59" i="71"/>
  <c r="Z59" i="71" s="1"/>
  <c r="L59" i="71"/>
  <c r="N59" i="71" s="1"/>
  <c r="B59" i="71"/>
  <c r="Z58" i="71"/>
  <c r="X58" i="71"/>
  <c r="L58" i="71"/>
  <c r="N58" i="71" s="1"/>
  <c r="B58" i="71"/>
  <c r="Z57" i="71"/>
  <c r="X57" i="71"/>
  <c r="N57" i="71"/>
  <c r="L57" i="71"/>
  <c r="B57" i="71"/>
  <c r="X56" i="71"/>
  <c r="Z56" i="71" s="1"/>
  <c r="N56" i="71"/>
  <c r="L56" i="71"/>
  <c r="B56" i="71"/>
  <c r="X55" i="71"/>
  <c r="Z55" i="71" s="1"/>
  <c r="L55" i="71"/>
  <c r="N55" i="71" s="1"/>
  <c r="B55" i="71"/>
  <c r="X54" i="71"/>
  <c r="Z54" i="71" s="1"/>
  <c r="N54" i="71"/>
  <c r="L54" i="71"/>
  <c r="B54" i="71"/>
  <c r="Z53" i="71"/>
  <c r="X53" i="71"/>
  <c r="L53" i="71"/>
  <c r="N53" i="71" s="1"/>
  <c r="B53" i="71"/>
  <c r="Z52" i="71"/>
  <c r="X52" i="71"/>
  <c r="T52" i="71"/>
  <c r="P52" i="71"/>
  <c r="L52" i="71"/>
  <c r="H52" i="71"/>
  <c r="D52" i="71"/>
  <c r="B52" i="71"/>
  <c r="T51" i="71"/>
  <c r="Z51" i="71" s="1"/>
  <c r="P51" i="71"/>
  <c r="X51" i="71" s="1"/>
  <c r="H51" i="71"/>
  <c r="D51" i="71"/>
  <c r="L51" i="71" s="1"/>
  <c r="X47" i="71"/>
  <c r="Z47" i="71" s="1"/>
  <c r="N47" i="71"/>
  <c r="L47" i="71"/>
  <c r="B47" i="71"/>
  <c r="X46" i="71"/>
  <c r="Z46" i="71" s="1"/>
  <c r="N46" i="71"/>
  <c r="L46" i="71"/>
  <c r="B46" i="71"/>
  <c r="Z45" i="71"/>
  <c r="X45" i="71"/>
  <c r="N45" i="71"/>
  <c r="L45" i="71"/>
  <c r="B45" i="71"/>
  <c r="Z44" i="71"/>
  <c r="X44" i="71"/>
  <c r="N44" i="71"/>
  <c r="L44" i="71"/>
  <c r="B44" i="71"/>
  <c r="X43" i="71"/>
  <c r="Z43" i="71" s="1"/>
  <c r="L43" i="71"/>
  <c r="N43" i="71" s="1"/>
  <c r="B43" i="71"/>
  <c r="Z42" i="71"/>
  <c r="X42" i="71"/>
  <c r="L42" i="71"/>
  <c r="N42" i="71" s="1"/>
  <c r="B42" i="71"/>
  <c r="Z41" i="71"/>
  <c r="X41" i="71"/>
  <c r="N41" i="71"/>
  <c r="L41" i="71"/>
  <c r="B41" i="71"/>
  <c r="X40" i="71"/>
  <c r="Z40" i="71" s="1"/>
  <c r="N40" i="71"/>
  <c r="L40" i="71"/>
  <c r="B40" i="71"/>
  <c r="X39" i="71"/>
  <c r="Z39" i="71" s="1"/>
  <c r="L39" i="71"/>
  <c r="N39" i="71" s="1"/>
  <c r="B39" i="71"/>
  <c r="X38" i="71"/>
  <c r="Z38" i="71" s="1"/>
  <c r="N38" i="71"/>
  <c r="L38" i="71"/>
  <c r="B38" i="71"/>
  <c r="X37" i="71"/>
  <c r="Z37" i="71" s="1"/>
  <c r="N37" i="71"/>
  <c r="L37" i="71"/>
  <c r="B37" i="71"/>
  <c r="Z36" i="71"/>
  <c r="X36" i="71"/>
  <c r="N36" i="71"/>
  <c r="L36" i="71"/>
  <c r="B36" i="71"/>
  <c r="X35" i="71"/>
  <c r="T35" i="71"/>
  <c r="P35" i="71"/>
  <c r="L35" i="71"/>
  <c r="N35" i="71" s="1"/>
  <c r="H35" i="71"/>
  <c r="D35" i="71"/>
  <c r="T33" i="71"/>
  <c r="Z33" i="71" s="1"/>
  <c r="P33" i="71"/>
  <c r="N33" i="71"/>
  <c r="L33" i="71"/>
  <c r="H33" i="71"/>
  <c r="D33" i="71"/>
  <c r="B33" i="71"/>
  <c r="T32" i="71"/>
  <c r="X32" i="71" s="1"/>
  <c r="P32" i="71"/>
  <c r="N32" i="71"/>
  <c r="H32" i="71"/>
  <c r="D32" i="71"/>
  <c r="L32" i="71" s="1"/>
  <c r="B32" i="71"/>
  <c r="Z31" i="71"/>
  <c r="T31" i="71"/>
  <c r="P31" i="71"/>
  <c r="X31" i="71" s="1"/>
  <c r="H31" i="71"/>
  <c r="N31" i="71" s="1"/>
  <c r="D31" i="71"/>
  <c r="L31" i="71" s="1"/>
  <c r="B31" i="71"/>
  <c r="Z30" i="71"/>
  <c r="T30" i="71"/>
  <c r="X30" i="71" s="1"/>
  <c r="P30" i="71"/>
  <c r="H30" i="71"/>
  <c r="N30" i="71" s="1"/>
  <c r="D30" i="71"/>
  <c r="L30" i="71" s="1"/>
  <c r="B30" i="71"/>
  <c r="X29" i="71"/>
  <c r="Z29" i="71" s="1"/>
  <c r="T29" i="71"/>
  <c r="P29" i="71"/>
  <c r="H29" i="71"/>
  <c r="D29" i="71"/>
  <c r="B29" i="71"/>
  <c r="Z28" i="71"/>
  <c r="T28" i="71"/>
  <c r="P28" i="71"/>
  <c r="X28" i="71" s="1"/>
  <c r="H28" i="71"/>
  <c r="D28" i="71"/>
  <c r="B28" i="71"/>
  <c r="T27" i="71"/>
  <c r="Z27" i="71" s="1"/>
  <c r="P27" i="71"/>
  <c r="X27" i="71" s="1"/>
  <c r="H27" i="71"/>
  <c r="D27" i="71"/>
  <c r="L27" i="71" s="1"/>
  <c r="N27" i="71" s="1"/>
  <c r="B27" i="71"/>
  <c r="T26" i="71"/>
  <c r="P26" i="71"/>
  <c r="X26" i="71" s="1"/>
  <c r="N26" i="71"/>
  <c r="H26" i="71"/>
  <c r="L26" i="71" s="1"/>
  <c r="D26" i="71"/>
  <c r="B26" i="71"/>
  <c r="T25" i="71"/>
  <c r="Z25" i="71" s="1"/>
  <c r="P25" i="71"/>
  <c r="N25" i="71"/>
  <c r="L25" i="71"/>
  <c r="H25" i="71"/>
  <c r="D25" i="71"/>
  <c r="B25" i="71"/>
  <c r="T24" i="71"/>
  <c r="P24" i="71"/>
  <c r="H24" i="71"/>
  <c r="D24" i="71"/>
  <c r="L24" i="71" s="1"/>
  <c r="N24" i="71" s="1"/>
  <c r="B24" i="71"/>
  <c r="X23" i="71"/>
  <c r="Z23" i="71" s="1"/>
  <c r="T23" i="71"/>
  <c r="P23" i="71"/>
  <c r="H23" i="71"/>
  <c r="D23" i="71"/>
  <c r="L23" i="71" s="1"/>
  <c r="N23" i="71" s="1"/>
  <c r="B23" i="71"/>
  <c r="T22" i="71"/>
  <c r="P22" i="71"/>
  <c r="X22" i="71" s="1"/>
  <c r="Z22" i="71" s="1"/>
  <c r="H22" i="71"/>
  <c r="N22" i="71" s="1"/>
  <c r="D22" i="71"/>
  <c r="L22" i="71" s="1"/>
  <c r="B22" i="71"/>
  <c r="X21" i="71"/>
  <c r="T21" i="71"/>
  <c r="P21" i="71"/>
  <c r="H21" i="71"/>
  <c r="D21" i="71"/>
  <c r="L21" i="71" s="1"/>
  <c r="B21" i="71"/>
  <c r="Z20" i="71"/>
  <c r="X20" i="71"/>
  <c r="T20" i="71"/>
  <c r="P20" i="71"/>
  <c r="L20" i="71"/>
  <c r="H20" i="71"/>
  <c r="D20" i="71"/>
  <c r="B20" i="71"/>
  <c r="Z19" i="71"/>
  <c r="T19" i="71"/>
  <c r="P19" i="71"/>
  <c r="X19" i="71" s="1"/>
  <c r="N19" i="71"/>
  <c r="H19" i="71"/>
  <c r="D19" i="71"/>
  <c r="L19" i="71" s="1"/>
  <c r="B19" i="71"/>
  <c r="T18" i="71"/>
  <c r="P18" i="71"/>
  <c r="X18" i="71" s="1"/>
  <c r="H18" i="71"/>
  <c r="D18" i="71"/>
  <c r="B18" i="71"/>
  <c r="T17" i="71"/>
  <c r="P17" i="71"/>
  <c r="X17" i="71" s="1"/>
  <c r="L17" i="71"/>
  <c r="H17" i="71"/>
  <c r="N17" i="71" s="1"/>
  <c r="D17" i="71"/>
  <c r="B17" i="71"/>
  <c r="X16" i="71"/>
  <c r="T16" i="71"/>
  <c r="P16" i="71"/>
  <c r="N16" i="71"/>
  <c r="L16" i="71"/>
  <c r="H16" i="71"/>
  <c r="D16" i="71"/>
  <c r="B16" i="71"/>
  <c r="T15" i="71"/>
  <c r="P15" i="71"/>
  <c r="X15" i="71" s="1"/>
  <c r="Z15" i="71" s="1"/>
  <c r="H15" i="71"/>
  <c r="D15" i="71"/>
  <c r="L15" i="71" s="1"/>
  <c r="N15" i="71" s="1"/>
  <c r="B15" i="71"/>
  <c r="T14" i="71"/>
  <c r="P14" i="71"/>
  <c r="H14" i="71"/>
  <c r="D14" i="71"/>
  <c r="L14" i="71" s="1"/>
  <c r="B14" i="71"/>
  <c r="X13" i="71"/>
  <c r="T13" i="71"/>
  <c r="P13" i="71"/>
  <c r="H13" i="71"/>
  <c r="D13" i="71"/>
  <c r="B13" i="71"/>
  <c r="D6" i="71"/>
  <c r="D4" i="71"/>
  <c r="X79" i="70"/>
  <c r="Z79" i="70" s="1"/>
  <c r="N79" i="70"/>
  <c r="L79" i="70"/>
  <c r="T75" i="70"/>
  <c r="P75" i="70"/>
  <c r="L75" i="70"/>
  <c r="N75" i="70" s="1"/>
  <c r="H75" i="70"/>
  <c r="D75" i="70"/>
  <c r="D74" i="70" s="1"/>
  <c r="L74" i="70" s="1"/>
  <c r="N74" i="70" s="1"/>
  <c r="B75" i="70"/>
  <c r="P74" i="70"/>
  <c r="H74" i="70"/>
  <c r="X72" i="70"/>
  <c r="Z72" i="70" s="1"/>
  <c r="N72" i="70"/>
  <c r="L72" i="70"/>
  <c r="B72" i="70"/>
  <c r="T71" i="70"/>
  <c r="P71" i="70"/>
  <c r="X71" i="70" s="1"/>
  <c r="Z71" i="70" s="1"/>
  <c r="H71" i="70"/>
  <c r="N71" i="70" s="1"/>
  <c r="D71" i="70"/>
  <c r="B71" i="70"/>
  <c r="X70" i="70"/>
  <c r="Z70" i="70" s="1"/>
  <c r="L70" i="70"/>
  <c r="N70" i="70" s="1"/>
  <c r="B70" i="70"/>
  <c r="T69" i="70"/>
  <c r="P69" i="70"/>
  <c r="H69" i="70"/>
  <c r="D69" i="70"/>
  <c r="B69" i="70"/>
  <c r="X68" i="70"/>
  <c r="Z68" i="70" s="1"/>
  <c r="L68" i="70"/>
  <c r="N68" i="70" s="1"/>
  <c r="B68" i="70"/>
  <c r="X67" i="70"/>
  <c r="Z67" i="70" s="1"/>
  <c r="L67" i="70"/>
  <c r="N67" i="70" s="1"/>
  <c r="B67" i="70"/>
  <c r="X66" i="70"/>
  <c r="Z66" i="70" s="1"/>
  <c r="L66" i="70"/>
  <c r="N66" i="70" s="1"/>
  <c r="B66" i="70"/>
  <c r="X65" i="70"/>
  <c r="Z65" i="70" s="1"/>
  <c r="N65" i="70"/>
  <c r="L65" i="70"/>
  <c r="B65" i="70"/>
  <c r="X64" i="70"/>
  <c r="Z64" i="70" s="1"/>
  <c r="N64" i="70"/>
  <c r="L64" i="70"/>
  <c r="J64" i="70"/>
  <c r="B64" i="70"/>
  <c r="T63" i="70"/>
  <c r="P63" i="70"/>
  <c r="H63" i="70"/>
  <c r="D63" i="70"/>
  <c r="B63" i="70"/>
  <c r="X62" i="70"/>
  <c r="Z62" i="70" s="1"/>
  <c r="L62" i="70"/>
  <c r="N62" i="70" s="1"/>
  <c r="B62" i="70"/>
  <c r="T61" i="70"/>
  <c r="P61" i="70"/>
  <c r="H61" i="70"/>
  <c r="D61" i="70"/>
  <c r="B61" i="70"/>
  <c r="Z60" i="70"/>
  <c r="X60" i="70"/>
  <c r="N60" i="70"/>
  <c r="L60" i="70"/>
  <c r="B60" i="70"/>
  <c r="X59" i="70"/>
  <c r="Z59" i="70" s="1"/>
  <c r="N59" i="70"/>
  <c r="L59" i="70"/>
  <c r="B59" i="70"/>
  <c r="X58" i="70"/>
  <c r="Z58" i="70" s="1"/>
  <c r="N58" i="70"/>
  <c r="L58" i="70"/>
  <c r="B58" i="70"/>
  <c r="T57" i="70"/>
  <c r="P57" i="70"/>
  <c r="H57" i="70"/>
  <c r="D57" i="70"/>
  <c r="L57" i="70" s="1"/>
  <c r="N57" i="70" s="1"/>
  <c r="B57" i="70"/>
  <c r="Z56" i="70"/>
  <c r="X56" i="70"/>
  <c r="N56" i="70"/>
  <c r="L56" i="70"/>
  <c r="B56" i="70"/>
  <c r="T55" i="70"/>
  <c r="Z55" i="70" s="1"/>
  <c r="P55" i="70"/>
  <c r="X55" i="70" s="1"/>
  <c r="H55" i="70"/>
  <c r="N55" i="70" s="1"/>
  <c r="D55" i="70"/>
  <c r="B55" i="70"/>
  <c r="X54" i="70"/>
  <c r="Z54" i="70" s="1"/>
  <c r="N54" i="70"/>
  <c r="L54" i="70"/>
  <c r="B54" i="70"/>
  <c r="X53" i="70"/>
  <c r="Z53" i="70" s="1"/>
  <c r="L53" i="70"/>
  <c r="N53" i="70" s="1"/>
  <c r="B53" i="70"/>
  <c r="T52" i="70"/>
  <c r="P52" i="70"/>
  <c r="H52" i="70"/>
  <c r="D52" i="70"/>
  <c r="B52" i="70"/>
  <c r="X51" i="70"/>
  <c r="Z51" i="70" s="1"/>
  <c r="L51" i="70"/>
  <c r="N51" i="70" s="1"/>
  <c r="B51" i="70"/>
  <c r="T50" i="70"/>
  <c r="P50" i="70"/>
  <c r="H50" i="70"/>
  <c r="L50" i="70" s="1"/>
  <c r="N50" i="70" s="1"/>
  <c r="D50" i="70"/>
  <c r="B50" i="70"/>
  <c r="Z49" i="70"/>
  <c r="X49" i="70"/>
  <c r="N49" i="70"/>
  <c r="L49" i="70"/>
  <c r="B49" i="70"/>
  <c r="T48" i="70"/>
  <c r="Z48" i="70" s="1"/>
  <c r="P48" i="70"/>
  <c r="H48" i="70"/>
  <c r="D48" i="70"/>
  <c r="B48" i="70"/>
  <c r="X47" i="70"/>
  <c r="Z47" i="70" s="1"/>
  <c r="L47" i="70"/>
  <c r="N47" i="70" s="1"/>
  <c r="B47" i="70"/>
  <c r="T46" i="70"/>
  <c r="P46" i="70"/>
  <c r="H46" i="70"/>
  <c r="D46" i="70"/>
  <c r="L46" i="70" s="1"/>
  <c r="B46" i="70"/>
  <c r="Z45" i="70"/>
  <c r="X45" i="70"/>
  <c r="N45" i="70"/>
  <c r="L45" i="70"/>
  <c r="B45" i="70"/>
  <c r="T44" i="70"/>
  <c r="Z44" i="70" s="1"/>
  <c r="P44" i="70"/>
  <c r="X44" i="70" s="1"/>
  <c r="H44" i="70"/>
  <c r="N44" i="70" s="1"/>
  <c r="D44" i="70"/>
  <c r="B44" i="70"/>
  <c r="X43" i="70"/>
  <c r="Z43" i="70" s="1"/>
  <c r="L43" i="70"/>
  <c r="N43" i="70" s="1"/>
  <c r="B43" i="70"/>
  <c r="X42" i="70"/>
  <c r="Z42" i="70" s="1"/>
  <c r="N42" i="70"/>
  <c r="L42" i="70"/>
  <c r="B42" i="70"/>
  <c r="X41" i="70"/>
  <c r="Z41" i="70" s="1"/>
  <c r="L41" i="70"/>
  <c r="N41" i="70" s="1"/>
  <c r="B41" i="70"/>
  <c r="T40" i="70"/>
  <c r="P40" i="70"/>
  <c r="H40" i="70"/>
  <c r="D40" i="70"/>
  <c r="B40" i="70"/>
  <c r="X39" i="70"/>
  <c r="Z39" i="70" s="1"/>
  <c r="L39" i="70"/>
  <c r="N39" i="70" s="1"/>
  <c r="B39" i="70"/>
  <c r="X38" i="70"/>
  <c r="Z38" i="70" s="1"/>
  <c r="L38" i="70"/>
  <c r="N38" i="70" s="1"/>
  <c r="B38" i="70"/>
  <c r="X37" i="70"/>
  <c r="Z37" i="70" s="1"/>
  <c r="L37" i="70"/>
  <c r="N37" i="70" s="1"/>
  <c r="B37" i="70"/>
  <c r="X36" i="70"/>
  <c r="Z36" i="70" s="1"/>
  <c r="L36" i="70"/>
  <c r="N36" i="70" s="1"/>
  <c r="B36" i="70"/>
  <c r="X35" i="70"/>
  <c r="Z35" i="70" s="1"/>
  <c r="L35" i="70"/>
  <c r="N35" i="70" s="1"/>
  <c r="B35" i="70"/>
  <c r="X34" i="70"/>
  <c r="Z34" i="70" s="1"/>
  <c r="L34" i="70"/>
  <c r="N34" i="70" s="1"/>
  <c r="B34" i="70"/>
  <c r="X33" i="70"/>
  <c r="Z33" i="70" s="1"/>
  <c r="L33" i="70"/>
  <c r="N33" i="70" s="1"/>
  <c r="B33" i="70"/>
  <c r="X32" i="70"/>
  <c r="Z32" i="70" s="1"/>
  <c r="L32" i="70"/>
  <c r="N32" i="70" s="1"/>
  <c r="J32" i="70"/>
  <c r="B32" i="70"/>
  <c r="T31" i="70"/>
  <c r="P31" i="70"/>
  <c r="H31" i="70"/>
  <c r="D31" i="70"/>
  <c r="B31" i="70"/>
  <c r="T30" i="70"/>
  <c r="P30" i="70"/>
  <c r="H30" i="70"/>
  <c r="D30" i="70"/>
  <c r="Z26" i="70"/>
  <c r="X26" i="70"/>
  <c r="N26" i="70"/>
  <c r="L26" i="70"/>
  <c r="B26" i="70"/>
  <c r="T25" i="70"/>
  <c r="Z25" i="70" s="1"/>
  <c r="P25" i="70"/>
  <c r="X25" i="70" s="1"/>
  <c r="N25" i="70"/>
  <c r="L25" i="70"/>
  <c r="H25" i="70"/>
  <c r="D25" i="70"/>
  <c r="T23" i="70"/>
  <c r="P23" i="70"/>
  <c r="X23" i="70" s="1"/>
  <c r="Z23" i="70" s="1"/>
  <c r="H23" i="70"/>
  <c r="D23" i="70"/>
  <c r="L23" i="70" s="1"/>
  <c r="B23" i="70"/>
  <c r="T22" i="70"/>
  <c r="Z22" i="70" s="1"/>
  <c r="P22" i="70"/>
  <c r="L22" i="70"/>
  <c r="H22" i="70"/>
  <c r="N22" i="70" s="1"/>
  <c r="D22" i="70"/>
  <c r="B22" i="70"/>
  <c r="X21" i="70"/>
  <c r="T21" i="70"/>
  <c r="Z21" i="70" s="1"/>
  <c r="P21" i="70"/>
  <c r="N21" i="70"/>
  <c r="L21" i="70"/>
  <c r="H21" i="70"/>
  <c r="D21" i="70"/>
  <c r="B21" i="70"/>
  <c r="T20" i="70"/>
  <c r="P20" i="70"/>
  <c r="X20" i="70" s="1"/>
  <c r="Z20" i="70" s="1"/>
  <c r="N20" i="70"/>
  <c r="L20" i="70"/>
  <c r="H20" i="70"/>
  <c r="D20" i="70"/>
  <c r="B20" i="70"/>
  <c r="T19" i="70"/>
  <c r="P19" i="70"/>
  <c r="X19" i="70" s="1"/>
  <c r="H19" i="70"/>
  <c r="D19" i="70"/>
  <c r="L19" i="70" s="1"/>
  <c r="N19" i="70" s="1"/>
  <c r="B19" i="70"/>
  <c r="X18" i="70"/>
  <c r="T18" i="70"/>
  <c r="Z18" i="70" s="1"/>
  <c r="P18" i="70"/>
  <c r="H18" i="70"/>
  <c r="N18" i="70" s="1"/>
  <c r="D18" i="70"/>
  <c r="L18" i="70" s="1"/>
  <c r="B18" i="70"/>
  <c r="Z17" i="70"/>
  <c r="X17" i="70"/>
  <c r="T17" i="70"/>
  <c r="P17" i="70"/>
  <c r="L17" i="70"/>
  <c r="H17" i="70"/>
  <c r="N17" i="70" s="1"/>
  <c r="D17" i="70"/>
  <c r="B17" i="70"/>
  <c r="Z16" i="70"/>
  <c r="X16" i="70"/>
  <c r="T16" i="70"/>
  <c r="P16" i="70"/>
  <c r="N16" i="70"/>
  <c r="H16" i="70"/>
  <c r="D16" i="70"/>
  <c r="L16" i="70" s="1"/>
  <c r="B16" i="70"/>
  <c r="T15" i="70"/>
  <c r="P15" i="70"/>
  <c r="H15" i="70"/>
  <c r="N15" i="70" s="1"/>
  <c r="D15" i="70"/>
  <c r="L15" i="70" s="1"/>
  <c r="B15" i="70"/>
  <c r="T14" i="70"/>
  <c r="P14" i="70"/>
  <c r="X14" i="70" s="1"/>
  <c r="L14" i="70"/>
  <c r="H14" i="70"/>
  <c r="N14" i="70" s="1"/>
  <c r="D14" i="70"/>
  <c r="D12" i="70" s="1"/>
  <c r="B14" i="70"/>
  <c r="X13" i="70"/>
  <c r="T13" i="70"/>
  <c r="P13" i="70"/>
  <c r="N13" i="70"/>
  <c r="L13" i="70"/>
  <c r="H13" i="70"/>
  <c r="H12" i="70" s="1"/>
  <c r="D13" i="70"/>
  <c r="B13" i="70"/>
  <c r="D6" i="70"/>
  <c r="D4" i="70"/>
  <c r="X139" i="69"/>
  <c r="Z139" i="69" s="1"/>
  <c r="L139" i="69"/>
  <c r="N139" i="69" s="1"/>
  <c r="T135" i="69"/>
  <c r="P135" i="69"/>
  <c r="X135" i="69" s="1"/>
  <c r="H135" i="69"/>
  <c r="D135" i="69"/>
  <c r="L135" i="69" s="1"/>
  <c r="N135" i="69" s="1"/>
  <c r="B135" i="69"/>
  <c r="T134" i="69"/>
  <c r="P134" i="69"/>
  <c r="H134" i="69"/>
  <c r="D134" i="69"/>
  <c r="B134" i="69"/>
  <c r="T133" i="69"/>
  <c r="H133" i="69"/>
  <c r="N133" i="69" s="1"/>
  <c r="D133" i="69"/>
  <c r="L133" i="69" s="1"/>
  <c r="Z131" i="69"/>
  <c r="X131" i="69"/>
  <c r="N131" i="69"/>
  <c r="L131" i="69"/>
  <c r="B131" i="69"/>
  <c r="T130" i="69"/>
  <c r="Z130" i="69" s="1"/>
  <c r="P130" i="69"/>
  <c r="N130" i="69"/>
  <c r="H130" i="69"/>
  <c r="D130" i="69"/>
  <c r="L130" i="69" s="1"/>
  <c r="B130" i="69"/>
  <c r="X129" i="69"/>
  <c r="Z129" i="69" s="1"/>
  <c r="N129" i="69"/>
  <c r="L129" i="69"/>
  <c r="B129" i="69"/>
  <c r="T128" i="69"/>
  <c r="P128" i="69"/>
  <c r="X128" i="69" s="1"/>
  <c r="Z128" i="69" s="1"/>
  <c r="H128" i="69"/>
  <c r="D128" i="69"/>
  <c r="L128" i="69" s="1"/>
  <c r="B128" i="69"/>
  <c r="Z127" i="69"/>
  <c r="X127" i="69"/>
  <c r="N127" i="69"/>
  <c r="L127" i="69"/>
  <c r="B127" i="69"/>
  <c r="Z126" i="69"/>
  <c r="X126" i="69"/>
  <c r="L126" i="69"/>
  <c r="N126" i="69" s="1"/>
  <c r="B126" i="69"/>
  <c r="X125" i="69"/>
  <c r="Z125" i="69" s="1"/>
  <c r="N125" i="69"/>
  <c r="L125" i="69"/>
  <c r="B125" i="69"/>
  <c r="T124" i="69"/>
  <c r="P124" i="69"/>
  <c r="X124" i="69" s="1"/>
  <c r="Z124" i="69" s="1"/>
  <c r="H124" i="69"/>
  <c r="D124" i="69"/>
  <c r="L124" i="69" s="1"/>
  <c r="N124" i="69" s="1"/>
  <c r="B124" i="69"/>
  <c r="Z123" i="69"/>
  <c r="X123" i="69"/>
  <c r="N123" i="69"/>
  <c r="L123" i="69"/>
  <c r="B123" i="69"/>
  <c r="Z122" i="69"/>
  <c r="X122" i="69"/>
  <c r="L122" i="69"/>
  <c r="N122" i="69" s="1"/>
  <c r="B122" i="69"/>
  <c r="X121" i="69"/>
  <c r="Z121" i="69" s="1"/>
  <c r="T121" i="69"/>
  <c r="P121" i="69"/>
  <c r="H121" i="69"/>
  <c r="L121" i="69" s="1"/>
  <c r="N121" i="69" s="1"/>
  <c r="D121" i="69"/>
  <c r="B121" i="69"/>
  <c r="Z120" i="69"/>
  <c r="X120" i="69"/>
  <c r="N120" i="69"/>
  <c r="L120" i="69"/>
  <c r="B120" i="69"/>
  <c r="Z119" i="69"/>
  <c r="X119" i="69"/>
  <c r="N119" i="69"/>
  <c r="L119" i="69"/>
  <c r="B119" i="69"/>
  <c r="T118" i="69"/>
  <c r="P118" i="69"/>
  <c r="X118" i="69" s="1"/>
  <c r="Z118" i="69" s="1"/>
  <c r="L118" i="69"/>
  <c r="H118" i="69"/>
  <c r="N118" i="69" s="1"/>
  <c r="D118" i="69"/>
  <c r="B118" i="69"/>
  <c r="Z117" i="69"/>
  <c r="X117" i="69"/>
  <c r="N117" i="69"/>
  <c r="L117" i="69"/>
  <c r="B117" i="69"/>
  <c r="Z116" i="69"/>
  <c r="X116" i="69"/>
  <c r="N116" i="69"/>
  <c r="L116" i="69"/>
  <c r="B116" i="69"/>
  <c r="Z115" i="69"/>
  <c r="T115" i="69"/>
  <c r="X115" i="69" s="1"/>
  <c r="P115" i="69"/>
  <c r="N115" i="69"/>
  <c r="H115" i="69"/>
  <c r="D115" i="69"/>
  <c r="L115" i="69" s="1"/>
  <c r="B115" i="69"/>
  <c r="Z114" i="69"/>
  <c r="X114" i="69"/>
  <c r="N114" i="69"/>
  <c r="L114" i="69"/>
  <c r="B114" i="69"/>
  <c r="T113" i="69"/>
  <c r="Z113" i="69" s="1"/>
  <c r="P113" i="69"/>
  <c r="X113" i="69" s="1"/>
  <c r="N113" i="69"/>
  <c r="H113" i="69"/>
  <c r="D113" i="69"/>
  <c r="L113" i="69" s="1"/>
  <c r="B113" i="69"/>
  <c r="Z112" i="69"/>
  <c r="X112" i="69"/>
  <c r="N112" i="69"/>
  <c r="L112" i="69"/>
  <c r="B112" i="69"/>
  <c r="Z111" i="69"/>
  <c r="X111" i="69"/>
  <c r="N111" i="69"/>
  <c r="L111" i="69"/>
  <c r="B111" i="69"/>
  <c r="T110" i="69"/>
  <c r="P110" i="69"/>
  <c r="H110" i="69"/>
  <c r="D110" i="69"/>
  <c r="L110" i="69" s="1"/>
  <c r="N110" i="69" s="1"/>
  <c r="B110" i="69"/>
  <c r="Z109" i="69"/>
  <c r="X109" i="69"/>
  <c r="N109" i="69"/>
  <c r="L109" i="69"/>
  <c r="B109" i="69"/>
  <c r="Z108" i="69"/>
  <c r="X108" i="69"/>
  <c r="N108" i="69"/>
  <c r="L108" i="69"/>
  <c r="B108" i="69"/>
  <c r="T107" i="69"/>
  <c r="P107" i="69"/>
  <c r="X107" i="69" s="1"/>
  <c r="Z107" i="69" s="1"/>
  <c r="N107" i="69"/>
  <c r="L107" i="69"/>
  <c r="H107" i="69"/>
  <c r="D107" i="69"/>
  <c r="B107" i="69"/>
  <c r="Z106" i="69"/>
  <c r="X106" i="69"/>
  <c r="N106" i="69"/>
  <c r="L106" i="69"/>
  <c r="B106" i="69"/>
  <c r="Z105" i="69"/>
  <c r="X105" i="69"/>
  <c r="T105" i="69"/>
  <c r="P105" i="69"/>
  <c r="N105" i="69"/>
  <c r="H105" i="69"/>
  <c r="L105" i="69" s="1"/>
  <c r="D105" i="69"/>
  <c r="B105" i="69"/>
  <c r="Z104" i="69"/>
  <c r="X104" i="69"/>
  <c r="N104" i="69"/>
  <c r="L104" i="69"/>
  <c r="B104" i="69"/>
  <c r="Z103" i="69"/>
  <c r="X103" i="69"/>
  <c r="N103" i="69"/>
  <c r="L103" i="69"/>
  <c r="B103" i="69"/>
  <c r="Z102" i="69"/>
  <c r="T102" i="69"/>
  <c r="P102" i="69"/>
  <c r="X102" i="69" s="1"/>
  <c r="L102" i="69"/>
  <c r="H102" i="69"/>
  <c r="N102" i="69" s="1"/>
  <c r="D102" i="69"/>
  <c r="B102" i="69"/>
  <c r="Z101" i="69"/>
  <c r="X101" i="69"/>
  <c r="L101" i="69"/>
  <c r="N101" i="69" s="1"/>
  <c r="B101" i="69"/>
  <c r="X100" i="69"/>
  <c r="T100" i="69"/>
  <c r="P100" i="69"/>
  <c r="H100" i="69"/>
  <c r="D100" i="69"/>
  <c r="B100" i="69"/>
  <c r="Z99" i="69"/>
  <c r="X99" i="69"/>
  <c r="N99" i="69"/>
  <c r="L99" i="69"/>
  <c r="B99" i="69"/>
  <c r="X98" i="69"/>
  <c r="Z98" i="69" s="1"/>
  <c r="L98" i="69"/>
  <c r="N98" i="69" s="1"/>
  <c r="B98" i="69"/>
  <c r="Z97" i="69"/>
  <c r="X97" i="69"/>
  <c r="L97" i="69"/>
  <c r="N97" i="69" s="1"/>
  <c r="B97" i="69"/>
  <c r="X96" i="69"/>
  <c r="Z96" i="69" s="1"/>
  <c r="N96" i="69"/>
  <c r="L96" i="69"/>
  <c r="B96" i="69"/>
  <c r="Z95" i="69"/>
  <c r="X95" i="69"/>
  <c r="L95" i="69"/>
  <c r="N95" i="69" s="1"/>
  <c r="B95" i="69"/>
  <c r="T94" i="69"/>
  <c r="Z94" i="69" s="1"/>
  <c r="P94" i="69"/>
  <c r="X94" i="69" s="1"/>
  <c r="L94" i="69"/>
  <c r="H94" i="69"/>
  <c r="N94" i="69" s="1"/>
  <c r="D94" i="69"/>
  <c r="B94" i="69"/>
  <c r="Z93" i="69"/>
  <c r="X93" i="69"/>
  <c r="L93" i="69"/>
  <c r="N93" i="69" s="1"/>
  <c r="B93" i="69"/>
  <c r="X92" i="69"/>
  <c r="Z92" i="69" s="1"/>
  <c r="N92" i="69"/>
  <c r="L92" i="69"/>
  <c r="B92" i="69"/>
  <c r="Z91" i="69"/>
  <c r="X91" i="69"/>
  <c r="N91" i="69"/>
  <c r="L91" i="69"/>
  <c r="B91" i="69"/>
  <c r="X90" i="69"/>
  <c r="Z90" i="69" s="1"/>
  <c r="L90" i="69"/>
  <c r="N90" i="69" s="1"/>
  <c r="F90" i="69"/>
  <c r="B90" i="69"/>
  <c r="X89" i="69"/>
  <c r="Z89" i="69" s="1"/>
  <c r="N89" i="69"/>
  <c r="L89" i="69"/>
  <c r="B89" i="69"/>
  <c r="Z88" i="69"/>
  <c r="X88" i="69"/>
  <c r="L88" i="69"/>
  <c r="N88" i="69" s="1"/>
  <c r="B88" i="69"/>
  <c r="Z87" i="69"/>
  <c r="X87" i="69"/>
  <c r="N87" i="69"/>
  <c r="L87" i="69"/>
  <c r="B87" i="69"/>
  <c r="X86" i="69"/>
  <c r="Z86" i="69" s="1"/>
  <c r="L86" i="69"/>
  <c r="N86" i="69" s="1"/>
  <c r="B86" i="69"/>
  <c r="T85" i="69"/>
  <c r="P85" i="69"/>
  <c r="X85" i="69" s="1"/>
  <c r="Z85" i="69" s="1"/>
  <c r="L85" i="69"/>
  <c r="N85" i="69" s="1"/>
  <c r="H85" i="69"/>
  <c r="D85" i="69"/>
  <c r="B85" i="69"/>
  <c r="T84" i="69"/>
  <c r="P84" i="69"/>
  <c r="X84" i="69" s="1"/>
  <c r="Z84" i="69" s="1"/>
  <c r="H84" i="69"/>
  <c r="N84" i="69" s="1"/>
  <c r="D84" i="69"/>
  <c r="L84" i="69" s="1"/>
  <c r="Z80" i="69"/>
  <c r="X80" i="69"/>
  <c r="L80" i="69"/>
  <c r="N80" i="69" s="1"/>
  <c r="B80" i="69"/>
  <c r="Z79" i="69"/>
  <c r="X79" i="69"/>
  <c r="N79" i="69"/>
  <c r="L79" i="69"/>
  <c r="B79" i="69"/>
  <c r="X78" i="69"/>
  <c r="Z78" i="69" s="1"/>
  <c r="L78" i="69"/>
  <c r="N78" i="69" s="1"/>
  <c r="B78" i="69"/>
  <c r="Z77" i="69"/>
  <c r="X77" i="69"/>
  <c r="L77" i="69"/>
  <c r="N77" i="69" s="1"/>
  <c r="B77" i="69"/>
  <c r="X76" i="69"/>
  <c r="Z76" i="69" s="1"/>
  <c r="N76" i="69"/>
  <c r="L76" i="69"/>
  <c r="B76" i="69"/>
  <c r="Z75" i="69"/>
  <c r="X75" i="69"/>
  <c r="N75" i="69"/>
  <c r="L75" i="69"/>
  <c r="B75" i="69"/>
  <c r="X74" i="69"/>
  <c r="Z74" i="69" s="1"/>
  <c r="N74" i="69"/>
  <c r="L74" i="69"/>
  <c r="B74" i="69"/>
  <c r="X73" i="69"/>
  <c r="Z73" i="69" s="1"/>
  <c r="N73" i="69"/>
  <c r="L73" i="69"/>
  <c r="B73" i="69"/>
  <c r="Z72" i="69"/>
  <c r="X72" i="69"/>
  <c r="N72" i="69"/>
  <c r="L72" i="69"/>
  <c r="B72" i="69"/>
  <c r="Z71" i="69"/>
  <c r="X71" i="69"/>
  <c r="N71" i="69"/>
  <c r="L71" i="69"/>
  <c r="B71" i="69"/>
  <c r="X70" i="69"/>
  <c r="Z70" i="69" s="1"/>
  <c r="L70" i="69"/>
  <c r="N70" i="69" s="1"/>
  <c r="B70" i="69"/>
  <c r="Z69" i="69"/>
  <c r="X69" i="69"/>
  <c r="L69" i="69"/>
  <c r="N69" i="69" s="1"/>
  <c r="B69" i="69"/>
  <c r="X68" i="69"/>
  <c r="Z68" i="69" s="1"/>
  <c r="N68" i="69"/>
  <c r="L68" i="69"/>
  <c r="B68" i="69"/>
  <c r="Z67" i="69"/>
  <c r="X67" i="69"/>
  <c r="N67" i="69"/>
  <c r="L67" i="69"/>
  <c r="B67" i="69"/>
  <c r="X66" i="69"/>
  <c r="Z66" i="69" s="1"/>
  <c r="L66" i="69"/>
  <c r="N66" i="69" s="1"/>
  <c r="B66" i="69"/>
  <c r="X65" i="69"/>
  <c r="Z65" i="69" s="1"/>
  <c r="N65" i="69"/>
  <c r="L65" i="69"/>
  <c r="B65" i="69"/>
  <c r="Z64" i="69"/>
  <c r="X64" i="69"/>
  <c r="L64" i="69"/>
  <c r="N64" i="69" s="1"/>
  <c r="B64" i="69"/>
  <c r="Z63" i="69"/>
  <c r="X63" i="69"/>
  <c r="N63" i="69"/>
  <c r="L63" i="69"/>
  <c r="B63" i="69"/>
  <c r="X62" i="69"/>
  <c r="Z62" i="69" s="1"/>
  <c r="N62" i="69"/>
  <c r="L62" i="69"/>
  <c r="B62" i="69"/>
  <c r="Z61" i="69"/>
  <c r="X61" i="69"/>
  <c r="N61" i="69"/>
  <c r="L61" i="69"/>
  <c r="B61" i="69"/>
  <c r="X60" i="69"/>
  <c r="Z60" i="69" s="1"/>
  <c r="N60" i="69"/>
  <c r="L60" i="69"/>
  <c r="B60" i="69"/>
  <c r="Z59" i="69"/>
  <c r="X59" i="69"/>
  <c r="N59" i="69"/>
  <c r="L59" i="69"/>
  <c r="B59" i="69"/>
  <c r="X58" i="69"/>
  <c r="Z58" i="69" s="1"/>
  <c r="N58" i="69"/>
  <c r="L58" i="69"/>
  <c r="B58" i="69"/>
  <c r="Z57" i="69"/>
  <c r="X57" i="69"/>
  <c r="N57" i="69"/>
  <c r="L57" i="69"/>
  <c r="B57" i="69"/>
  <c r="Z56" i="69"/>
  <c r="T56" i="69"/>
  <c r="P56" i="69"/>
  <c r="X56" i="69" s="1"/>
  <c r="H56" i="69"/>
  <c r="N56" i="69" s="1"/>
  <c r="D56" i="69"/>
  <c r="L56" i="69" s="1"/>
  <c r="Z54" i="69"/>
  <c r="X54" i="69"/>
  <c r="T54" i="69"/>
  <c r="P54" i="69"/>
  <c r="N54" i="69"/>
  <c r="H54" i="69"/>
  <c r="D54" i="69"/>
  <c r="L54" i="69" s="1"/>
  <c r="B54" i="69"/>
  <c r="Z53" i="69"/>
  <c r="T53" i="69"/>
  <c r="P53" i="69"/>
  <c r="X53" i="69" s="1"/>
  <c r="H53" i="69"/>
  <c r="N53" i="69" s="1"/>
  <c r="D53" i="69"/>
  <c r="L53" i="69" s="1"/>
  <c r="B53" i="69"/>
  <c r="T52" i="69"/>
  <c r="P52" i="69"/>
  <c r="H52" i="69"/>
  <c r="N52" i="69" s="1"/>
  <c r="D52" i="69"/>
  <c r="L52" i="69" s="1"/>
  <c r="B52" i="69"/>
  <c r="X51" i="69"/>
  <c r="T51" i="69"/>
  <c r="Z51" i="69" s="1"/>
  <c r="P51" i="69"/>
  <c r="H51" i="69"/>
  <c r="D51" i="69"/>
  <c r="B51" i="69"/>
  <c r="Z50" i="69"/>
  <c r="T50" i="69"/>
  <c r="P50" i="69"/>
  <c r="X50" i="69" s="1"/>
  <c r="L50" i="69"/>
  <c r="H50" i="69"/>
  <c r="N50" i="69" s="1"/>
  <c r="D50" i="69"/>
  <c r="B50" i="69"/>
  <c r="T49" i="69"/>
  <c r="Z49" i="69" s="1"/>
  <c r="P49" i="69"/>
  <c r="X49" i="69" s="1"/>
  <c r="N49" i="69"/>
  <c r="H49" i="69"/>
  <c r="D49" i="69"/>
  <c r="L49" i="69" s="1"/>
  <c r="B49" i="69"/>
  <c r="T48" i="69"/>
  <c r="Z48" i="69" s="1"/>
  <c r="P48" i="69"/>
  <c r="X48" i="69" s="1"/>
  <c r="H48" i="69"/>
  <c r="D48" i="69"/>
  <c r="B48" i="69"/>
  <c r="T47" i="69"/>
  <c r="P47" i="69"/>
  <c r="X47" i="69" s="1"/>
  <c r="L47" i="69"/>
  <c r="H47" i="69"/>
  <c r="N47" i="69" s="1"/>
  <c r="D47" i="69"/>
  <c r="B47" i="69"/>
  <c r="X46" i="69"/>
  <c r="T46" i="69"/>
  <c r="P46" i="69"/>
  <c r="H46" i="69"/>
  <c r="D46" i="69"/>
  <c r="L46" i="69" s="1"/>
  <c r="N46" i="69" s="1"/>
  <c r="B46" i="69"/>
  <c r="Z45" i="69"/>
  <c r="T45" i="69"/>
  <c r="P45" i="69"/>
  <c r="X45" i="69" s="1"/>
  <c r="H45" i="69"/>
  <c r="D45" i="69"/>
  <c r="L45" i="69" s="1"/>
  <c r="B45" i="69"/>
  <c r="T44" i="69"/>
  <c r="P44" i="69"/>
  <c r="H44" i="69"/>
  <c r="N44" i="69" s="1"/>
  <c r="D44" i="69"/>
  <c r="L44" i="69" s="1"/>
  <c r="B44" i="69"/>
  <c r="X43" i="69"/>
  <c r="T43" i="69"/>
  <c r="Z43" i="69" s="1"/>
  <c r="P43" i="69"/>
  <c r="H43" i="69"/>
  <c r="D43" i="69"/>
  <c r="B43" i="69"/>
  <c r="Z42" i="69"/>
  <c r="T42" i="69"/>
  <c r="P42" i="69"/>
  <c r="X42" i="69" s="1"/>
  <c r="L42" i="69"/>
  <c r="H42" i="69"/>
  <c r="N42" i="69" s="1"/>
  <c r="D42" i="69"/>
  <c r="B42" i="69"/>
  <c r="T41" i="69"/>
  <c r="Z41" i="69" s="1"/>
  <c r="P41" i="69"/>
  <c r="X41" i="69" s="1"/>
  <c r="N41" i="69"/>
  <c r="H41" i="69"/>
  <c r="D41" i="69"/>
  <c r="L41" i="69" s="1"/>
  <c r="B41" i="69"/>
  <c r="T40" i="69"/>
  <c r="Z40" i="69" s="1"/>
  <c r="P40" i="69"/>
  <c r="X40" i="69" s="1"/>
  <c r="H40" i="69"/>
  <c r="N40" i="69" s="1"/>
  <c r="D40" i="69"/>
  <c r="B40" i="69"/>
  <c r="T39" i="69"/>
  <c r="P39" i="69"/>
  <c r="X39" i="69" s="1"/>
  <c r="L39" i="69"/>
  <c r="H39" i="69"/>
  <c r="N39" i="69" s="1"/>
  <c r="D39" i="69"/>
  <c r="B39" i="69"/>
  <c r="X38" i="69"/>
  <c r="T38" i="69"/>
  <c r="P38" i="69"/>
  <c r="H38" i="69"/>
  <c r="D38" i="69"/>
  <c r="L38" i="69" s="1"/>
  <c r="N38" i="69" s="1"/>
  <c r="B38" i="69"/>
  <c r="Z37" i="69"/>
  <c r="T37" i="69"/>
  <c r="P37" i="69"/>
  <c r="X37" i="69" s="1"/>
  <c r="H37" i="69"/>
  <c r="D37" i="69"/>
  <c r="L37" i="69" s="1"/>
  <c r="B37" i="69"/>
  <c r="T36" i="69"/>
  <c r="P36" i="69"/>
  <c r="H36" i="69"/>
  <c r="N36" i="69" s="1"/>
  <c r="D36" i="69"/>
  <c r="L36" i="69" s="1"/>
  <c r="B36" i="69"/>
  <c r="X35" i="69"/>
  <c r="T35" i="69"/>
  <c r="Z35" i="69" s="1"/>
  <c r="P35" i="69"/>
  <c r="H35" i="69"/>
  <c r="D35" i="69"/>
  <c r="B35" i="69"/>
  <c r="Z34" i="69"/>
  <c r="T34" i="69"/>
  <c r="P34" i="69"/>
  <c r="X34" i="69" s="1"/>
  <c r="L34" i="69"/>
  <c r="H34" i="69"/>
  <c r="N34" i="69" s="1"/>
  <c r="D34" i="69"/>
  <c r="B34" i="69"/>
  <c r="T33" i="69"/>
  <c r="Z33" i="69" s="1"/>
  <c r="P33" i="69"/>
  <c r="X33" i="69" s="1"/>
  <c r="N33" i="69"/>
  <c r="H33" i="69"/>
  <c r="D33" i="69"/>
  <c r="L33" i="69" s="1"/>
  <c r="B33" i="69"/>
  <c r="T32" i="69"/>
  <c r="Z32" i="69" s="1"/>
  <c r="P32" i="69"/>
  <c r="X32" i="69" s="1"/>
  <c r="H32" i="69"/>
  <c r="N32" i="69" s="1"/>
  <c r="D32" i="69"/>
  <c r="B32" i="69"/>
  <c r="T31" i="69"/>
  <c r="P31" i="69"/>
  <c r="X31" i="69" s="1"/>
  <c r="L31" i="69"/>
  <c r="H31" i="69"/>
  <c r="N31" i="69" s="1"/>
  <c r="D31" i="69"/>
  <c r="B31" i="69"/>
  <c r="X30" i="69"/>
  <c r="T30" i="69"/>
  <c r="P30" i="69"/>
  <c r="N30" i="69"/>
  <c r="H30" i="69"/>
  <c r="D30" i="69"/>
  <c r="L30" i="69" s="1"/>
  <c r="B30" i="69"/>
  <c r="Z29" i="69"/>
  <c r="T29" i="69"/>
  <c r="P29" i="69"/>
  <c r="X29" i="69" s="1"/>
  <c r="H29" i="69"/>
  <c r="D29" i="69"/>
  <c r="L29" i="69" s="1"/>
  <c r="B29" i="69"/>
  <c r="T28" i="69"/>
  <c r="P28" i="69"/>
  <c r="H28" i="69"/>
  <c r="N28" i="69" s="1"/>
  <c r="D28" i="69"/>
  <c r="L28" i="69" s="1"/>
  <c r="B28" i="69"/>
  <c r="X27" i="69"/>
  <c r="T27" i="69"/>
  <c r="Z27" i="69" s="1"/>
  <c r="P27" i="69"/>
  <c r="H27" i="69"/>
  <c r="D27" i="69"/>
  <c r="B27" i="69"/>
  <c r="Z26" i="69"/>
  <c r="T26" i="69"/>
  <c r="P26" i="69"/>
  <c r="X26" i="69" s="1"/>
  <c r="L26" i="69"/>
  <c r="H26" i="69"/>
  <c r="N26" i="69" s="1"/>
  <c r="D26" i="69"/>
  <c r="B26" i="69"/>
  <c r="T25" i="69"/>
  <c r="Z25" i="69" s="1"/>
  <c r="P25" i="69"/>
  <c r="X25" i="69" s="1"/>
  <c r="N25" i="69"/>
  <c r="H25" i="69"/>
  <c r="D25" i="69"/>
  <c r="L25" i="69" s="1"/>
  <c r="B25" i="69"/>
  <c r="T24" i="69"/>
  <c r="Z24" i="69" s="1"/>
  <c r="P24" i="69"/>
  <c r="X24" i="69" s="1"/>
  <c r="H24" i="69"/>
  <c r="D24" i="69"/>
  <c r="B24" i="69"/>
  <c r="T23" i="69"/>
  <c r="P23" i="69"/>
  <c r="X23" i="69" s="1"/>
  <c r="L23" i="69"/>
  <c r="H23" i="69"/>
  <c r="N23" i="69" s="1"/>
  <c r="D23" i="69"/>
  <c r="B23" i="69"/>
  <c r="X22" i="69"/>
  <c r="T22" i="69"/>
  <c r="P22" i="69"/>
  <c r="H22" i="69"/>
  <c r="D22" i="69"/>
  <c r="L22" i="69" s="1"/>
  <c r="N22" i="69" s="1"/>
  <c r="B22" i="69"/>
  <c r="Z21" i="69"/>
  <c r="T21" i="69"/>
  <c r="P21" i="69"/>
  <c r="X21" i="69" s="1"/>
  <c r="H21" i="69"/>
  <c r="D21" i="69"/>
  <c r="L21" i="69" s="1"/>
  <c r="B21" i="69"/>
  <c r="T20" i="69"/>
  <c r="T12" i="69" s="1"/>
  <c r="P20" i="69"/>
  <c r="H20" i="69"/>
  <c r="N20" i="69" s="1"/>
  <c r="D20" i="69"/>
  <c r="L20" i="69" s="1"/>
  <c r="B20" i="69"/>
  <c r="X19" i="69"/>
  <c r="T19" i="69"/>
  <c r="Z19" i="69" s="1"/>
  <c r="P19" i="69"/>
  <c r="H19" i="69"/>
  <c r="D19" i="69"/>
  <c r="B19" i="69"/>
  <c r="Z18" i="69"/>
  <c r="T18" i="69"/>
  <c r="P18" i="69"/>
  <c r="X18" i="69" s="1"/>
  <c r="N18" i="69"/>
  <c r="L18" i="69"/>
  <c r="H18" i="69"/>
  <c r="D18" i="69"/>
  <c r="B18" i="69"/>
  <c r="T17" i="69"/>
  <c r="Z17" i="69" s="1"/>
  <c r="P17" i="69"/>
  <c r="X17" i="69" s="1"/>
  <c r="H17" i="69"/>
  <c r="D17" i="69"/>
  <c r="L17" i="69" s="1"/>
  <c r="N17" i="69" s="1"/>
  <c r="B17" i="69"/>
  <c r="T16" i="69"/>
  <c r="P16" i="69"/>
  <c r="X16" i="69" s="1"/>
  <c r="H16" i="69"/>
  <c r="D16" i="69"/>
  <c r="B16" i="69"/>
  <c r="T15" i="69"/>
  <c r="P15" i="69"/>
  <c r="L15" i="69"/>
  <c r="H15" i="69"/>
  <c r="D15" i="69"/>
  <c r="B15" i="69"/>
  <c r="X14" i="69"/>
  <c r="Z14" i="69" s="1"/>
  <c r="T14" i="69"/>
  <c r="P14" i="69"/>
  <c r="N14" i="69"/>
  <c r="H14" i="69"/>
  <c r="D14" i="69"/>
  <c r="L14" i="69" s="1"/>
  <c r="B14" i="69"/>
  <c r="T13" i="69"/>
  <c r="P13" i="69"/>
  <c r="H13" i="69"/>
  <c r="D13" i="69"/>
  <c r="L13" i="69" s="1"/>
  <c r="B13" i="69"/>
  <c r="D12" i="69"/>
  <c r="D6" i="69"/>
  <c r="D4" i="69"/>
  <c r="V52" i="67"/>
  <c r="Z50" i="67"/>
  <c r="X50" i="67"/>
  <c r="N50" i="67"/>
  <c r="L50" i="67"/>
  <c r="Z46" i="67"/>
  <c r="V46" i="67"/>
  <c r="T46" i="67"/>
  <c r="X46" i="67" s="1"/>
  <c r="P46" i="67"/>
  <c r="H46" i="67"/>
  <c r="N46" i="67" s="1"/>
  <c r="D46" i="67"/>
  <c r="L46" i="67" s="1"/>
  <c r="Z44" i="67"/>
  <c r="X44" i="67"/>
  <c r="N44" i="67"/>
  <c r="L44" i="67"/>
  <c r="B44" i="67"/>
  <c r="T43" i="67"/>
  <c r="P43" i="67"/>
  <c r="X43" i="67" s="1"/>
  <c r="H43" i="67"/>
  <c r="D43" i="67"/>
  <c r="L43" i="67" s="1"/>
  <c r="N43" i="67" s="1"/>
  <c r="B43" i="67"/>
  <c r="Z42" i="67"/>
  <c r="X42" i="67"/>
  <c r="N42" i="67"/>
  <c r="L42" i="67"/>
  <c r="B42" i="67"/>
  <c r="Z41" i="67"/>
  <c r="T41" i="67"/>
  <c r="P41" i="67"/>
  <c r="X41" i="67" s="1"/>
  <c r="L41" i="67"/>
  <c r="H41" i="67"/>
  <c r="N41" i="67" s="1"/>
  <c r="D41" i="67"/>
  <c r="B41" i="67"/>
  <c r="Z40" i="67"/>
  <c r="X40" i="67"/>
  <c r="V40" i="67"/>
  <c r="N40" i="67"/>
  <c r="L40" i="67"/>
  <c r="B40" i="67"/>
  <c r="X39" i="67"/>
  <c r="T39" i="67"/>
  <c r="P39" i="67"/>
  <c r="H39" i="67"/>
  <c r="D39" i="67"/>
  <c r="B39" i="67"/>
  <c r="X38" i="67"/>
  <c r="Z38" i="67" s="1"/>
  <c r="N38" i="67"/>
  <c r="L38" i="67"/>
  <c r="B38" i="67"/>
  <c r="T37" i="67"/>
  <c r="P37" i="67"/>
  <c r="H37" i="67"/>
  <c r="N37" i="67" s="1"/>
  <c r="D37" i="67"/>
  <c r="L37" i="67" s="1"/>
  <c r="B37" i="67"/>
  <c r="Z36" i="67"/>
  <c r="X36" i="67"/>
  <c r="N36" i="67"/>
  <c r="L36" i="67"/>
  <c r="J36" i="67"/>
  <c r="B36" i="67"/>
  <c r="T35" i="67"/>
  <c r="P35" i="67"/>
  <c r="X35" i="67" s="1"/>
  <c r="N35" i="67"/>
  <c r="H35" i="67"/>
  <c r="D35" i="67"/>
  <c r="L35" i="67" s="1"/>
  <c r="B35" i="67"/>
  <c r="Z34" i="67"/>
  <c r="X34" i="67"/>
  <c r="L34" i="67"/>
  <c r="N34" i="67" s="1"/>
  <c r="B34" i="67"/>
  <c r="T33" i="67"/>
  <c r="P33" i="67"/>
  <c r="X33" i="67" s="1"/>
  <c r="Z33" i="67" s="1"/>
  <c r="L33" i="67"/>
  <c r="H33" i="67"/>
  <c r="N33" i="67" s="1"/>
  <c r="D33" i="67"/>
  <c r="B33" i="67"/>
  <c r="Z32" i="67"/>
  <c r="X32" i="67"/>
  <c r="V32" i="67"/>
  <c r="N32" i="67"/>
  <c r="L32" i="67"/>
  <c r="B32" i="67"/>
  <c r="X31" i="67"/>
  <c r="Z31" i="67" s="1"/>
  <c r="L31" i="67"/>
  <c r="N31" i="67" s="1"/>
  <c r="B31" i="67"/>
  <c r="Z30" i="67"/>
  <c r="X30" i="67"/>
  <c r="L30" i="67"/>
  <c r="N30" i="67" s="1"/>
  <c r="B30" i="67"/>
  <c r="Z29" i="67"/>
  <c r="X29" i="67"/>
  <c r="L29" i="67"/>
  <c r="N29" i="67" s="1"/>
  <c r="B29" i="67"/>
  <c r="Z28" i="67"/>
  <c r="X28" i="67"/>
  <c r="N28" i="67"/>
  <c r="L28" i="67"/>
  <c r="J28" i="67"/>
  <c r="B28" i="67"/>
  <c r="X27" i="67"/>
  <c r="Z27" i="67" s="1"/>
  <c r="L27" i="67"/>
  <c r="N27" i="67" s="1"/>
  <c r="B27" i="67"/>
  <c r="X26" i="67"/>
  <c r="Z26" i="67" s="1"/>
  <c r="N26" i="67"/>
  <c r="L26" i="67"/>
  <c r="B26" i="67"/>
  <c r="X25" i="67"/>
  <c r="Z25" i="67" s="1"/>
  <c r="N25" i="67"/>
  <c r="L25" i="67"/>
  <c r="B25" i="67"/>
  <c r="V24" i="67"/>
  <c r="T24" i="67"/>
  <c r="X24" i="67" s="1"/>
  <c r="Z24" i="67" s="1"/>
  <c r="P24" i="67"/>
  <c r="H24" i="67"/>
  <c r="D24" i="67"/>
  <c r="L24" i="67" s="1"/>
  <c r="B24" i="67"/>
  <c r="T23" i="67"/>
  <c r="P23" i="67"/>
  <c r="X23" i="67" s="1"/>
  <c r="H23" i="67"/>
  <c r="D23" i="67"/>
  <c r="L23" i="67" s="1"/>
  <c r="N23" i="67" s="1"/>
  <c r="X19" i="67"/>
  <c r="Z19" i="67" s="1"/>
  <c r="N19" i="67"/>
  <c r="L19" i="67"/>
  <c r="B19" i="67"/>
  <c r="T18" i="67"/>
  <c r="P18" i="67"/>
  <c r="X18" i="67" s="1"/>
  <c r="H18" i="67"/>
  <c r="N18" i="67" s="1"/>
  <c r="D18" i="67"/>
  <c r="L18" i="67" s="1"/>
  <c r="Z16" i="67"/>
  <c r="X16" i="67"/>
  <c r="T16" i="67"/>
  <c r="P16" i="67"/>
  <c r="H16" i="67"/>
  <c r="N16" i="67" s="1"/>
  <c r="D16" i="67"/>
  <c r="B16" i="67"/>
  <c r="Z15" i="67"/>
  <c r="X15" i="67"/>
  <c r="T15" i="67"/>
  <c r="P15" i="67"/>
  <c r="N15" i="67"/>
  <c r="H15" i="67"/>
  <c r="D15" i="67"/>
  <c r="L15" i="67" s="1"/>
  <c r="B15" i="67"/>
  <c r="Z14" i="67"/>
  <c r="T14" i="67"/>
  <c r="P14" i="67"/>
  <c r="X14" i="67" s="1"/>
  <c r="H14" i="67"/>
  <c r="N14" i="67" s="1"/>
  <c r="D14" i="67"/>
  <c r="L14" i="67" s="1"/>
  <c r="B14" i="67"/>
  <c r="T13" i="67"/>
  <c r="Z13" i="67" s="1"/>
  <c r="P13" i="67"/>
  <c r="X13" i="67" s="1"/>
  <c r="L13" i="67"/>
  <c r="H13" i="67"/>
  <c r="H12" i="67" s="1"/>
  <c r="J50" i="67" s="1"/>
  <c r="D13" i="67"/>
  <c r="B13" i="67"/>
  <c r="T12" i="67"/>
  <c r="V39" i="67" s="1"/>
  <c r="N12" i="67"/>
  <c r="D6" i="67"/>
  <c r="D4" i="67"/>
  <c r="Z114" i="66"/>
  <c r="X114" i="66"/>
  <c r="N114" i="66"/>
  <c r="L114" i="66"/>
  <c r="T110" i="66"/>
  <c r="Z110" i="66" s="1"/>
  <c r="P110" i="66"/>
  <c r="X110" i="66" s="1"/>
  <c r="H110" i="66"/>
  <c r="D110" i="66"/>
  <c r="L110" i="66" s="1"/>
  <c r="N110" i="66" s="1"/>
  <c r="B110" i="66"/>
  <c r="X109" i="66"/>
  <c r="T109" i="66"/>
  <c r="P109" i="66"/>
  <c r="H109" i="66"/>
  <c r="D109" i="66"/>
  <c r="B109" i="66"/>
  <c r="X108" i="66"/>
  <c r="T108" i="66"/>
  <c r="Z108" i="66" s="1"/>
  <c r="P108" i="66"/>
  <c r="H108" i="66"/>
  <c r="N108" i="66" s="1"/>
  <c r="D108" i="66"/>
  <c r="L108" i="66" s="1"/>
  <c r="B108" i="66"/>
  <c r="P107" i="66"/>
  <c r="X105" i="66"/>
  <c r="Z105" i="66" s="1"/>
  <c r="N105" i="66"/>
  <c r="L105" i="66"/>
  <c r="B105" i="66"/>
  <c r="T104" i="66"/>
  <c r="X104" i="66" s="1"/>
  <c r="Z104" i="66" s="1"/>
  <c r="P104" i="66"/>
  <c r="L104" i="66"/>
  <c r="H104" i="66"/>
  <c r="N104" i="66" s="1"/>
  <c r="D104" i="66"/>
  <c r="B104" i="66"/>
  <c r="X103" i="66"/>
  <c r="Z103" i="66" s="1"/>
  <c r="L103" i="66"/>
  <c r="N103" i="66" s="1"/>
  <c r="B103" i="66"/>
  <c r="X102" i="66"/>
  <c r="Z102" i="66" s="1"/>
  <c r="N102" i="66"/>
  <c r="L102" i="66"/>
  <c r="B102" i="66"/>
  <c r="T101" i="66"/>
  <c r="P101" i="66"/>
  <c r="H101" i="66"/>
  <c r="N101" i="66" s="1"/>
  <c r="D101" i="66"/>
  <c r="L101" i="66" s="1"/>
  <c r="B101" i="66"/>
  <c r="Z100" i="66"/>
  <c r="X100" i="66"/>
  <c r="N100" i="66"/>
  <c r="L100" i="66"/>
  <c r="B100" i="66"/>
  <c r="Z99" i="66"/>
  <c r="X99" i="66"/>
  <c r="L99" i="66"/>
  <c r="N99" i="66" s="1"/>
  <c r="B99" i="66"/>
  <c r="T98" i="66"/>
  <c r="P98" i="66"/>
  <c r="X98" i="66" s="1"/>
  <c r="H98" i="66"/>
  <c r="N98" i="66" s="1"/>
  <c r="D98" i="66"/>
  <c r="L98" i="66" s="1"/>
  <c r="B98" i="66"/>
  <c r="Z97" i="66"/>
  <c r="X97" i="66"/>
  <c r="L97" i="66"/>
  <c r="N97" i="66" s="1"/>
  <c r="B97" i="66"/>
  <c r="T96" i="66"/>
  <c r="Z96" i="66" s="1"/>
  <c r="P96" i="66"/>
  <c r="X96" i="66" s="1"/>
  <c r="H96" i="66"/>
  <c r="D96" i="66"/>
  <c r="L96" i="66" s="1"/>
  <c r="N96" i="66" s="1"/>
  <c r="B96" i="66"/>
  <c r="X95" i="66"/>
  <c r="Z95" i="66" s="1"/>
  <c r="N95" i="66"/>
  <c r="L95" i="66"/>
  <c r="B95" i="66"/>
  <c r="Z94" i="66"/>
  <c r="X94" i="66"/>
  <c r="L94" i="66"/>
  <c r="N94" i="66" s="1"/>
  <c r="B94" i="66"/>
  <c r="Z93" i="66"/>
  <c r="X93" i="66"/>
  <c r="N93" i="66"/>
  <c r="L93" i="66"/>
  <c r="B93" i="66"/>
  <c r="T92" i="66"/>
  <c r="Z92" i="66" s="1"/>
  <c r="P92" i="66"/>
  <c r="X92" i="66" s="1"/>
  <c r="H92" i="66"/>
  <c r="D92" i="66"/>
  <c r="L92" i="66" s="1"/>
  <c r="N92" i="66" s="1"/>
  <c r="B92" i="66"/>
  <c r="X91" i="66"/>
  <c r="Z91" i="66" s="1"/>
  <c r="N91" i="66"/>
  <c r="L91" i="66"/>
  <c r="B91" i="66"/>
  <c r="T90" i="66"/>
  <c r="P90" i="66"/>
  <c r="X90" i="66" s="1"/>
  <c r="Z90" i="66" s="1"/>
  <c r="H90" i="66"/>
  <c r="L90" i="66" s="1"/>
  <c r="N90" i="66" s="1"/>
  <c r="D90" i="66"/>
  <c r="B90" i="66"/>
  <c r="X89" i="66"/>
  <c r="Z89" i="66" s="1"/>
  <c r="N89" i="66"/>
  <c r="L89" i="66"/>
  <c r="B89" i="66"/>
  <c r="T88" i="66"/>
  <c r="X88" i="66" s="1"/>
  <c r="Z88" i="66" s="1"/>
  <c r="P88" i="66"/>
  <c r="H88" i="66"/>
  <c r="N88" i="66" s="1"/>
  <c r="D88" i="66"/>
  <c r="L88" i="66" s="1"/>
  <c r="B88" i="66"/>
  <c r="Z87" i="66"/>
  <c r="X87" i="66"/>
  <c r="L87" i="66"/>
  <c r="N87" i="66" s="1"/>
  <c r="B87" i="66"/>
  <c r="T86" i="66"/>
  <c r="Z86" i="66" s="1"/>
  <c r="P86" i="66"/>
  <c r="X86" i="66" s="1"/>
  <c r="H86" i="66"/>
  <c r="N86" i="66" s="1"/>
  <c r="D86" i="66"/>
  <c r="L86" i="66" s="1"/>
  <c r="B86" i="66"/>
  <c r="Z85" i="66"/>
  <c r="X85" i="66"/>
  <c r="L85" i="66"/>
  <c r="N85" i="66" s="1"/>
  <c r="B85" i="66"/>
  <c r="T84" i="66"/>
  <c r="Z84" i="66" s="1"/>
  <c r="P84" i="66"/>
  <c r="X84" i="66" s="1"/>
  <c r="N84" i="66"/>
  <c r="H84" i="66"/>
  <c r="D84" i="66"/>
  <c r="L84" i="66" s="1"/>
  <c r="B84" i="66"/>
  <c r="X83" i="66"/>
  <c r="Z83" i="66" s="1"/>
  <c r="N83" i="66"/>
  <c r="L83" i="66"/>
  <c r="B83" i="66"/>
  <c r="Z82" i="66"/>
  <c r="T82" i="66"/>
  <c r="P82" i="66"/>
  <c r="X82" i="66" s="1"/>
  <c r="N82" i="66"/>
  <c r="H82" i="66"/>
  <c r="L82" i="66" s="1"/>
  <c r="D82" i="66"/>
  <c r="B82" i="66"/>
  <c r="Z81" i="66"/>
  <c r="X81" i="66"/>
  <c r="N81" i="66"/>
  <c r="L81" i="66"/>
  <c r="B81" i="66"/>
  <c r="Z80" i="66"/>
  <c r="T80" i="66"/>
  <c r="X80" i="66" s="1"/>
  <c r="P80" i="66"/>
  <c r="L80" i="66"/>
  <c r="H80" i="66"/>
  <c r="N80" i="66" s="1"/>
  <c r="D80" i="66"/>
  <c r="B80" i="66"/>
  <c r="Z79" i="66"/>
  <c r="X79" i="66"/>
  <c r="N79" i="66"/>
  <c r="L79" i="66"/>
  <c r="B79" i="66"/>
  <c r="T78" i="66"/>
  <c r="Z78" i="66" s="1"/>
  <c r="P78" i="66"/>
  <c r="X78" i="66" s="1"/>
  <c r="H78" i="66"/>
  <c r="N78" i="66" s="1"/>
  <c r="D78" i="66"/>
  <c r="L78" i="66" s="1"/>
  <c r="B78" i="66"/>
  <c r="Z77" i="66"/>
  <c r="X77" i="66"/>
  <c r="N77" i="66"/>
  <c r="L77" i="66"/>
  <c r="B77" i="66"/>
  <c r="X76" i="66"/>
  <c r="Z76" i="66" s="1"/>
  <c r="N76" i="66"/>
  <c r="L76" i="66"/>
  <c r="J76" i="66"/>
  <c r="B76" i="66"/>
  <c r="Z75" i="66"/>
  <c r="X75" i="66"/>
  <c r="N75" i="66"/>
  <c r="L75" i="66"/>
  <c r="B75" i="66"/>
  <c r="X74" i="66"/>
  <c r="Z74" i="66" s="1"/>
  <c r="N74" i="66"/>
  <c r="L74" i="66"/>
  <c r="B74" i="66"/>
  <c r="X73" i="66"/>
  <c r="Z73" i="66" s="1"/>
  <c r="N73" i="66"/>
  <c r="L73" i="66"/>
  <c r="B73" i="66"/>
  <c r="Z72" i="66"/>
  <c r="X72" i="66"/>
  <c r="L72" i="66"/>
  <c r="N72" i="66" s="1"/>
  <c r="B72" i="66"/>
  <c r="X71" i="66"/>
  <c r="Z71" i="66" s="1"/>
  <c r="N71" i="66"/>
  <c r="L71" i="66"/>
  <c r="B71" i="66"/>
  <c r="T70" i="66"/>
  <c r="P70" i="66"/>
  <c r="X70" i="66" s="1"/>
  <c r="Z70" i="66" s="1"/>
  <c r="H70" i="66"/>
  <c r="D70" i="66"/>
  <c r="L70" i="66" s="1"/>
  <c r="N70" i="66" s="1"/>
  <c r="B70" i="66"/>
  <c r="X69" i="66"/>
  <c r="Z69" i="66" s="1"/>
  <c r="N69" i="66"/>
  <c r="L69" i="66"/>
  <c r="B69" i="66"/>
  <c r="Z68" i="66"/>
  <c r="X68" i="66"/>
  <c r="L68" i="66"/>
  <c r="N68" i="66" s="1"/>
  <c r="B68" i="66"/>
  <c r="X67" i="66"/>
  <c r="Z67" i="66" s="1"/>
  <c r="N67" i="66"/>
  <c r="L67" i="66"/>
  <c r="B67" i="66"/>
  <c r="Z66" i="66"/>
  <c r="X66" i="66"/>
  <c r="L66" i="66"/>
  <c r="N66" i="66" s="1"/>
  <c r="B66" i="66"/>
  <c r="Z65" i="66"/>
  <c r="X65" i="66"/>
  <c r="L65" i="66"/>
  <c r="N65" i="66" s="1"/>
  <c r="B65" i="66"/>
  <c r="X64" i="66"/>
  <c r="Z64" i="66" s="1"/>
  <c r="N64" i="66"/>
  <c r="L64" i="66"/>
  <c r="B64" i="66"/>
  <c r="Z63" i="66"/>
  <c r="X63" i="66"/>
  <c r="L63" i="66"/>
  <c r="N63" i="66" s="1"/>
  <c r="B63" i="66"/>
  <c r="X62" i="66"/>
  <c r="Z62" i="66" s="1"/>
  <c r="N62" i="66"/>
  <c r="L62" i="66"/>
  <c r="B62" i="66"/>
  <c r="X61" i="66"/>
  <c r="Z61" i="66" s="1"/>
  <c r="N61" i="66"/>
  <c r="L61" i="66"/>
  <c r="B61" i="66"/>
  <c r="Z60" i="66"/>
  <c r="T60" i="66"/>
  <c r="P60" i="66"/>
  <c r="X60" i="66" s="1"/>
  <c r="L60" i="66"/>
  <c r="H60" i="66"/>
  <c r="N60" i="66" s="1"/>
  <c r="D60" i="66"/>
  <c r="B60" i="66"/>
  <c r="T59" i="66"/>
  <c r="P59" i="66"/>
  <c r="X59" i="66" s="1"/>
  <c r="H59" i="66"/>
  <c r="D59" i="66"/>
  <c r="L59" i="66" s="1"/>
  <c r="N59" i="66" s="1"/>
  <c r="Z55" i="66"/>
  <c r="X55" i="66"/>
  <c r="N55" i="66"/>
  <c r="L55" i="66"/>
  <c r="B55" i="66"/>
  <c r="X54" i="66"/>
  <c r="Z54" i="66" s="1"/>
  <c r="N54" i="66"/>
  <c r="L54" i="66"/>
  <c r="B54" i="66"/>
  <c r="X53" i="66"/>
  <c r="Z53" i="66" s="1"/>
  <c r="N53" i="66"/>
  <c r="L53" i="66"/>
  <c r="B53" i="66"/>
  <c r="Z52" i="66"/>
  <c r="X52" i="66"/>
  <c r="L52" i="66"/>
  <c r="N52" i="66" s="1"/>
  <c r="B52" i="66"/>
  <c r="X51" i="66"/>
  <c r="Z51" i="66" s="1"/>
  <c r="L51" i="66"/>
  <c r="N51" i="66" s="1"/>
  <c r="B51" i="66"/>
  <c r="Z50" i="66"/>
  <c r="X50" i="66"/>
  <c r="N50" i="66"/>
  <c r="L50" i="66"/>
  <c r="B50" i="66"/>
  <c r="Z49" i="66"/>
  <c r="X49" i="66"/>
  <c r="L49" i="66"/>
  <c r="N49" i="66" s="1"/>
  <c r="B49" i="66"/>
  <c r="X48" i="66"/>
  <c r="Z48" i="66" s="1"/>
  <c r="N48" i="66"/>
  <c r="L48" i="66"/>
  <c r="B48" i="66"/>
  <c r="X47" i="66"/>
  <c r="Z47" i="66" s="1"/>
  <c r="L47" i="66"/>
  <c r="N47" i="66" s="1"/>
  <c r="B47" i="66"/>
  <c r="X46" i="66"/>
  <c r="Z46" i="66" s="1"/>
  <c r="N46" i="66"/>
  <c r="L46" i="66"/>
  <c r="B46" i="66"/>
  <c r="X45" i="66"/>
  <c r="Z45" i="66" s="1"/>
  <c r="N45" i="66"/>
  <c r="L45" i="66"/>
  <c r="B45" i="66"/>
  <c r="Z44" i="66"/>
  <c r="X44" i="66"/>
  <c r="N44" i="66"/>
  <c r="L44" i="66"/>
  <c r="B44" i="66"/>
  <c r="X43" i="66"/>
  <c r="Z43" i="66" s="1"/>
  <c r="L43" i="66"/>
  <c r="N43" i="66" s="1"/>
  <c r="B43" i="66"/>
  <c r="Z42" i="66"/>
  <c r="X42" i="66"/>
  <c r="L42" i="66"/>
  <c r="N42" i="66" s="1"/>
  <c r="B42" i="66"/>
  <c r="Z41" i="66"/>
  <c r="X41" i="66"/>
  <c r="L41" i="66"/>
  <c r="N41" i="66" s="1"/>
  <c r="B41" i="66"/>
  <c r="X40" i="66"/>
  <c r="Z40" i="66" s="1"/>
  <c r="N40" i="66"/>
  <c r="L40" i="66"/>
  <c r="J40" i="66"/>
  <c r="B40" i="66"/>
  <c r="Z39" i="66"/>
  <c r="X39" i="66"/>
  <c r="N39" i="66"/>
  <c r="L39" i="66"/>
  <c r="B39" i="66"/>
  <c r="T38" i="66"/>
  <c r="P38" i="66"/>
  <c r="X38" i="66" s="1"/>
  <c r="Z38" i="66" s="1"/>
  <c r="H38" i="66"/>
  <c r="D38" i="66"/>
  <c r="L38" i="66" s="1"/>
  <c r="Z36" i="66"/>
  <c r="X36" i="66"/>
  <c r="T36" i="66"/>
  <c r="P36" i="66"/>
  <c r="H36" i="66"/>
  <c r="D36" i="66"/>
  <c r="B36" i="66"/>
  <c r="T35" i="66"/>
  <c r="P35" i="66"/>
  <c r="X35" i="66" s="1"/>
  <c r="Z35" i="66" s="1"/>
  <c r="L35" i="66"/>
  <c r="N35" i="66" s="1"/>
  <c r="H35" i="66"/>
  <c r="D35" i="66"/>
  <c r="B35" i="66"/>
  <c r="T34" i="66"/>
  <c r="P34" i="66"/>
  <c r="X34" i="66" s="1"/>
  <c r="H34" i="66"/>
  <c r="D34" i="66"/>
  <c r="L34" i="66" s="1"/>
  <c r="N34" i="66" s="1"/>
  <c r="B34" i="66"/>
  <c r="T33" i="66"/>
  <c r="P33" i="66"/>
  <c r="X33" i="66" s="1"/>
  <c r="L33" i="66"/>
  <c r="H33" i="66"/>
  <c r="N33" i="66" s="1"/>
  <c r="D33" i="66"/>
  <c r="B33" i="66"/>
  <c r="T32" i="66"/>
  <c r="P32" i="66"/>
  <c r="N32" i="66"/>
  <c r="L32" i="66"/>
  <c r="H32" i="66"/>
  <c r="D32" i="66"/>
  <c r="B32" i="66"/>
  <c r="T31" i="66"/>
  <c r="P31" i="66"/>
  <c r="X31" i="66" s="1"/>
  <c r="Z31" i="66" s="1"/>
  <c r="N31" i="66"/>
  <c r="H31" i="66"/>
  <c r="D31" i="66"/>
  <c r="L31" i="66" s="1"/>
  <c r="B31" i="66"/>
  <c r="T30" i="66"/>
  <c r="P30" i="66"/>
  <c r="X30" i="66" s="1"/>
  <c r="Z30" i="66" s="1"/>
  <c r="H30" i="66"/>
  <c r="N30" i="66" s="1"/>
  <c r="D30" i="66"/>
  <c r="L30" i="66" s="1"/>
  <c r="B30" i="66"/>
  <c r="X29" i="66"/>
  <c r="T29" i="66"/>
  <c r="Z29" i="66" s="1"/>
  <c r="P29" i="66"/>
  <c r="H29" i="66"/>
  <c r="D29" i="66"/>
  <c r="L29" i="66" s="1"/>
  <c r="B29" i="66"/>
  <c r="Z28" i="66"/>
  <c r="X28" i="66"/>
  <c r="T28" i="66"/>
  <c r="P28" i="66"/>
  <c r="H28" i="66"/>
  <c r="D28" i="66"/>
  <c r="B28" i="66"/>
  <c r="T27" i="66"/>
  <c r="P27" i="66"/>
  <c r="X27" i="66" s="1"/>
  <c r="Z27" i="66" s="1"/>
  <c r="H27" i="66"/>
  <c r="D27" i="66"/>
  <c r="L27" i="66" s="1"/>
  <c r="N27" i="66" s="1"/>
  <c r="B27" i="66"/>
  <c r="T26" i="66"/>
  <c r="P26" i="66"/>
  <c r="X26" i="66" s="1"/>
  <c r="H26" i="66"/>
  <c r="D26" i="66"/>
  <c r="L26" i="66" s="1"/>
  <c r="N26" i="66" s="1"/>
  <c r="B26" i="66"/>
  <c r="T25" i="66"/>
  <c r="P25" i="66"/>
  <c r="X25" i="66" s="1"/>
  <c r="L25" i="66"/>
  <c r="H25" i="66"/>
  <c r="N25" i="66" s="1"/>
  <c r="D25" i="66"/>
  <c r="B25" i="66"/>
  <c r="T24" i="66"/>
  <c r="P24" i="66"/>
  <c r="N24" i="66"/>
  <c r="L24" i="66"/>
  <c r="H24" i="66"/>
  <c r="D24" i="66"/>
  <c r="B24" i="66"/>
  <c r="T23" i="66"/>
  <c r="P23" i="66"/>
  <c r="X23" i="66" s="1"/>
  <c r="Z23" i="66" s="1"/>
  <c r="H23" i="66"/>
  <c r="D23" i="66"/>
  <c r="L23" i="66" s="1"/>
  <c r="N23" i="66" s="1"/>
  <c r="B23" i="66"/>
  <c r="T22" i="66"/>
  <c r="P22" i="66"/>
  <c r="H22" i="66"/>
  <c r="N22" i="66" s="1"/>
  <c r="D22" i="66"/>
  <c r="L22" i="66" s="1"/>
  <c r="B22" i="66"/>
  <c r="X21" i="66"/>
  <c r="T21" i="66"/>
  <c r="Z21" i="66" s="1"/>
  <c r="P21" i="66"/>
  <c r="H21" i="66"/>
  <c r="N21" i="66" s="1"/>
  <c r="D21" i="66"/>
  <c r="L21" i="66" s="1"/>
  <c r="B21" i="66"/>
  <c r="Z20" i="66"/>
  <c r="X20" i="66"/>
  <c r="T20" i="66"/>
  <c r="P20" i="66"/>
  <c r="H20" i="66"/>
  <c r="D20" i="66"/>
  <c r="B20" i="66"/>
  <c r="T19" i="66"/>
  <c r="P19" i="66"/>
  <c r="X19" i="66" s="1"/>
  <c r="Z19" i="66" s="1"/>
  <c r="N19" i="66"/>
  <c r="H19" i="66"/>
  <c r="D19" i="66"/>
  <c r="L19" i="66" s="1"/>
  <c r="B19" i="66"/>
  <c r="T18" i="66"/>
  <c r="P18" i="66"/>
  <c r="X18" i="66" s="1"/>
  <c r="H18" i="66"/>
  <c r="N18" i="66" s="1"/>
  <c r="D18" i="66"/>
  <c r="L18" i="66" s="1"/>
  <c r="B18" i="66"/>
  <c r="T17" i="66"/>
  <c r="Z17" i="66" s="1"/>
  <c r="P17" i="66"/>
  <c r="X17" i="66" s="1"/>
  <c r="L17" i="66"/>
  <c r="H17" i="66"/>
  <c r="N17" i="66" s="1"/>
  <c r="D17" i="66"/>
  <c r="B17" i="66"/>
  <c r="T16" i="66"/>
  <c r="P16" i="66"/>
  <c r="N16" i="66"/>
  <c r="L16" i="66"/>
  <c r="H16" i="66"/>
  <c r="D16" i="66"/>
  <c r="B16" i="66"/>
  <c r="X15" i="66"/>
  <c r="Z15" i="66" s="1"/>
  <c r="T15" i="66"/>
  <c r="P15" i="66"/>
  <c r="H15" i="66"/>
  <c r="D15" i="66"/>
  <c r="L15" i="66" s="1"/>
  <c r="N15" i="66" s="1"/>
  <c r="B15" i="66"/>
  <c r="T14" i="66"/>
  <c r="P14" i="66"/>
  <c r="H14" i="66"/>
  <c r="N14" i="66" s="1"/>
  <c r="D14" i="66"/>
  <c r="L14" i="66" s="1"/>
  <c r="B14" i="66"/>
  <c r="X13" i="66"/>
  <c r="T13" i="66"/>
  <c r="P13" i="66"/>
  <c r="H13" i="66"/>
  <c r="D13" i="66"/>
  <c r="B13" i="66"/>
  <c r="H12" i="66"/>
  <c r="J64" i="66" s="1"/>
  <c r="D6" i="66"/>
  <c r="D4" i="66"/>
  <c r="R41" i="65"/>
  <c r="J38" i="65"/>
  <c r="F38" i="65"/>
  <c r="Z36" i="65"/>
  <c r="X36" i="65"/>
  <c r="N36" i="65"/>
  <c r="L36" i="65"/>
  <c r="J36" i="65"/>
  <c r="R34" i="65"/>
  <c r="Z32" i="65"/>
  <c r="T32" i="65"/>
  <c r="P32" i="65"/>
  <c r="X32" i="65" s="1"/>
  <c r="J32" i="65"/>
  <c r="H32" i="65"/>
  <c r="N32" i="65" s="1"/>
  <c r="F32" i="65"/>
  <c r="D32" i="65"/>
  <c r="L32" i="65" s="1"/>
  <c r="X30" i="65"/>
  <c r="Z30" i="65" s="1"/>
  <c r="N30" i="65"/>
  <c r="L30" i="65"/>
  <c r="J30" i="65"/>
  <c r="B30" i="65"/>
  <c r="T29" i="65"/>
  <c r="P29" i="65"/>
  <c r="X29" i="65" s="1"/>
  <c r="H29" i="65"/>
  <c r="D29" i="65"/>
  <c r="L29" i="65" s="1"/>
  <c r="N29" i="65" s="1"/>
  <c r="B29" i="65"/>
  <c r="Z28" i="65"/>
  <c r="X28" i="65"/>
  <c r="N28" i="65"/>
  <c r="L28" i="65"/>
  <c r="J28" i="65"/>
  <c r="B28" i="65"/>
  <c r="Z27" i="65"/>
  <c r="X27" i="65"/>
  <c r="N27" i="65"/>
  <c r="L27" i="65"/>
  <c r="B27" i="65"/>
  <c r="T26" i="65"/>
  <c r="R26" i="65"/>
  <c r="P26" i="65"/>
  <c r="X26" i="65" s="1"/>
  <c r="N26" i="65"/>
  <c r="L26" i="65"/>
  <c r="H26" i="65"/>
  <c r="D26" i="65"/>
  <c r="B26" i="65"/>
  <c r="X25" i="65"/>
  <c r="Z25" i="65" s="1"/>
  <c r="N25" i="65"/>
  <c r="L25" i="65"/>
  <c r="B25" i="65"/>
  <c r="Z24" i="65"/>
  <c r="X24" i="65"/>
  <c r="N24" i="65"/>
  <c r="L24" i="65"/>
  <c r="J24" i="65"/>
  <c r="B24" i="65"/>
  <c r="T23" i="65"/>
  <c r="P23" i="65"/>
  <c r="X23" i="65" s="1"/>
  <c r="Z23" i="65" s="1"/>
  <c r="L23" i="65"/>
  <c r="N23" i="65" s="1"/>
  <c r="H23" i="65"/>
  <c r="D23" i="65"/>
  <c r="B23" i="65"/>
  <c r="Z22" i="65"/>
  <c r="X22" i="65"/>
  <c r="L22" i="65"/>
  <c r="N22" i="65" s="1"/>
  <c r="B22" i="65"/>
  <c r="X21" i="65"/>
  <c r="Z21" i="65" s="1"/>
  <c r="T21" i="65"/>
  <c r="P21" i="65"/>
  <c r="H21" i="65"/>
  <c r="D21" i="65"/>
  <c r="B21" i="65"/>
  <c r="X20" i="65"/>
  <c r="Z20" i="65" s="1"/>
  <c r="N20" i="65"/>
  <c r="L20" i="65"/>
  <c r="B20" i="65"/>
  <c r="X19" i="65"/>
  <c r="T19" i="65"/>
  <c r="P19" i="65"/>
  <c r="H19" i="65"/>
  <c r="D19" i="65"/>
  <c r="B19" i="65"/>
  <c r="T18" i="65"/>
  <c r="R18" i="65"/>
  <c r="P18" i="65"/>
  <c r="X18" i="65" s="1"/>
  <c r="N18" i="65"/>
  <c r="H18" i="65"/>
  <c r="D18" i="65"/>
  <c r="L18" i="65" s="1"/>
  <c r="V16" i="65"/>
  <c r="J16" i="65"/>
  <c r="T14" i="65"/>
  <c r="Z14" i="65" s="1"/>
  <c r="R14" i="65"/>
  <c r="P14" i="65"/>
  <c r="P16" i="65" s="1"/>
  <c r="N14" i="65"/>
  <c r="H14" i="65"/>
  <c r="H16" i="65" s="1"/>
  <c r="D14" i="65"/>
  <c r="T12" i="65"/>
  <c r="V38" i="65" s="1"/>
  <c r="P12" i="65"/>
  <c r="R22" i="65" s="1"/>
  <c r="H12" i="65"/>
  <c r="J23" i="65" s="1"/>
  <c r="D12" i="65"/>
  <c r="F16" i="65" s="1"/>
  <c r="D6" i="65"/>
  <c r="D4" i="65"/>
  <c r="Z83" i="64"/>
  <c r="X83" i="64"/>
  <c r="L83" i="64"/>
  <c r="N83" i="64" s="1"/>
  <c r="Z79" i="64"/>
  <c r="X79" i="64"/>
  <c r="T79" i="64"/>
  <c r="P79" i="64"/>
  <c r="H79" i="64"/>
  <c r="N79" i="64" s="1"/>
  <c r="D79" i="64"/>
  <c r="Z77" i="64"/>
  <c r="X77" i="64"/>
  <c r="N77" i="64"/>
  <c r="L77" i="64"/>
  <c r="B77" i="64"/>
  <c r="T76" i="64"/>
  <c r="P76" i="64"/>
  <c r="X76" i="64" s="1"/>
  <c r="Z76" i="64" s="1"/>
  <c r="L76" i="64"/>
  <c r="H76" i="64"/>
  <c r="N76" i="64" s="1"/>
  <c r="D76" i="64"/>
  <c r="B76" i="64"/>
  <c r="Z75" i="64"/>
  <c r="X75" i="64"/>
  <c r="L75" i="64"/>
  <c r="N75" i="64" s="1"/>
  <c r="B75" i="64"/>
  <c r="X74" i="64"/>
  <c r="T74" i="64"/>
  <c r="P74" i="64"/>
  <c r="H74" i="64"/>
  <c r="D74" i="64"/>
  <c r="B74" i="64"/>
  <c r="X73" i="64"/>
  <c r="Z73" i="64" s="1"/>
  <c r="N73" i="64"/>
  <c r="L73" i="64"/>
  <c r="B73" i="64"/>
  <c r="X72" i="64"/>
  <c r="Z72" i="64" s="1"/>
  <c r="N72" i="64"/>
  <c r="L72" i="64"/>
  <c r="B72" i="64"/>
  <c r="Z71" i="64"/>
  <c r="X71" i="64"/>
  <c r="N71" i="64"/>
  <c r="L71" i="64"/>
  <c r="B71" i="64"/>
  <c r="Z70" i="64"/>
  <c r="X70" i="64"/>
  <c r="N70" i="64"/>
  <c r="L70" i="64"/>
  <c r="B70" i="64"/>
  <c r="T69" i="64"/>
  <c r="P69" i="64"/>
  <c r="X69" i="64" s="1"/>
  <c r="Z69" i="64" s="1"/>
  <c r="N69" i="64"/>
  <c r="H69" i="64"/>
  <c r="D69" i="64"/>
  <c r="L69" i="64" s="1"/>
  <c r="B69" i="64"/>
  <c r="X68" i="64"/>
  <c r="Z68" i="64" s="1"/>
  <c r="N68" i="64"/>
  <c r="L68" i="64"/>
  <c r="B68" i="64"/>
  <c r="Z67" i="64"/>
  <c r="X67" i="64"/>
  <c r="L67" i="64"/>
  <c r="N67" i="64" s="1"/>
  <c r="B67" i="64"/>
  <c r="X66" i="64"/>
  <c r="T66" i="64"/>
  <c r="P66" i="64"/>
  <c r="H66" i="64"/>
  <c r="D66" i="64"/>
  <c r="B66" i="64"/>
  <c r="Z65" i="64"/>
  <c r="X65" i="64"/>
  <c r="N65" i="64"/>
  <c r="L65" i="64"/>
  <c r="B65" i="64"/>
  <c r="X64" i="64"/>
  <c r="Z64" i="64" s="1"/>
  <c r="N64" i="64"/>
  <c r="L64" i="64"/>
  <c r="B64" i="64"/>
  <c r="T63" i="64"/>
  <c r="P63" i="64"/>
  <c r="X63" i="64" s="1"/>
  <c r="Z63" i="64" s="1"/>
  <c r="N63" i="64"/>
  <c r="L63" i="64"/>
  <c r="H63" i="64"/>
  <c r="D63" i="64"/>
  <c r="B63" i="64"/>
  <c r="Z62" i="64"/>
  <c r="X62" i="64"/>
  <c r="N62" i="64"/>
  <c r="L62" i="64"/>
  <c r="B62" i="64"/>
  <c r="Z61" i="64"/>
  <c r="X61" i="64"/>
  <c r="T61" i="64"/>
  <c r="P61" i="64"/>
  <c r="H61" i="64"/>
  <c r="N61" i="64" s="1"/>
  <c r="D61" i="64"/>
  <c r="B61" i="64"/>
  <c r="Z60" i="64"/>
  <c r="X60" i="64"/>
  <c r="N60" i="64"/>
  <c r="L60" i="64"/>
  <c r="F60" i="64"/>
  <c r="B60" i="64"/>
  <c r="T59" i="64"/>
  <c r="P59" i="64"/>
  <c r="N59" i="64"/>
  <c r="H59" i="64"/>
  <c r="D59" i="64"/>
  <c r="L59" i="64" s="1"/>
  <c r="B59" i="64"/>
  <c r="Z58" i="64"/>
  <c r="X58" i="64"/>
  <c r="N58" i="64"/>
  <c r="L58" i="64"/>
  <c r="B58" i="64"/>
  <c r="Z57" i="64"/>
  <c r="T57" i="64"/>
  <c r="P57" i="64"/>
  <c r="X57" i="64" s="1"/>
  <c r="N57" i="64"/>
  <c r="H57" i="64"/>
  <c r="D57" i="64"/>
  <c r="L57" i="64" s="1"/>
  <c r="B57" i="64"/>
  <c r="Z56" i="64"/>
  <c r="X56" i="64"/>
  <c r="N56" i="64"/>
  <c r="L56" i="64"/>
  <c r="B56" i="64"/>
  <c r="Z55" i="64"/>
  <c r="X55" i="64"/>
  <c r="N55" i="64"/>
  <c r="L55" i="64"/>
  <c r="B55" i="64"/>
  <c r="X54" i="64"/>
  <c r="T54" i="64"/>
  <c r="Z54" i="64" s="1"/>
  <c r="P54" i="64"/>
  <c r="H54" i="64"/>
  <c r="D54" i="64"/>
  <c r="B54" i="64"/>
  <c r="X53" i="64"/>
  <c r="Z53" i="64" s="1"/>
  <c r="N53" i="64"/>
  <c r="L53" i="64"/>
  <c r="B53" i="64"/>
  <c r="T52" i="64"/>
  <c r="P52" i="64"/>
  <c r="H52" i="64"/>
  <c r="N52" i="64" s="1"/>
  <c r="D52" i="64"/>
  <c r="L52" i="64" s="1"/>
  <c r="B52" i="64"/>
  <c r="X51" i="64"/>
  <c r="Z51" i="64" s="1"/>
  <c r="N51" i="64"/>
  <c r="L51" i="64"/>
  <c r="B51" i="64"/>
  <c r="T50" i="64"/>
  <c r="P50" i="64"/>
  <c r="X50" i="64" s="1"/>
  <c r="H50" i="64"/>
  <c r="N50" i="64" s="1"/>
  <c r="D50" i="64"/>
  <c r="L50" i="64" s="1"/>
  <c r="B50" i="64"/>
  <c r="Z49" i="64"/>
  <c r="X49" i="64"/>
  <c r="N49" i="64"/>
  <c r="L49" i="64"/>
  <c r="B49" i="64"/>
  <c r="Z48" i="64"/>
  <c r="X48" i="64"/>
  <c r="N48" i="64"/>
  <c r="L48" i="64"/>
  <c r="B48" i="64"/>
  <c r="X47" i="64"/>
  <c r="Z47" i="64" s="1"/>
  <c r="N47" i="64"/>
  <c r="L47" i="64"/>
  <c r="B47" i="64"/>
  <c r="T46" i="64"/>
  <c r="Z46" i="64" s="1"/>
  <c r="P46" i="64"/>
  <c r="X46" i="64" s="1"/>
  <c r="H46" i="64"/>
  <c r="D46" i="64"/>
  <c r="L46" i="64" s="1"/>
  <c r="B46" i="64"/>
  <c r="Z45" i="64"/>
  <c r="X45" i="64"/>
  <c r="N45" i="64"/>
  <c r="L45" i="64"/>
  <c r="B45" i="64"/>
  <c r="Z44" i="64"/>
  <c r="X44" i="64"/>
  <c r="N44" i="64"/>
  <c r="L44" i="64"/>
  <c r="F44" i="64"/>
  <c r="B44" i="64"/>
  <c r="X43" i="64"/>
  <c r="Z43" i="64" s="1"/>
  <c r="N43" i="64"/>
  <c r="L43" i="64"/>
  <c r="B43" i="64"/>
  <c r="T42" i="64"/>
  <c r="P42" i="64"/>
  <c r="X42" i="64" s="1"/>
  <c r="H42" i="64"/>
  <c r="D42" i="64"/>
  <c r="L42" i="64" s="1"/>
  <c r="B42" i="64"/>
  <c r="T41" i="64"/>
  <c r="P41" i="64"/>
  <c r="X41" i="64" s="1"/>
  <c r="Z41" i="64" s="1"/>
  <c r="H41" i="64"/>
  <c r="D41" i="64"/>
  <c r="L41" i="64" s="1"/>
  <c r="N41" i="64" s="1"/>
  <c r="Z37" i="64"/>
  <c r="X37" i="64"/>
  <c r="L37" i="64"/>
  <c r="N37" i="64" s="1"/>
  <c r="B37" i="64"/>
  <c r="Z36" i="64"/>
  <c r="X36" i="64"/>
  <c r="N36" i="64"/>
  <c r="L36" i="64"/>
  <c r="B36" i="64"/>
  <c r="X35" i="64"/>
  <c r="Z35" i="64" s="1"/>
  <c r="N35" i="64"/>
  <c r="L35" i="64"/>
  <c r="B35" i="64"/>
  <c r="Z34" i="64"/>
  <c r="X34" i="64"/>
  <c r="N34" i="64"/>
  <c r="L34" i="64"/>
  <c r="B34" i="64"/>
  <c r="Z33" i="64"/>
  <c r="X33" i="64"/>
  <c r="N33" i="64"/>
  <c r="L33" i="64"/>
  <c r="B33" i="64"/>
  <c r="X32" i="64"/>
  <c r="Z32" i="64" s="1"/>
  <c r="N32" i="64"/>
  <c r="L32" i="64"/>
  <c r="B32" i="64"/>
  <c r="Z31" i="64"/>
  <c r="X31" i="64"/>
  <c r="L31" i="64"/>
  <c r="N31" i="64" s="1"/>
  <c r="B31" i="64"/>
  <c r="X30" i="64"/>
  <c r="Z30" i="64" s="1"/>
  <c r="N30" i="64"/>
  <c r="L30" i="64"/>
  <c r="B30" i="64"/>
  <c r="Z29" i="64"/>
  <c r="X29" i="64"/>
  <c r="N29" i="64"/>
  <c r="L29" i="64"/>
  <c r="B29" i="64"/>
  <c r="Z28" i="64"/>
  <c r="X28" i="64"/>
  <c r="N28" i="64"/>
  <c r="L28" i="64"/>
  <c r="B28" i="64"/>
  <c r="T27" i="64"/>
  <c r="P27" i="64"/>
  <c r="H27" i="64"/>
  <c r="D27" i="64"/>
  <c r="L27" i="64" s="1"/>
  <c r="N27" i="64" s="1"/>
  <c r="T25" i="64"/>
  <c r="Z25" i="64" s="1"/>
  <c r="P25" i="64"/>
  <c r="H25" i="64"/>
  <c r="N25" i="64" s="1"/>
  <c r="D25" i="64"/>
  <c r="L25" i="64" s="1"/>
  <c r="B25" i="64"/>
  <c r="X24" i="64"/>
  <c r="T24" i="64"/>
  <c r="Z24" i="64" s="1"/>
  <c r="P24" i="64"/>
  <c r="H24" i="64"/>
  <c r="N24" i="64" s="1"/>
  <c r="D24" i="64"/>
  <c r="L24" i="64" s="1"/>
  <c r="B24" i="64"/>
  <c r="Z23" i="64"/>
  <c r="T23" i="64"/>
  <c r="P23" i="64"/>
  <c r="X23" i="64" s="1"/>
  <c r="H23" i="64"/>
  <c r="N23" i="64" s="1"/>
  <c r="D23" i="64"/>
  <c r="B23" i="64"/>
  <c r="T22" i="64"/>
  <c r="Z22" i="64" s="1"/>
  <c r="P22" i="64"/>
  <c r="X22" i="64" s="1"/>
  <c r="N22" i="64"/>
  <c r="H22" i="64"/>
  <c r="D22" i="64"/>
  <c r="L22" i="64" s="1"/>
  <c r="B22" i="64"/>
  <c r="T21" i="64"/>
  <c r="P21" i="64"/>
  <c r="X21" i="64" s="1"/>
  <c r="H21" i="64"/>
  <c r="N21" i="64" s="1"/>
  <c r="D21" i="64"/>
  <c r="B21" i="64"/>
  <c r="T20" i="64"/>
  <c r="Z20" i="64" s="1"/>
  <c r="P20" i="64"/>
  <c r="X20" i="64" s="1"/>
  <c r="L20" i="64"/>
  <c r="H20" i="64"/>
  <c r="N20" i="64" s="1"/>
  <c r="D20" i="64"/>
  <c r="B20" i="64"/>
  <c r="T19" i="64"/>
  <c r="P19" i="64"/>
  <c r="N19" i="64"/>
  <c r="H19" i="64"/>
  <c r="D19" i="64"/>
  <c r="L19" i="64" s="1"/>
  <c r="B19" i="64"/>
  <c r="T18" i="64"/>
  <c r="P18" i="64"/>
  <c r="H18" i="64"/>
  <c r="N18" i="64" s="1"/>
  <c r="D18" i="64"/>
  <c r="L18" i="64" s="1"/>
  <c r="B18" i="64"/>
  <c r="T17" i="64"/>
  <c r="P17" i="64"/>
  <c r="X17" i="64" s="1"/>
  <c r="H17" i="64"/>
  <c r="N17" i="64" s="1"/>
  <c r="D17" i="64"/>
  <c r="L17" i="64" s="1"/>
  <c r="B17" i="64"/>
  <c r="X16" i="64"/>
  <c r="T16" i="64"/>
  <c r="Z16" i="64" s="1"/>
  <c r="P16" i="64"/>
  <c r="H16" i="64"/>
  <c r="N16" i="64" s="1"/>
  <c r="D16" i="64"/>
  <c r="L16" i="64" s="1"/>
  <c r="B16" i="64"/>
  <c r="Z15" i="64"/>
  <c r="T15" i="64"/>
  <c r="P15" i="64"/>
  <c r="X15" i="64" s="1"/>
  <c r="H15" i="64"/>
  <c r="N15" i="64" s="1"/>
  <c r="D15" i="64"/>
  <c r="B15" i="64"/>
  <c r="T14" i="64"/>
  <c r="Z14" i="64" s="1"/>
  <c r="P14" i="64"/>
  <c r="X14" i="64" s="1"/>
  <c r="N14" i="64"/>
  <c r="H14" i="64"/>
  <c r="D14" i="64"/>
  <c r="L14" i="64" s="1"/>
  <c r="B14" i="64"/>
  <c r="T13" i="64"/>
  <c r="Z13" i="64" s="1"/>
  <c r="P13" i="64"/>
  <c r="X13" i="64" s="1"/>
  <c r="H13" i="64"/>
  <c r="D13" i="64"/>
  <c r="D12" i="64" s="1"/>
  <c r="F48" i="64" s="1"/>
  <c r="B13" i="64"/>
  <c r="D6" i="64"/>
  <c r="D4" i="64"/>
  <c r="Z100" i="62"/>
  <c r="X100" i="62"/>
  <c r="N100" i="62"/>
  <c r="L100" i="62"/>
  <c r="X96" i="62"/>
  <c r="T96" i="62"/>
  <c r="Z96" i="62" s="1"/>
  <c r="P96" i="62"/>
  <c r="H96" i="62"/>
  <c r="D96" i="62"/>
  <c r="B96" i="62"/>
  <c r="X95" i="62"/>
  <c r="T95" i="62"/>
  <c r="Z95" i="62" s="1"/>
  <c r="P95" i="62"/>
  <c r="D95" i="62"/>
  <c r="Z93" i="62"/>
  <c r="X93" i="62"/>
  <c r="L93" i="62"/>
  <c r="N93" i="62" s="1"/>
  <c r="B93" i="62"/>
  <c r="T92" i="62"/>
  <c r="P92" i="62"/>
  <c r="X92" i="62" s="1"/>
  <c r="Z92" i="62" s="1"/>
  <c r="L92" i="62"/>
  <c r="N92" i="62" s="1"/>
  <c r="H92" i="62"/>
  <c r="D92" i="62"/>
  <c r="B92" i="62"/>
  <c r="Z91" i="62"/>
  <c r="X91" i="62"/>
  <c r="N91" i="62"/>
  <c r="L91" i="62"/>
  <c r="B91" i="62"/>
  <c r="X90" i="62"/>
  <c r="Z90" i="62" s="1"/>
  <c r="L90" i="62"/>
  <c r="N90" i="62" s="1"/>
  <c r="F90" i="62"/>
  <c r="B90" i="62"/>
  <c r="T89" i="62"/>
  <c r="P89" i="62"/>
  <c r="X89" i="62" s="1"/>
  <c r="Z89" i="62" s="1"/>
  <c r="H89" i="62"/>
  <c r="D89" i="62"/>
  <c r="L89" i="62" s="1"/>
  <c r="N89" i="62" s="1"/>
  <c r="B89" i="62"/>
  <c r="X88" i="62"/>
  <c r="Z88" i="62" s="1"/>
  <c r="N88" i="62"/>
  <c r="L88" i="62"/>
  <c r="B88" i="62"/>
  <c r="V87" i="62"/>
  <c r="T87" i="62"/>
  <c r="P87" i="62"/>
  <c r="X87" i="62" s="1"/>
  <c r="Z87" i="62" s="1"/>
  <c r="L87" i="62"/>
  <c r="H87" i="62"/>
  <c r="N87" i="62" s="1"/>
  <c r="F87" i="62"/>
  <c r="D87" i="62"/>
  <c r="B87" i="62"/>
  <c r="Z86" i="62"/>
  <c r="X86" i="62"/>
  <c r="L86" i="62"/>
  <c r="N86" i="62" s="1"/>
  <c r="B86" i="62"/>
  <c r="X85" i="62"/>
  <c r="T85" i="62"/>
  <c r="Z85" i="62" s="1"/>
  <c r="P85" i="62"/>
  <c r="H85" i="62"/>
  <c r="N85" i="62" s="1"/>
  <c r="F85" i="62"/>
  <c r="D85" i="62"/>
  <c r="L85" i="62" s="1"/>
  <c r="B85" i="62"/>
  <c r="Z84" i="62"/>
  <c r="X84" i="62"/>
  <c r="L84" i="62"/>
  <c r="N84" i="62" s="1"/>
  <c r="F84" i="62"/>
  <c r="B84" i="62"/>
  <c r="X83" i="62"/>
  <c r="Z83" i="62" s="1"/>
  <c r="N83" i="62"/>
  <c r="L83" i="62"/>
  <c r="B83" i="62"/>
  <c r="Z82" i="62"/>
  <c r="X82" i="62"/>
  <c r="L82" i="62"/>
  <c r="N82" i="62" s="1"/>
  <c r="B82" i="62"/>
  <c r="X81" i="62"/>
  <c r="Z81" i="62" s="1"/>
  <c r="N81" i="62"/>
  <c r="L81" i="62"/>
  <c r="B81" i="62"/>
  <c r="X80" i="62"/>
  <c r="Z80" i="62" s="1"/>
  <c r="N80" i="62"/>
  <c r="L80" i="62"/>
  <c r="B80" i="62"/>
  <c r="Z79" i="62"/>
  <c r="X79" i="62"/>
  <c r="L79" i="62"/>
  <c r="N79" i="62" s="1"/>
  <c r="F79" i="62"/>
  <c r="B79" i="62"/>
  <c r="X78" i="62"/>
  <c r="Z78" i="62" s="1"/>
  <c r="T78" i="62"/>
  <c r="P78" i="62"/>
  <c r="L78" i="62"/>
  <c r="H78" i="62"/>
  <c r="D78" i="62"/>
  <c r="B78" i="62"/>
  <c r="Z77" i="62"/>
  <c r="X77" i="62"/>
  <c r="N77" i="62"/>
  <c r="L77" i="62"/>
  <c r="B77" i="62"/>
  <c r="X76" i="62"/>
  <c r="T76" i="62"/>
  <c r="Z76" i="62" s="1"/>
  <c r="P76" i="62"/>
  <c r="H76" i="62"/>
  <c r="N76" i="62" s="1"/>
  <c r="D76" i="62"/>
  <c r="B76" i="62"/>
  <c r="X75" i="62"/>
  <c r="Z75" i="62" s="1"/>
  <c r="N75" i="62"/>
  <c r="L75" i="62"/>
  <c r="B75" i="62"/>
  <c r="Z74" i="62"/>
  <c r="X74" i="62"/>
  <c r="N74" i="62"/>
  <c r="L74" i="62"/>
  <c r="B74" i="62"/>
  <c r="X73" i="62"/>
  <c r="Z73" i="62" s="1"/>
  <c r="V73" i="62"/>
  <c r="N73" i="62"/>
  <c r="L73" i="62"/>
  <c r="B73" i="62"/>
  <c r="X72" i="62"/>
  <c r="T72" i="62"/>
  <c r="P72" i="62"/>
  <c r="H72" i="62"/>
  <c r="D72" i="62"/>
  <c r="L72" i="62" s="1"/>
  <c r="B72" i="62"/>
  <c r="X71" i="62"/>
  <c r="Z71" i="62" s="1"/>
  <c r="N71" i="62"/>
  <c r="L71" i="62"/>
  <c r="J71" i="62"/>
  <c r="B71" i="62"/>
  <c r="X70" i="62"/>
  <c r="Z70" i="62" s="1"/>
  <c r="V70" i="62"/>
  <c r="L70" i="62"/>
  <c r="N70" i="62" s="1"/>
  <c r="B70" i="62"/>
  <c r="Z69" i="62"/>
  <c r="X69" i="62"/>
  <c r="V69" i="62"/>
  <c r="N69" i="62"/>
  <c r="L69" i="62"/>
  <c r="B69" i="62"/>
  <c r="X68" i="62"/>
  <c r="Z68" i="62" s="1"/>
  <c r="N68" i="62"/>
  <c r="L68" i="62"/>
  <c r="B68" i="62"/>
  <c r="T67" i="62"/>
  <c r="P67" i="62"/>
  <c r="X67" i="62" s="1"/>
  <c r="Z67" i="62" s="1"/>
  <c r="L67" i="62"/>
  <c r="N67" i="62" s="1"/>
  <c r="J67" i="62"/>
  <c r="H67" i="62"/>
  <c r="F67" i="62"/>
  <c r="D67" i="62"/>
  <c r="B67" i="62"/>
  <c r="X66" i="62"/>
  <c r="Z66" i="62" s="1"/>
  <c r="V66" i="62"/>
  <c r="L66" i="62"/>
  <c r="N66" i="62" s="1"/>
  <c r="B66" i="62"/>
  <c r="X65" i="62"/>
  <c r="Z65" i="62" s="1"/>
  <c r="V65" i="62"/>
  <c r="T65" i="62"/>
  <c r="P65" i="62"/>
  <c r="H65" i="62"/>
  <c r="F65" i="62"/>
  <c r="D65" i="62"/>
  <c r="B65" i="62"/>
  <c r="Z64" i="62"/>
  <c r="X64" i="62"/>
  <c r="N64" i="62"/>
  <c r="L64" i="62"/>
  <c r="F64" i="62"/>
  <c r="B64" i="62"/>
  <c r="T63" i="62"/>
  <c r="P63" i="62"/>
  <c r="N63" i="62"/>
  <c r="H63" i="62"/>
  <c r="D63" i="62"/>
  <c r="L63" i="62" s="1"/>
  <c r="B63" i="62"/>
  <c r="X62" i="62"/>
  <c r="Z62" i="62" s="1"/>
  <c r="N62" i="62"/>
  <c r="L62" i="62"/>
  <c r="F62" i="62"/>
  <c r="B62" i="62"/>
  <c r="T61" i="62"/>
  <c r="P61" i="62"/>
  <c r="X61" i="62" s="1"/>
  <c r="Z61" i="62" s="1"/>
  <c r="N61" i="62"/>
  <c r="J61" i="62"/>
  <c r="H61" i="62"/>
  <c r="D61" i="62"/>
  <c r="L61" i="62" s="1"/>
  <c r="B61" i="62"/>
  <c r="Z60" i="62"/>
  <c r="X60" i="62"/>
  <c r="N60" i="62"/>
  <c r="L60" i="62"/>
  <c r="B60" i="62"/>
  <c r="V59" i="62"/>
  <c r="T59" i="62"/>
  <c r="P59" i="62"/>
  <c r="X59" i="62" s="1"/>
  <c r="Z59" i="62" s="1"/>
  <c r="N59" i="62"/>
  <c r="L59" i="62"/>
  <c r="J59" i="62"/>
  <c r="H59" i="62"/>
  <c r="F59" i="62"/>
  <c r="D59" i="62"/>
  <c r="B59" i="62"/>
  <c r="X58" i="62"/>
  <c r="Z58" i="62" s="1"/>
  <c r="V58" i="62"/>
  <c r="L58" i="62"/>
  <c r="N58" i="62" s="1"/>
  <c r="B58" i="62"/>
  <c r="X57" i="62"/>
  <c r="Z57" i="62" s="1"/>
  <c r="V57" i="62"/>
  <c r="T57" i="62"/>
  <c r="P57" i="62"/>
  <c r="H57" i="62"/>
  <c r="F57" i="62"/>
  <c r="D57" i="62"/>
  <c r="B57" i="62"/>
  <c r="Z56" i="62"/>
  <c r="X56" i="62"/>
  <c r="L56" i="62"/>
  <c r="N56" i="62" s="1"/>
  <c r="F56" i="62"/>
  <c r="B56" i="62"/>
  <c r="T55" i="62"/>
  <c r="P55" i="62"/>
  <c r="H55" i="62"/>
  <c r="D55" i="62"/>
  <c r="L55" i="62" s="1"/>
  <c r="N55" i="62" s="1"/>
  <c r="B55" i="62"/>
  <c r="Z54" i="62"/>
  <c r="X54" i="62"/>
  <c r="N54" i="62"/>
  <c r="L54" i="62"/>
  <c r="F54" i="62"/>
  <c r="B54" i="62"/>
  <c r="Z53" i="62"/>
  <c r="T53" i="62"/>
  <c r="P53" i="62"/>
  <c r="X53" i="62" s="1"/>
  <c r="N53" i="62"/>
  <c r="H53" i="62"/>
  <c r="D53" i="62"/>
  <c r="L53" i="62" s="1"/>
  <c r="B53" i="62"/>
  <c r="Z52" i="62"/>
  <c r="X52" i="62"/>
  <c r="N52" i="62"/>
  <c r="L52" i="62"/>
  <c r="B52" i="62"/>
  <c r="Z51" i="62"/>
  <c r="V51" i="62"/>
  <c r="T51" i="62"/>
  <c r="P51" i="62"/>
  <c r="X51" i="62" s="1"/>
  <c r="N51" i="62"/>
  <c r="L51" i="62"/>
  <c r="H51" i="62"/>
  <c r="F51" i="62"/>
  <c r="D51" i="62"/>
  <c r="B51" i="62"/>
  <c r="Z50" i="62"/>
  <c r="X50" i="62"/>
  <c r="N50" i="62"/>
  <c r="L50" i="62"/>
  <c r="B50" i="62"/>
  <c r="Z49" i="62"/>
  <c r="X49" i="62"/>
  <c r="V49" i="62"/>
  <c r="N49" i="62"/>
  <c r="L49" i="62"/>
  <c r="B49" i="62"/>
  <c r="X48" i="62"/>
  <c r="T48" i="62"/>
  <c r="Z48" i="62" s="1"/>
  <c r="P48" i="62"/>
  <c r="H48" i="62"/>
  <c r="N48" i="62" s="1"/>
  <c r="D48" i="62"/>
  <c r="L48" i="62" s="1"/>
  <c r="B48" i="62"/>
  <c r="X47" i="62"/>
  <c r="Z47" i="62" s="1"/>
  <c r="N47" i="62"/>
  <c r="L47" i="62"/>
  <c r="B47" i="62"/>
  <c r="Z46" i="62"/>
  <c r="X46" i="62"/>
  <c r="L46" i="62"/>
  <c r="N46" i="62" s="1"/>
  <c r="B46" i="62"/>
  <c r="X45" i="62"/>
  <c r="Z45" i="62" s="1"/>
  <c r="T45" i="62"/>
  <c r="P45" i="62"/>
  <c r="H45" i="62"/>
  <c r="F45" i="62"/>
  <c r="D45" i="62"/>
  <c r="B45" i="62"/>
  <c r="Z44" i="62"/>
  <c r="X44" i="62"/>
  <c r="N44" i="62"/>
  <c r="L44" i="62"/>
  <c r="F44" i="62"/>
  <c r="B44" i="62"/>
  <c r="T43" i="62"/>
  <c r="P43" i="62"/>
  <c r="N43" i="62"/>
  <c r="H43" i="62"/>
  <c r="D43" i="62"/>
  <c r="L43" i="62" s="1"/>
  <c r="B43" i="62"/>
  <c r="X42" i="62"/>
  <c r="Z42" i="62" s="1"/>
  <c r="N42" i="62"/>
  <c r="L42" i="62"/>
  <c r="F42" i="62"/>
  <c r="B42" i="62"/>
  <c r="T41" i="62"/>
  <c r="P41" i="62"/>
  <c r="X41" i="62" s="1"/>
  <c r="Z41" i="62" s="1"/>
  <c r="N41" i="62"/>
  <c r="H41" i="62"/>
  <c r="D41" i="62"/>
  <c r="L41" i="62" s="1"/>
  <c r="B41" i="62"/>
  <c r="X40" i="62"/>
  <c r="Z40" i="62" s="1"/>
  <c r="N40" i="62"/>
  <c r="L40" i="62"/>
  <c r="B40" i="62"/>
  <c r="V39" i="62"/>
  <c r="T39" i="62"/>
  <c r="P39" i="62"/>
  <c r="X39" i="62" s="1"/>
  <c r="Z39" i="62" s="1"/>
  <c r="L39" i="62"/>
  <c r="N39" i="62" s="1"/>
  <c r="J39" i="62"/>
  <c r="H39" i="62"/>
  <c r="F39" i="62"/>
  <c r="D39" i="62"/>
  <c r="B39" i="62"/>
  <c r="Z38" i="62"/>
  <c r="X38" i="62"/>
  <c r="V38" i="62"/>
  <c r="N38" i="62"/>
  <c r="L38" i="62"/>
  <c r="B38" i="62"/>
  <c r="X37" i="62"/>
  <c r="Z37" i="62" s="1"/>
  <c r="N37" i="62"/>
  <c r="L37" i="62"/>
  <c r="B37" i="62"/>
  <c r="Z36" i="62"/>
  <c r="X36" i="62"/>
  <c r="N36" i="62"/>
  <c r="L36" i="62"/>
  <c r="B36" i="62"/>
  <c r="Z35" i="62"/>
  <c r="X35" i="62"/>
  <c r="V35" i="62"/>
  <c r="L35" i="62"/>
  <c r="N35" i="62" s="1"/>
  <c r="F35" i="62"/>
  <c r="B35" i="62"/>
  <c r="X34" i="62"/>
  <c r="Z34" i="62" s="1"/>
  <c r="N34" i="62"/>
  <c r="L34" i="62"/>
  <c r="J34" i="62"/>
  <c r="F34" i="62"/>
  <c r="B34" i="62"/>
  <c r="Z33" i="62"/>
  <c r="X33" i="62"/>
  <c r="L33" i="62"/>
  <c r="N33" i="62" s="1"/>
  <c r="J33" i="62"/>
  <c r="B33" i="62"/>
  <c r="Z32" i="62"/>
  <c r="X32" i="62"/>
  <c r="L32" i="62"/>
  <c r="N32" i="62" s="1"/>
  <c r="F32" i="62"/>
  <c r="B32" i="62"/>
  <c r="T31" i="62"/>
  <c r="P31" i="62"/>
  <c r="H31" i="62"/>
  <c r="D31" i="62"/>
  <c r="L31" i="62" s="1"/>
  <c r="N31" i="62" s="1"/>
  <c r="B31" i="62"/>
  <c r="X30" i="62"/>
  <c r="Z30" i="62" s="1"/>
  <c r="N30" i="62"/>
  <c r="L30" i="62"/>
  <c r="J30" i="62"/>
  <c r="F30" i="62"/>
  <c r="B30" i="62"/>
  <c r="Z29" i="62"/>
  <c r="X29" i="62"/>
  <c r="L29" i="62"/>
  <c r="N29" i="62" s="1"/>
  <c r="J29" i="62"/>
  <c r="B29" i="62"/>
  <c r="Z28" i="62"/>
  <c r="X28" i="62"/>
  <c r="L28" i="62"/>
  <c r="N28" i="62" s="1"/>
  <c r="F28" i="62"/>
  <c r="B28" i="62"/>
  <c r="Z27" i="62"/>
  <c r="X27" i="62"/>
  <c r="N27" i="62"/>
  <c r="L27" i="62"/>
  <c r="B27" i="62"/>
  <c r="Z26" i="62"/>
  <c r="X26" i="62"/>
  <c r="V26" i="62"/>
  <c r="N26" i="62"/>
  <c r="L26" i="62"/>
  <c r="B26" i="62"/>
  <c r="X25" i="62"/>
  <c r="Z25" i="62" s="1"/>
  <c r="N25" i="62"/>
  <c r="L25" i="62"/>
  <c r="B25" i="62"/>
  <c r="Z24" i="62"/>
  <c r="X24" i="62"/>
  <c r="N24" i="62"/>
  <c r="L24" i="62"/>
  <c r="B24" i="62"/>
  <c r="Z23" i="62"/>
  <c r="X23" i="62"/>
  <c r="V23" i="62"/>
  <c r="L23" i="62"/>
  <c r="N23" i="62" s="1"/>
  <c r="F23" i="62"/>
  <c r="B23" i="62"/>
  <c r="X22" i="62"/>
  <c r="Z22" i="62" s="1"/>
  <c r="N22" i="62"/>
  <c r="L22" i="62"/>
  <c r="J22" i="62"/>
  <c r="F22" i="62"/>
  <c r="B22" i="62"/>
  <c r="Z21" i="62"/>
  <c r="X21" i="62"/>
  <c r="L21" i="62"/>
  <c r="N21" i="62" s="1"/>
  <c r="J21" i="62"/>
  <c r="B21" i="62"/>
  <c r="T20" i="62"/>
  <c r="P20" i="62"/>
  <c r="X20" i="62" s="1"/>
  <c r="Z20" i="62" s="1"/>
  <c r="L20" i="62"/>
  <c r="N20" i="62" s="1"/>
  <c r="H20" i="62"/>
  <c r="D20" i="62"/>
  <c r="B20" i="62"/>
  <c r="Z19" i="62"/>
  <c r="V19" i="62"/>
  <c r="T19" i="62"/>
  <c r="P19" i="62"/>
  <c r="X19" i="62" s="1"/>
  <c r="H19" i="62"/>
  <c r="F19" i="62"/>
  <c r="D19" i="62"/>
  <c r="L19" i="62" s="1"/>
  <c r="T17" i="62"/>
  <c r="H17" i="62"/>
  <c r="D17" i="62"/>
  <c r="D98" i="62" s="1"/>
  <c r="Z15" i="62"/>
  <c r="X15" i="62"/>
  <c r="V15" i="62"/>
  <c r="N15" i="62"/>
  <c r="L15" i="62"/>
  <c r="F15" i="62"/>
  <c r="B15" i="62"/>
  <c r="Z14" i="62"/>
  <c r="X14" i="62"/>
  <c r="V14" i="62"/>
  <c r="T14" i="62"/>
  <c r="P14" i="62"/>
  <c r="N14" i="62"/>
  <c r="L14" i="62"/>
  <c r="J14" i="62"/>
  <c r="H14" i="62"/>
  <c r="F14" i="62"/>
  <c r="D14" i="62"/>
  <c r="Z12" i="62"/>
  <c r="T12" i="62"/>
  <c r="P12" i="62"/>
  <c r="R47" i="62" s="1"/>
  <c r="N12" i="62"/>
  <c r="L12" i="62"/>
  <c r="H12" i="62"/>
  <c r="J83" i="62" s="1"/>
  <c r="D12" i="62"/>
  <c r="F102" i="62" s="1"/>
  <c r="D6" i="62"/>
  <c r="D4" i="62"/>
  <c r="J51" i="61"/>
  <c r="F48" i="61"/>
  <c r="Z46" i="61"/>
  <c r="X46" i="61"/>
  <c r="N46" i="61"/>
  <c r="L46" i="61"/>
  <c r="J46" i="61"/>
  <c r="J44" i="61"/>
  <c r="Z42" i="61"/>
  <c r="T42" i="61"/>
  <c r="R42" i="61"/>
  <c r="P42" i="61"/>
  <c r="X42" i="61" s="1"/>
  <c r="N42" i="61"/>
  <c r="L42" i="61"/>
  <c r="H42" i="61"/>
  <c r="D42" i="61"/>
  <c r="Z40" i="61"/>
  <c r="X40" i="61"/>
  <c r="L40" i="61"/>
  <c r="N40" i="61" s="1"/>
  <c r="J40" i="61"/>
  <c r="B40" i="61"/>
  <c r="X39" i="61"/>
  <c r="Z39" i="61" s="1"/>
  <c r="T39" i="61"/>
  <c r="P39" i="61"/>
  <c r="L39" i="61"/>
  <c r="J39" i="61"/>
  <c r="H39" i="61"/>
  <c r="N39" i="61" s="1"/>
  <c r="D39" i="61"/>
  <c r="B39" i="61"/>
  <c r="Z38" i="61"/>
  <c r="X38" i="61"/>
  <c r="V38" i="61"/>
  <c r="N38" i="61"/>
  <c r="L38" i="61"/>
  <c r="B38" i="61"/>
  <c r="X37" i="61"/>
  <c r="T37" i="61"/>
  <c r="Z37" i="61" s="1"/>
  <c r="P37" i="61"/>
  <c r="H37" i="61"/>
  <c r="N37" i="61" s="1"/>
  <c r="D37" i="61"/>
  <c r="L37" i="61" s="1"/>
  <c r="B37" i="61"/>
  <c r="Z36" i="61"/>
  <c r="X36" i="61"/>
  <c r="N36" i="61"/>
  <c r="L36" i="61"/>
  <c r="J36" i="61"/>
  <c r="B36" i="61"/>
  <c r="T35" i="61"/>
  <c r="Z35" i="61" s="1"/>
  <c r="P35" i="61"/>
  <c r="N35" i="61"/>
  <c r="J35" i="61"/>
  <c r="H35" i="61"/>
  <c r="D35" i="61"/>
  <c r="L35" i="61" s="1"/>
  <c r="B35" i="61"/>
  <c r="Z34" i="61"/>
  <c r="X34" i="61"/>
  <c r="N34" i="61"/>
  <c r="L34" i="61"/>
  <c r="J34" i="61"/>
  <c r="B34" i="61"/>
  <c r="T33" i="61"/>
  <c r="P33" i="61"/>
  <c r="X33" i="61" s="1"/>
  <c r="Z33" i="61" s="1"/>
  <c r="L33" i="61"/>
  <c r="N33" i="61" s="1"/>
  <c r="J33" i="61"/>
  <c r="H33" i="61"/>
  <c r="D33" i="61"/>
  <c r="B33" i="61"/>
  <c r="Z32" i="61"/>
  <c r="X32" i="61"/>
  <c r="L32" i="61"/>
  <c r="N32" i="61" s="1"/>
  <c r="J32" i="61"/>
  <c r="B32" i="61"/>
  <c r="X31" i="61"/>
  <c r="Z31" i="61" s="1"/>
  <c r="T31" i="61"/>
  <c r="P31" i="61"/>
  <c r="L31" i="61"/>
  <c r="J31" i="61"/>
  <c r="H31" i="61"/>
  <c r="N31" i="61" s="1"/>
  <c r="D31" i="61"/>
  <c r="B31" i="61"/>
  <c r="Z30" i="61"/>
  <c r="X30" i="61"/>
  <c r="V30" i="61"/>
  <c r="N30" i="61"/>
  <c r="L30" i="61"/>
  <c r="B30" i="61"/>
  <c r="Z29" i="61"/>
  <c r="X29" i="61"/>
  <c r="R29" i="61"/>
  <c r="N29" i="61"/>
  <c r="L29" i="61"/>
  <c r="J29" i="61"/>
  <c r="B29" i="61"/>
  <c r="Z28" i="61"/>
  <c r="X28" i="61"/>
  <c r="L28" i="61"/>
  <c r="N28" i="61" s="1"/>
  <c r="J28" i="61"/>
  <c r="B28" i="61"/>
  <c r="X27" i="61"/>
  <c r="Z27" i="61" s="1"/>
  <c r="T27" i="61"/>
  <c r="P27" i="61"/>
  <c r="L27" i="61"/>
  <c r="J27" i="61"/>
  <c r="H27" i="61"/>
  <c r="N27" i="61" s="1"/>
  <c r="D27" i="61"/>
  <c r="B27" i="61"/>
  <c r="Z26" i="61"/>
  <c r="X26" i="61"/>
  <c r="V26" i="61"/>
  <c r="N26" i="61"/>
  <c r="L26" i="61"/>
  <c r="B26" i="61"/>
  <c r="X25" i="61"/>
  <c r="Z25" i="61" s="1"/>
  <c r="R25" i="61"/>
  <c r="N25" i="61"/>
  <c r="L25" i="61"/>
  <c r="J25" i="61"/>
  <c r="B25" i="61"/>
  <c r="Z24" i="61"/>
  <c r="X24" i="61"/>
  <c r="L24" i="61"/>
  <c r="N24" i="61" s="1"/>
  <c r="J24" i="61"/>
  <c r="B24" i="61"/>
  <c r="X23" i="61"/>
  <c r="Z23" i="61" s="1"/>
  <c r="L23" i="61"/>
  <c r="N23" i="61" s="1"/>
  <c r="F23" i="61"/>
  <c r="B23" i="61"/>
  <c r="Z22" i="61"/>
  <c r="X22" i="61"/>
  <c r="N22" i="61"/>
  <c r="L22" i="61"/>
  <c r="J22" i="61"/>
  <c r="F22" i="61"/>
  <c r="B22" i="61"/>
  <c r="Z21" i="61"/>
  <c r="X21" i="61"/>
  <c r="L21" i="61"/>
  <c r="N21" i="61" s="1"/>
  <c r="J21" i="61"/>
  <c r="F21" i="61"/>
  <c r="B21" i="61"/>
  <c r="X20" i="61"/>
  <c r="Z20" i="61" s="1"/>
  <c r="N20" i="61"/>
  <c r="L20" i="61"/>
  <c r="J20" i="61"/>
  <c r="B20" i="61"/>
  <c r="T19" i="61"/>
  <c r="P19" i="61"/>
  <c r="J19" i="61"/>
  <c r="H19" i="61"/>
  <c r="D19" i="61"/>
  <c r="L19" i="61" s="1"/>
  <c r="B19" i="61"/>
  <c r="T18" i="61"/>
  <c r="X18" i="61" s="1"/>
  <c r="Z18" i="61" s="1"/>
  <c r="P18" i="61"/>
  <c r="N18" i="61"/>
  <c r="L18" i="61"/>
  <c r="J18" i="61"/>
  <c r="H18" i="61"/>
  <c r="D18" i="61"/>
  <c r="V16" i="61"/>
  <c r="R16" i="61"/>
  <c r="J16" i="61"/>
  <c r="F16" i="61"/>
  <c r="D16" i="61"/>
  <c r="D44" i="61" s="1"/>
  <c r="D48" i="61" s="1"/>
  <c r="D51" i="61" s="1"/>
  <c r="Z14" i="61"/>
  <c r="T14" i="61"/>
  <c r="X14" i="61" s="1"/>
  <c r="P14" i="61"/>
  <c r="N14" i="61"/>
  <c r="L14" i="61"/>
  <c r="J14" i="61"/>
  <c r="H14" i="61"/>
  <c r="H16" i="61" s="1"/>
  <c r="D14" i="61"/>
  <c r="T12" i="61"/>
  <c r="P12" i="61"/>
  <c r="R38" i="61" s="1"/>
  <c r="N12" i="61"/>
  <c r="H12" i="61"/>
  <c r="J42" i="61" s="1"/>
  <c r="D12" i="61"/>
  <c r="F46" i="61" s="1"/>
  <c r="D6" i="61"/>
  <c r="D4" i="61"/>
  <c r="J53" i="60"/>
  <c r="F53" i="60"/>
  <c r="R50" i="60"/>
  <c r="Z48" i="60"/>
  <c r="X48" i="60"/>
  <c r="N48" i="60"/>
  <c r="L48" i="60"/>
  <c r="J46" i="60"/>
  <c r="F46" i="60"/>
  <c r="T44" i="60"/>
  <c r="Z44" i="60" s="1"/>
  <c r="R44" i="60"/>
  <c r="P44" i="60"/>
  <c r="X44" i="60" s="1"/>
  <c r="N44" i="60"/>
  <c r="H44" i="60"/>
  <c r="L44" i="60" s="1"/>
  <c r="D44" i="60"/>
  <c r="Z42" i="60"/>
  <c r="X42" i="60"/>
  <c r="L42" i="60"/>
  <c r="N42" i="60" s="1"/>
  <c r="B42" i="60"/>
  <c r="X41" i="60"/>
  <c r="Z41" i="60" s="1"/>
  <c r="T41" i="60"/>
  <c r="P41" i="60"/>
  <c r="L41" i="60"/>
  <c r="H41" i="60"/>
  <c r="F41" i="60"/>
  <c r="D41" i="60"/>
  <c r="B41" i="60"/>
  <c r="Z40" i="60"/>
  <c r="X40" i="60"/>
  <c r="V40" i="60"/>
  <c r="N40" i="60"/>
  <c r="L40" i="60"/>
  <c r="F40" i="60"/>
  <c r="B40" i="60"/>
  <c r="X39" i="60"/>
  <c r="Z39" i="60" s="1"/>
  <c r="R39" i="60"/>
  <c r="N39" i="60"/>
  <c r="L39" i="60"/>
  <c r="F39" i="60"/>
  <c r="B39" i="60"/>
  <c r="Z38" i="60"/>
  <c r="X38" i="60"/>
  <c r="N38" i="60"/>
  <c r="L38" i="60"/>
  <c r="B38" i="60"/>
  <c r="X37" i="60"/>
  <c r="Z37" i="60" s="1"/>
  <c r="T37" i="60"/>
  <c r="P37" i="60"/>
  <c r="L37" i="60"/>
  <c r="H37" i="60"/>
  <c r="F37" i="60"/>
  <c r="D37" i="60"/>
  <c r="B37" i="60"/>
  <c r="Z36" i="60"/>
  <c r="X36" i="60"/>
  <c r="V36" i="60"/>
  <c r="N36" i="60"/>
  <c r="L36" i="60"/>
  <c r="F36" i="60"/>
  <c r="B36" i="60"/>
  <c r="X35" i="60"/>
  <c r="Z35" i="60" s="1"/>
  <c r="R35" i="60"/>
  <c r="N35" i="60"/>
  <c r="L35" i="60"/>
  <c r="F35" i="60"/>
  <c r="B35" i="60"/>
  <c r="Z34" i="60"/>
  <c r="X34" i="60"/>
  <c r="T34" i="60"/>
  <c r="P34" i="60"/>
  <c r="J34" i="60"/>
  <c r="H34" i="60"/>
  <c r="F34" i="60"/>
  <c r="D34" i="60"/>
  <c r="L34" i="60" s="1"/>
  <c r="B34" i="60"/>
  <c r="Z33" i="60"/>
  <c r="X33" i="60"/>
  <c r="R33" i="60"/>
  <c r="L33" i="60"/>
  <c r="N33" i="60" s="1"/>
  <c r="B33" i="60"/>
  <c r="V32" i="60"/>
  <c r="T32" i="60"/>
  <c r="R32" i="60"/>
  <c r="P32" i="60"/>
  <c r="X32" i="60" s="1"/>
  <c r="H32" i="60"/>
  <c r="F32" i="60"/>
  <c r="D32" i="60"/>
  <c r="L32" i="60" s="1"/>
  <c r="B32" i="60"/>
  <c r="Z31" i="60"/>
  <c r="X31" i="60"/>
  <c r="N31" i="60"/>
  <c r="L31" i="60"/>
  <c r="F31" i="60"/>
  <c r="B31" i="60"/>
  <c r="T30" i="60"/>
  <c r="Z30" i="60" s="1"/>
  <c r="R30" i="60"/>
  <c r="P30" i="60"/>
  <c r="X30" i="60" s="1"/>
  <c r="N30" i="60"/>
  <c r="H30" i="60"/>
  <c r="L30" i="60" s="1"/>
  <c r="F30" i="60"/>
  <c r="D30" i="60"/>
  <c r="B30" i="60"/>
  <c r="X29" i="60"/>
  <c r="Z29" i="60" s="1"/>
  <c r="N29" i="60"/>
  <c r="L29" i="60"/>
  <c r="F29" i="60"/>
  <c r="B29" i="60"/>
  <c r="T28" i="60"/>
  <c r="X28" i="60" s="1"/>
  <c r="Z28" i="60" s="1"/>
  <c r="P28" i="60"/>
  <c r="N28" i="60"/>
  <c r="L28" i="60"/>
  <c r="J28" i="60"/>
  <c r="H28" i="60"/>
  <c r="D28" i="60"/>
  <c r="B28" i="60"/>
  <c r="X27" i="60"/>
  <c r="Z27" i="60" s="1"/>
  <c r="R27" i="60"/>
  <c r="N27" i="60"/>
  <c r="L27" i="60"/>
  <c r="F27" i="60"/>
  <c r="B27" i="60"/>
  <c r="Z26" i="60"/>
  <c r="X26" i="60"/>
  <c r="L26" i="60"/>
  <c r="N26" i="60" s="1"/>
  <c r="B26" i="60"/>
  <c r="X25" i="60"/>
  <c r="Z25" i="60" s="1"/>
  <c r="N25" i="60"/>
  <c r="L25" i="60"/>
  <c r="F25" i="60"/>
  <c r="B25" i="60"/>
  <c r="Z24" i="60"/>
  <c r="X24" i="60"/>
  <c r="N24" i="60"/>
  <c r="L24" i="60"/>
  <c r="J24" i="60"/>
  <c r="F24" i="60"/>
  <c r="B24" i="60"/>
  <c r="Z23" i="60"/>
  <c r="X23" i="60"/>
  <c r="L23" i="60"/>
  <c r="N23" i="60" s="1"/>
  <c r="J23" i="60"/>
  <c r="F23" i="60"/>
  <c r="B23" i="60"/>
  <c r="X22" i="60"/>
  <c r="Z22" i="60" s="1"/>
  <c r="N22" i="60"/>
  <c r="L22" i="60"/>
  <c r="J22" i="60"/>
  <c r="F22" i="60"/>
  <c r="B22" i="60"/>
  <c r="X21" i="60"/>
  <c r="Z21" i="60" s="1"/>
  <c r="R21" i="60"/>
  <c r="L21" i="60"/>
  <c r="N21" i="60" s="1"/>
  <c r="B21" i="60"/>
  <c r="Z20" i="60"/>
  <c r="X20" i="60"/>
  <c r="V20" i="60"/>
  <c r="R20" i="60"/>
  <c r="N20" i="60"/>
  <c r="L20" i="60"/>
  <c r="F20" i="60"/>
  <c r="B20" i="60"/>
  <c r="X19" i="60"/>
  <c r="T19" i="60"/>
  <c r="Z19" i="60" s="1"/>
  <c r="P19" i="60"/>
  <c r="H19" i="60"/>
  <c r="F19" i="60"/>
  <c r="D19" i="60"/>
  <c r="L19" i="60" s="1"/>
  <c r="B19" i="60"/>
  <c r="T18" i="60"/>
  <c r="R18" i="60"/>
  <c r="P18" i="60"/>
  <c r="X18" i="60" s="1"/>
  <c r="H18" i="60"/>
  <c r="L18" i="60" s="1"/>
  <c r="N18" i="60" s="1"/>
  <c r="F18" i="60"/>
  <c r="D18" i="60"/>
  <c r="J16" i="60"/>
  <c r="H16" i="60"/>
  <c r="H46" i="60" s="1"/>
  <c r="F16" i="60"/>
  <c r="D16" i="60"/>
  <c r="D46" i="60" s="1"/>
  <c r="T14" i="60"/>
  <c r="Z14" i="60" s="1"/>
  <c r="R14" i="60"/>
  <c r="P14" i="60"/>
  <c r="P16" i="60" s="1"/>
  <c r="N14" i="60"/>
  <c r="H14" i="60"/>
  <c r="L14" i="60" s="1"/>
  <c r="F14" i="60"/>
  <c r="D14" i="60"/>
  <c r="Z12" i="60"/>
  <c r="T12" i="60"/>
  <c r="V39" i="60" s="1"/>
  <c r="P12" i="60"/>
  <c r="R40" i="60" s="1"/>
  <c r="L12" i="60"/>
  <c r="H12" i="60"/>
  <c r="J41" i="60" s="1"/>
  <c r="D12" i="60"/>
  <c r="F33" i="60" s="1"/>
  <c r="D6" i="60"/>
  <c r="D4" i="60"/>
  <c r="V56" i="59"/>
  <c r="R56" i="59"/>
  <c r="F56" i="59"/>
  <c r="Z54" i="59"/>
  <c r="X54" i="59"/>
  <c r="N54" i="59"/>
  <c r="L54" i="59"/>
  <c r="J54" i="59"/>
  <c r="V50" i="59"/>
  <c r="T50" i="59"/>
  <c r="Z50" i="59" s="1"/>
  <c r="R50" i="59"/>
  <c r="P50" i="59"/>
  <c r="X50" i="59" s="1"/>
  <c r="H50" i="59"/>
  <c r="N50" i="59" s="1"/>
  <c r="F50" i="59"/>
  <c r="D50" i="59"/>
  <c r="L50" i="59" s="1"/>
  <c r="Z48" i="59"/>
  <c r="X48" i="59"/>
  <c r="R48" i="59"/>
  <c r="N48" i="59"/>
  <c r="L48" i="59"/>
  <c r="J48" i="59"/>
  <c r="B48" i="59"/>
  <c r="Z47" i="59"/>
  <c r="X47" i="59"/>
  <c r="R47" i="59"/>
  <c r="L47" i="59"/>
  <c r="N47" i="59" s="1"/>
  <c r="B47" i="59"/>
  <c r="T46" i="59"/>
  <c r="R46" i="59"/>
  <c r="P46" i="59"/>
  <c r="X46" i="59" s="1"/>
  <c r="H46" i="59"/>
  <c r="L46" i="59" s="1"/>
  <c r="N46" i="59" s="1"/>
  <c r="D46" i="59"/>
  <c r="B46" i="59"/>
  <c r="X45" i="59"/>
  <c r="Z45" i="59" s="1"/>
  <c r="N45" i="59"/>
  <c r="L45" i="59"/>
  <c r="F45" i="59"/>
  <c r="B45" i="59"/>
  <c r="T44" i="59"/>
  <c r="X44" i="59" s="1"/>
  <c r="Z44" i="59" s="1"/>
  <c r="R44" i="59"/>
  <c r="P44" i="59"/>
  <c r="N44" i="59"/>
  <c r="L44" i="59"/>
  <c r="H44" i="59"/>
  <c r="D44" i="59"/>
  <c r="B44" i="59"/>
  <c r="Z43" i="59"/>
  <c r="X43" i="59"/>
  <c r="R43" i="59"/>
  <c r="N43" i="59"/>
  <c r="L43" i="59"/>
  <c r="B43" i="59"/>
  <c r="Z42" i="59"/>
  <c r="X42" i="59"/>
  <c r="V42" i="59"/>
  <c r="R42" i="59"/>
  <c r="L42" i="59"/>
  <c r="N42" i="59" s="1"/>
  <c r="B42" i="59"/>
  <c r="Z41" i="59"/>
  <c r="X41" i="59"/>
  <c r="N41" i="59"/>
  <c r="L41" i="59"/>
  <c r="F41" i="59"/>
  <c r="B41" i="59"/>
  <c r="Z40" i="59"/>
  <c r="X40" i="59"/>
  <c r="R40" i="59"/>
  <c r="N40" i="59"/>
  <c r="L40" i="59"/>
  <c r="J40" i="59"/>
  <c r="B40" i="59"/>
  <c r="T39" i="59"/>
  <c r="P39" i="59"/>
  <c r="X39" i="59" s="1"/>
  <c r="Z39" i="59" s="1"/>
  <c r="L39" i="59"/>
  <c r="N39" i="59" s="1"/>
  <c r="H39" i="59"/>
  <c r="D39" i="59"/>
  <c r="B39" i="59"/>
  <c r="Z38" i="59"/>
  <c r="X38" i="59"/>
  <c r="V38" i="59"/>
  <c r="R38" i="59"/>
  <c r="L38" i="59"/>
  <c r="N38" i="59" s="1"/>
  <c r="B38" i="59"/>
  <c r="X37" i="59"/>
  <c r="Z37" i="59" s="1"/>
  <c r="T37" i="59"/>
  <c r="R37" i="59"/>
  <c r="P37" i="59"/>
  <c r="L37" i="59"/>
  <c r="H37" i="59"/>
  <c r="D37" i="59"/>
  <c r="B37" i="59"/>
  <c r="Z36" i="59"/>
  <c r="X36" i="59"/>
  <c r="V36" i="59"/>
  <c r="R36" i="59"/>
  <c r="N36" i="59"/>
  <c r="L36" i="59"/>
  <c r="B36" i="59"/>
  <c r="X35" i="59"/>
  <c r="T35" i="59"/>
  <c r="R35" i="59"/>
  <c r="P35" i="59"/>
  <c r="H35" i="59"/>
  <c r="D35" i="59"/>
  <c r="L35" i="59" s="1"/>
  <c r="B35" i="59"/>
  <c r="X34" i="59"/>
  <c r="Z34" i="59" s="1"/>
  <c r="N34" i="59"/>
  <c r="L34" i="59"/>
  <c r="B34" i="59"/>
  <c r="T33" i="59"/>
  <c r="R33" i="59"/>
  <c r="P33" i="59"/>
  <c r="X33" i="59" s="1"/>
  <c r="H33" i="59"/>
  <c r="D33" i="59"/>
  <c r="L33" i="59" s="1"/>
  <c r="B33" i="59"/>
  <c r="Z32" i="59"/>
  <c r="X32" i="59"/>
  <c r="R32" i="59"/>
  <c r="N32" i="59"/>
  <c r="L32" i="59"/>
  <c r="J32" i="59"/>
  <c r="B32" i="59"/>
  <c r="Z31" i="59"/>
  <c r="X31" i="59"/>
  <c r="R31" i="59"/>
  <c r="L31" i="59"/>
  <c r="N31" i="59" s="1"/>
  <c r="F31" i="59"/>
  <c r="B31" i="59"/>
  <c r="X30" i="59"/>
  <c r="Z30" i="59" s="1"/>
  <c r="N30" i="59"/>
  <c r="L30" i="59"/>
  <c r="B30" i="59"/>
  <c r="T29" i="59"/>
  <c r="R29" i="59"/>
  <c r="P29" i="59"/>
  <c r="X29" i="59" s="1"/>
  <c r="H29" i="59"/>
  <c r="D29" i="59"/>
  <c r="L29" i="59" s="1"/>
  <c r="N29" i="59" s="1"/>
  <c r="B29" i="59"/>
  <c r="Z28" i="59"/>
  <c r="X28" i="59"/>
  <c r="R28" i="59"/>
  <c r="N28" i="59"/>
  <c r="L28" i="59"/>
  <c r="J28" i="59"/>
  <c r="B28" i="59"/>
  <c r="Z27" i="59"/>
  <c r="X27" i="59"/>
  <c r="R27" i="59"/>
  <c r="L27" i="59"/>
  <c r="N27" i="59" s="1"/>
  <c r="F27" i="59"/>
  <c r="B27" i="59"/>
  <c r="X26" i="59"/>
  <c r="Z26" i="59" s="1"/>
  <c r="N26" i="59"/>
  <c r="L26" i="59"/>
  <c r="B26" i="59"/>
  <c r="X25" i="59"/>
  <c r="Z25" i="59" s="1"/>
  <c r="R25" i="59"/>
  <c r="L25" i="59"/>
  <c r="N25" i="59" s="1"/>
  <c r="B25" i="59"/>
  <c r="Z24" i="59"/>
  <c r="X24" i="59"/>
  <c r="V24" i="59"/>
  <c r="R24" i="59"/>
  <c r="N24" i="59"/>
  <c r="L24" i="59"/>
  <c r="B24" i="59"/>
  <c r="X23" i="59"/>
  <c r="Z23" i="59" s="1"/>
  <c r="V23" i="59"/>
  <c r="R23" i="59"/>
  <c r="N23" i="59"/>
  <c r="L23" i="59"/>
  <c r="B23" i="59"/>
  <c r="Z22" i="59"/>
  <c r="X22" i="59"/>
  <c r="V22" i="59"/>
  <c r="R22" i="59"/>
  <c r="L22" i="59"/>
  <c r="N22" i="59" s="1"/>
  <c r="B22" i="59"/>
  <c r="X21" i="59"/>
  <c r="Z21" i="59" s="1"/>
  <c r="L21" i="59"/>
  <c r="N21" i="59" s="1"/>
  <c r="F21" i="59"/>
  <c r="B21" i="59"/>
  <c r="Z20" i="59"/>
  <c r="X20" i="59"/>
  <c r="R20" i="59"/>
  <c r="N20" i="59"/>
  <c r="L20" i="59"/>
  <c r="J20" i="59"/>
  <c r="F20" i="59"/>
  <c r="B20" i="59"/>
  <c r="T19" i="59"/>
  <c r="P19" i="59"/>
  <c r="X19" i="59" s="1"/>
  <c r="L19" i="59"/>
  <c r="N19" i="59" s="1"/>
  <c r="H19" i="59"/>
  <c r="D19" i="59"/>
  <c r="B19" i="59"/>
  <c r="Z18" i="59"/>
  <c r="X18" i="59"/>
  <c r="V18" i="59"/>
  <c r="T18" i="59"/>
  <c r="P18" i="59"/>
  <c r="J18" i="59"/>
  <c r="H18" i="59"/>
  <c r="N18" i="59" s="1"/>
  <c r="F18" i="59"/>
  <c r="D18" i="59"/>
  <c r="L18" i="59" s="1"/>
  <c r="R16" i="59"/>
  <c r="P16" i="59"/>
  <c r="Z14" i="59"/>
  <c r="X14" i="59"/>
  <c r="V14" i="59"/>
  <c r="T14" i="59"/>
  <c r="P14" i="59"/>
  <c r="J14" i="59"/>
  <c r="H14" i="59"/>
  <c r="N14" i="59" s="1"/>
  <c r="F14" i="59"/>
  <c r="D14" i="59"/>
  <c r="L14" i="59" s="1"/>
  <c r="X12" i="59"/>
  <c r="T12" i="59"/>
  <c r="V43" i="59" s="1"/>
  <c r="P12" i="59"/>
  <c r="R45" i="59" s="1"/>
  <c r="N12" i="59"/>
  <c r="H12" i="59"/>
  <c r="J47" i="59" s="1"/>
  <c r="D12" i="59"/>
  <c r="F54" i="59" s="1"/>
  <c r="D6" i="59"/>
  <c r="D4" i="59"/>
  <c r="V74" i="58"/>
  <c r="F74" i="58"/>
  <c r="Z69" i="58"/>
  <c r="X69" i="58"/>
  <c r="V69" i="58"/>
  <c r="N69" i="58"/>
  <c r="L69" i="58"/>
  <c r="V67" i="58"/>
  <c r="F67" i="58"/>
  <c r="Z65" i="58"/>
  <c r="X65" i="58"/>
  <c r="T65" i="58"/>
  <c r="P65" i="58"/>
  <c r="N65" i="58"/>
  <c r="L65" i="58"/>
  <c r="H65" i="58"/>
  <c r="D65" i="58"/>
  <c r="Z63" i="58"/>
  <c r="X63" i="58"/>
  <c r="V63" i="58"/>
  <c r="N63" i="58"/>
  <c r="L63" i="58"/>
  <c r="B63" i="58"/>
  <c r="X62" i="58"/>
  <c r="T62" i="58"/>
  <c r="Z62" i="58" s="1"/>
  <c r="P62" i="58"/>
  <c r="H62" i="58"/>
  <c r="D62" i="58"/>
  <c r="L62" i="58" s="1"/>
  <c r="B62" i="58"/>
  <c r="X61" i="58"/>
  <c r="Z61" i="58" s="1"/>
  <c r="N61" i="58"/>
  <c r="L61" i="58"/>
  <c r="B61" i="58"/>
  <c r="T60" i="58"/>
  <c r="P60" i="58"/>
  <c r="N60" i="58"/>
  <c r="H60" i="58"/>
  <c r="D60" i="58"/>
  <c r="L60" i="58" s="1"/>
  <c r="B60" i="58"/>
  <c r="Z59" i="58"/>
  <c r="X59" i="58"/>
  <c r="N59" i="58"/>
  <c r="L59" i="58"/>
  <c r="J59" i="58"/>
  <c r="B59" i="58"/>
  <c r="T58" i="58"/>
  <c r="P58" i="58"/>
  <c r="X58" i="58" s="1"/>
  <c r="Z58" i="58" s="1"/>
  <c r="L58" i="58"/>
  <c r="N58" i="58" s="1"/>
  <c r="H58" i="58"/>
  <c r="D58" i="58"/>
  <c r="B58" i="58"/>
  <c r="Z57" i="58"/>
  <c r="X57" i="58"/>
  <c r="N57" i="58"/>
  <c r="L57" i="58"/>
  <c r="B57" i="58"/>
  <c r="X56" i="58"/>
  <c r="Z56" i="58" s="1"/>
  <c r="N56" i="58"/>
  <c r="L56" i="58"/>
  <c r="F56" i="58"/>
  <c r="B56" i="58"/>
  <c r="Z55" i="58"/>
  <c r="X55" i="58"/>
  <c r="N55" i="58"/>
  <c r="L55" i="58"/>
  <c r="J55" i="58"/>
  <c r="B55" i="58"/>
  <c r="Z54" i="58"/>
  <c r="X54" i="58"/>
  <c r="N54" i="58"/>
  <c r="L54" i="58"/>
  <c r="B54" i="58"/>
  <c r="T53" i="58"/>
  <c r="Z53" i="58" s="1"/>
  <c r="R53" i="58"/>
  <c r="P53" i="58"/>
  <c r="X53" i="58" s="1"/>
  <c r="N53" i="58"/>
  <c r="L53" i="58"/>
  <c r="H53" i="58"/>
  <c r="D53" i="58"/>
  <c r="B53" i="58"/>
  <c r="X52" i="58"/>
  <c r="Z52" i="58" s="1"/>
  <c r="N52" i="58"/>
  <c r="L52" i="58"/>
  <c r="F52" i="58"/>
  <c r="B52" i="58"/>
  <c r="Z51" i="58"/>
  <c r="X51" i="58"/>
  <c r="T51" i="58"/>
  <c r="P51" i="58"/>
  <c r="N51" i="58"/>
  <c r="L51" i="58"/>
  <c r="J51" i="58"/>
  <c r="H51" i="58"/>
  <c r="D51" i="58"/>
  <c r="B51" i="58"/>
  <c r="X50" i="58"/>
  <c r="Z50" i="58" s="1"/>
  <c r="N50" i="58"/>
  <c r="L50" i="58"/>
  <c r="B50" i="58"/>
  <c r="Z49" i="58"/>
  <c r="X49" i="58"/>
  <c r="L49" i="58"/>
  <c r="N49" i="58" s="1"/>
  <c r="B49" i="58"/>
  <c r="X48" i="58"/>
  <c r="Z48" i="58" s="1"/>
  <c r="T48" i="58"/>
  <c r="P48" i="58"/>
  <c r="L48" i="58"/>
  <c r="H48" i="58"/>
  <c r="N48" i="58" s="1"/>
  <c r="D48" i="58"/>
  <c r="B48" i="58"/>
  <c r="Z47" i="58"/>
  <c r="X47" i="58"/>
  <c r="V47" i="58"/>
  <c r="N47" i="58"/>
  <c r="L47" i="58"/>
  <c r="B47" i="58"/>
  <c r="X46" i="58"/>
  <c r="Z46" i="58" s="1"/>
  <c r="N46" i="58"/>
  <c r="L46" i="58"/>
  <c r="B46" i="58"/>
  <c r="Z45" i="58"/>
  <c r="X45" i="58"/>
  <c r="T45" i="58"/>
  <c r="P45" i="58"/>
  <c r="J45" i="58"/>
  <c r="H45" i="58"/>
  <c r="N45" i="58" s="1"/>
  <c r="F45" i="58"/>
  <c r="D45" i="58"/>
  <c r="L45" i="58" s="1"/>
  <c r="B45" i="58"/>
  <c r="Z44" i="58"/>
  <c r="X44" i="58"/>
  <c r="R44" i="58"/>
  <c r="L44" i="58"/>
  <c r="N44" i="58" s="1"/>
  <c r="B44" i="58"/>
  <c r="V43" i="58"/>
  <c r="T43" i="58"/>
  <c r="P43" i="58"/>
  <c r="X43" i="58" s="1"/>
  <c r="H43" i="58"/>
  <c r="N43" i="58" s="1"/>
  <c r="F43" i="58"/>
  <c r="D43" i="58"/>
  <c r="L43" i="58" s="1"/>
  <c r="B43" i="58"/>
  <c r="Z42" i="58"/>
  <c r="X42" i="58"/>
  <c r="N42" i="58"/>
  <c r="L42" i="58"/>
  <c r="F42" i="58"/>
  <c r="B42" i="58"/>
  <c r="T41" i="58"/>
  <c r="R41" i="58"/>
  <c r="P41" i="58"/>
  <c r="X41" i="58" s="1"/>
  <c r="N41" i="58"/>
  <c r="L41" i="58"/>
  <c r="H41" i="58"/>
  <c r="D41" i="58"/>
  <c r="B41" i="58"/>
  <c r="X40" i="58"/>
  <c r="Z40" i="58" s="1"/>
  <c r="N40" i="58"/>
  <c r="L40" i="58"/>
  <c r="F40" i="58"/>
  <c r="B40" i="58"/>
  <c r="Z39" i="58"/>
  <c r="X39" i="58"/>
  <c r="T39" i="58"/>
  <c r="P39" i="58"/>
  <c r="N39" i="58"/>
  <c r="L39" i="58"/>
  <c r="J39" i="58"/>
  <c r="H39" i="58"/>
  <c r="D39" i="58"/>
  <c r="B39" i="58"/>
  <c r="X38" i="58"/>
  <c r="Z38" i="58" s="1"/>
  <c r="N38" i="58"/>
  <c r="L38" i="58"/>
  <c r="B38" i="58"/>
  <c r="Z37" i="58"/>
  <c r="X37" i="58"/>
  <c r="V37" i="58"/>
  <c r="T37" i="58"/>
  <c r="P37" i="58"/>
  <c r="J37" i="58"/>
  <c r="H37" i="58"/>
  <c r="N37" i="58" s="1"/>
  <c r="F37" i="58"/>
  <c r="D37" i="58"/>
  <c r="L37" i="58" s="1"/>
  <c r="B37" i="58"/>
  <c r="Z36" i="58"/>
  <c r="X36" i="58"/>
  <c r="R36" i="58"/>
  <c r="N36" i="58"/>
  <c r="L36" i="58"/>
  <c r="B36" i="58"/>
  <c r="V35" i="58"/>
  <c r="T35" i="58"/>
  <c r="Z35" i="58" s="1"/>
  <c r="P35" i="58"/>
  <c r="X35" i="58" s="1"/>
  <c r="H35" i="58"/>
  <c r="N35" i="58" s="1"/>
  <c r="F35" i="58"/>
  <c r="D35" i="58"/>
  <c r="L35" i="58" s="1"/>
  <c r="B35" i="58"/>
  <c r="Z34" i="58"/>
  <c r="X34" i="58"/>
  <c r="N34" i="58"/>
  <c r="L34" i="58"/>
  <c r="J34" i="58"/>
  <c r="F34" i="58"/>
  <c r="B34" i="58"/>
  <c r="X33" i="58"/>
  <c r="Z33" i="58" s="1"/>
  <c r="N33" i="58"/>
  <c r="L33" i="58"/>
  <c r="J33" i="58"/>
  <c r="B33" i="58"/>
  <c r="Z32" i="58"/>
  <c r="X32" i="58"/>
  <c r="R32" i="58"/>
  <c r="L32" i="58"/>
  <c r="N32" i="58" s="1"/>
  <c r="B32" i="58"/>
  <c r="Z31" i="58"/>
  <c r="X31" i="58"/>
  <c r="V31" i="58"/>
  <c r="N31" i="58"/>
  <c r="L31" i="58"/>
  <c r="B31" i="58"/>
  <c r="X30" i="58"/>
  <c r="Z30" i="58" s="1"/>
  <c r="N30" i="58"/>
  <c r="L30" i="58"/>
  <c r="B30" i="58"/>
  <c r="Z29" i="58"/>
  <c r="X29" i="58"/>
  <c r="V29" i="58"/>
  <c r="T29" i="58"/>
  <c r="P29" i="58"/>
  <c r="J29" i="58"/>
  <c r="H29" i="58"/>
  <c r="F29" i="58"/>
  <c r="D29" i="58"/>
  <c r="L29" i="58" s="1"/>
  <c r="B29" i="58"/>
  <c r="Z28" i="58"/>
  <c r="X28" i="58"/>
  <c r="R28" i="58"/>
  <c r="L28" i="58"/>
  <c r="N28" i="58" s="1"/>
  <c r="B28" i="58"/>
  <c r="Z27" i="58"/>
  <c r="X27" i="58"/>
  <c r="V27" i="58"/>
  <c r="N27" i="58"/>
  <c r="L27" i="58"/>
  <c r="B27" i="58"/>
  <c r="X26" i="58"/>
  <c r="Z26" i="58" s="1"/>
  <c r="N26" i="58"/>
  <c r="L26" i="58"/>
  <c r="B26" i="58"/>
  <c r="Z25" i="58"/>
  <c r="X25" i="58"/>
  <c r="V25" i="58"/>
  <c r="L25" i="58"/>
  <c r="N25" i="58" s="1"/>
  <c r="B25" i="58"/>
  <c r="X24" i="58"/>
  <c r="Z24" i="58" s="1"/>
  <c r="N24" i="58"/>
  <c r="L24" i="58"/>
  <c r="F24" i="58"/>
  <c r="B24" i="58"/>
  <c r="Z23" i="58"/>
  <c r="X23" i="58"/>
  <c r="N23" i="58"/>
  <c r="L23" i="58"/>
  <c r="J23" i="58"/>
  <c r="B23" i="58"/>
  <c r="Z22" i="58"/>
  <c r="X22" i="58"/>
  <c r="L22" i="58"/>
  <c r="N22" i="58" s="1"/>
  <c r="J22" i="58"/>
  <c r="F22" i="58"/>
  <c r="B22" i="58"/>
  <c r="X21" i="58"/>
  <c r="Z21" i="58" s="1"/>
  <c r="N21" i="58"/>
  <c r="L21" i="58"/>
  <c r="J21" i="58"/>
  <c r="B21" i="58"/>
  <c r="Z20" i="58"/>
  <c r="X20" i="58"/>
  <c r="R20" i="58"/>
  <c r="L20" i="58"/>
  <c r="N20" i="58" s="1"/>
  <c r="J20" i="58"/>
  <c r="B20" i="58"/>
  <c r="V19" i="58"/>
  <c r="T19" i="58"/>
  <c r="P19" i="58"/>
  <c r="X19" i="58" s="1"/>
  <c r="H19" i="58"/>
  <c r="N19" i="58" s="1"/>
  <c r="F19" i="58"/>
  <c r="D19" i="58"/>
  <c r="L19" i="58" s="1"/>
  <c r="B19" i="58"/>
  <c r="T18" i="58"/>
  <c r="P18" i="58"/>
  <c r="X18" i="58" s="1"/>
  <c r="Z18" i="58" s="1"/>
  <c r="L18" i="58"/>
  <c r="N18" i="58" s="1"/>
  <c r="J18" i="58"/>
  <c r="H18" i="58"/>
  <c r="D18" i="58"/>
  <c r="T16" i="58"/>
  <c r="T67" i="58" s="1"/>
  <c r="H16" i="58"/>
  <c r="F16" i="58"/>
  <c r="D16" i="58"/>
  <c r="D67" i="58" s="1"/>
  <c r="T14" i="58"/>
  <c r="Z14" i="58" s="1"/>
  <c r="P14" i="58"/>
  <c r="X14" i="58" s="1"/>
  <c r="N14" i="58"/>
  <c r="L14" i="58"/>
  <c r="J14" i="58"/>
  <c r="H14" i="58"/>
  <c r="D14" i="58"/>
  <c r="X12" i="58"/>
  <c r="T12" i="58"/>
  <c r="V62" i="58" s="1"/>
  <c r="P12" i="58"/>
  <c r="R69" i="58" s="1"/>
  <c r="N12" i="58"/>
  <c r="H12" i="58"/>
  <c r="J54" i="58" s="1"/>
  <c r="D12" i="58"/>
  <c r="F62" i="58" s="1"/>
  <c r="D6" i="58"/>
  <c r="D4" i="58"/>
  <c r="Z61" i="57"/>
  <c r="X61" i="57"/>
  <c r="N61" i="57"/>
  <c r="L61" i="57"/>
  <c r="F61" i="57"/>
  <c r="T57" i="57"/>
  <c r="Z57" i="57" s="1"/>
  <c r="P57" i="57"/>
  <c r="X57" i="57" s="1"/>
  <c r="H57" i="57"/>
  <c r="N57" i="57" s="1"/>
  <c r="D57" i="57"/>
  <c r="L57" i="57" s="1"/>
  <c r="X55" i="57"/>
  <c r="Z55" i="57" s="1"/>
  <c r="N55" i="57"/>
  <c r="L55" i="57"/>
  <c r="F55" i="57"/>
  <c r="B55" i="57"/>
  <c r="Z54" i="57"/>
  <c r="X54" i="57"/>
  <c r="T54" i="57"/>
  <c r="P54" i="57"/>
  <c r="N54" i="57"/>
  <c r="L54" i="57"/>
  <c r="H54" i="57"/>
  <c r="D54" i="57"/>
  <c r="B54" i="57"/>
  <c r="X53" i="57"/>
  <c r="Z53" i="57" s="1"/>
  <c r="V53" i="57"/>
  <c r="R53" i="57"/>
  <c r="N53" i="57"/>
  <c r="L53" i="57"/>
  <c r="B53" i="57"/>
  <c r="Z52" i="57"/>
  <c r="X52" i="57"/>
  <c r="V52" i="57"/>
  <c r="T52" i="57"/>
  <c r="P52" i="57"/>
  <c r="J52" i="57"/>
  <c r="H52" i="57"/>
  <c r="N52" i="57" s="1"/>
  <c r="D52" i="57"/>
  <c r="L52" i="57" s="1"/>
  <c r="B52" i="57"/>
  <c r="X51" i="57"/>
  <c r="Z51" i="57" s="1"/>
  <c r="R51" i="57"/>
  <c r="L51" i="57"/>
  <c r="N51" i="57" s="1"/>
  <c r="B51" i="57"/>
  <c r="V50" i="57"/>
  <c r="T50" i="57"/>
  <c r="R50" i="57"/>
  <c r="P50" i="57"/>
  <c r="X50" i="57" s="1"/>
  <c r="H50" i="57"/>
  <c r="F50" i="57"/>
  <c r="D50" i="57"/>
  <c r="L50" i="57" s="1"/>
  <c r="N50" i="57" s="1"/>
  <c r="B50" i="57"/>
  <c r="Z49" i="57"/>
  <c r="X49" i="57"/>
  <c r="N49" i="57"/>
  <c r="L49" i="57"/>
  <c r="B49" i="57"/>
  <c r="X48" i="57"/>
  <c r="Z48" i="57" s="1"/>
  <c r="N48" i="57"/>
  <c r="L48" i="57"/>
  <c r="B48" i="57"/>
  <c r="T47" i="57"/>
  <c r="P47" i="57"/>
  <c r="X47" i="57" s="1"/>
  <c r="N47" i="57"/>
  <c r="H47" i="57"/>
  <c r="D47" i="57"/>
  <c r="L47" i="57" s="1"/>
  <c r="B47" i="57"/>
  <c r="Z46" i="57"/>
  <c r="X46" i="57"/>
  <c r="N46" i="57"/>
  <c r="L46" i="57"/>
  <c r="B46" i="57"/>
  <c r="T45" i="57"/>
  <c r="P45" i="57"/>
  <c r="X45" i="57" s="1"/>
  <c r="Z45" i="57" s="1"/>
  <c r="L45" i="57"/>
  <c r="N45" i="57" s="1"/>
  <c r="H45" i="57"/>
  <c r="D45" i="57"/>
  <c r="B45" i="57"/>
  <c r="Z44" i="57"/>
  <c r="X44" i="57"/>
  <c r="V44" i="57"/>
  <c r="N44" i="57"/>
  <c r="L44" i="57"/>
  <c r="B44" i="57"/>
  <c r="X43" i="57"/>
  <c r="Z43" i="57" s="1"/>
  <c r="V43" i="57"/>
  <c r="L43" i="57"/>
  <c r="N43" i="57" s="1"/>
  <c r="F43" i="57"/>
  <c r="B43" i="57"/>
  <c r="Z42" i="57"/>
  <c r="X42" i="57"/>
  <c r="N42" i="57"/>
  <c r="L42" i="57"/>
  <c r="B42" i="57"/>
  <c r="T41" i="57"/>
  <c r="P41" i="57"/>
  <c r="X41" i="57" s="1"/>
  <c r="L41" i="57"/>
  <c r="N41" i="57" s="1"/>
  <c r="H41" i="57"/>
  <c r="D41" i="57"/>
  <c r="B41" i="57"/>
  <c r="Z40" i="57"/>
  <c r="X40" i="57"/>
  <c r="V40" i="57"/>
  <c r="L40" i="57"/>
  <c r="N40" i="57" s="1"/>
  <c r="B40" i="57"/>
  <c r="X39" i="57"/>
  <c r="Z39" i="57" s="1"/>
  <c r="V39" i="57"/>
  <c r="T39" i="57"/>
  <c r="P39" i="57"/>
  <c r="L39" i="57"/>
  <c r="H39" i="57"/>
  <c r="D39" i="57"/>
  <c r="B39" i="57"/>
  <c r="Z38" i="57"/>
  <c r="X38" i="57"/>
  <c r="V38" i="57"/>
  <c r="N38" i="57"/>
  <c r="L38" i="57"/>
  <c r="B38" i="57"/>
  <c r="X37" i="57"/>
  <c r="Z37" i="57" s="1"/>
  <c r="V37" i="57"/>
  <c r="R37" i="57"/>
  <c r="N37" i="57"/>
  <c r="L37" i="57"/>
  <c r="B37" i="57"/>
  <c r="Z36" i="57"/>
  <c r="X36" i="57"/>
  <c r="V36" i="57"/>
  <c r="T36" i="57"/>
  <c r="P36" i="57"/>
  <c r="J36" i="57"/>
  <c r="H36" i="57"/>
  <c r="D36" i="57"/>
  <c r="L36" i="57" s="1"/>
  <c r="B36" i="57"/>
  <c r="X35" i="57"/>
  <c r="Z35" i="57" s="1"/>
  <c r="R35" i="57"/>
  <c r="L35" i="57"/>
  <c r="N35" i="57" s="1"/>
  <c r="B35" i="57"/>
  <c r="V34" i="57"/>
  <c r="T34" i="57"/>
  <c r="R34" i="57"/>
  <c r="P34" i="57"/>
  <c r="X34" i="57" s="1"/>
  <c r="H34" i="57"/>
  <c r="F34" i="57"/>
  <c r="D34" i="57"/>
  <c r="L34" i="57" s="1"/>
  <c r="N34" i="57" s="1"/>
  <c r="B34" i="57"/>
  <c r="Z33" i="57"/>
  <c r="X33" i="57"/>
  <c r="V33" i="57"/>
  <c r="L33" i="57"/>
  <c r="N33" i="57" s="1"/>
  <c r="F33" i="57"/>
  <c r="B33" i="57"/>
  <c r="V32" i="57"/>
  <c r="T32" i="57"/>
  <c r="R32" i="57"/>
  <c r="P32" i="57"/>
  <c r="X32" i="57" s="1"/>
  <c r="Z32" i="57" s="1"/>
  <c r="N32" i="57"/>
  <c r="L32" i="57"/>
  <c r="H32" i="57"/>
  <c r="D32" i="57"/>
  <c r="B32" i="57"/>
  <c r="X31" i="57"/>
  <c r="Z31" i="57" s="1"/>
  <c r="V31" i="57"/>
  <c r="N31" i="57"/>
  <c r="L31" i="57"/>
  <c r="F31" i="57"/>
  <c r="B31" i="57"/>
  <c r="Z30" i="57"/>
  <c r="X30" i="57"/>
  <c r="N30" i="57"/>
  <c r="L30" i="57"/>
  <c r="B30" i="57"/>
  <c r="Z29" i="57"/>
  <c r="X29" i="57"/>
  <c r="V29" i="57"/>
  <c r="L29" i="57"/>
  <c r="N29" i="57" s="1"/>
  <c r="F29" i="57"/>
  <c r="B29" i="57"/>
  <c r="V28" i="57"/>
  <c r="T28" i="57"/>
  <c r="R28" i="57"/>
  <c r="P28" i="57"/>
  <c r="X28" i="57" s="1"/>
  <c r="N28" i="57"/>
  <c r="L28" i="57"/>
  <c r="H28" i="57"/>
  <c r="D28" i="57"/>
  <c r="B28" i="57"/>
  <c r="X27" i="57"/>
  <c r="Z27" i="57" s="1"/>
  <c r="V27" i="57"/>
  <c r="L27" i="57"/>
  <c r="N27" i="57" s="1"/>
  <c r="F27" i="57"/>
  <c r="B27" i="57"/>
  <c r="Z26" i="57"/>
  <c r="X26" i="57"/>
  <c r="N26" i="57"/>
  <c r="L26" i="57"/>
  <c r="B26" i="57"/>
  <c r="Z25" i="57"/>
  <c r="X25" i="57"/>
  <c r="V25" i="57"/>
  <c r="L25" i="57"/>
  <c r="N25" i="57" s="1"/>
  <c r="F25" i="57"/>
  <c r="B25" i="57"/>
  <c r="X24" i="57"/>
  <c r="Z24" i="57" s="1"/>
  <c r="V24" i="57"/>
  <c r="N24" i="57"/>
  <c r="L24" i="57"/>
  <c r="B24" i="57"/>
  <c r="X23" i="57"/>
  <c r="Z23" i="57" s="1"/>
  <c r="R23" i="57"/>
  <c r="L23" i="57"/>
  <c r="N23" i="57" s="1"/>
  <c r="B23" i="57"/>
  <c r="Z22" i="57"/>
  <c r="X22" i="57"/>
  <c r="V22" i="57"/>
  <c r="R22" i="57"/>
  <c r="N22" i="57"/>
  <c r="L22" i="57"/>
  <c r="B22" i="57"/>
  <c r="X21" i="57"/>
  <c r="Z21" i="57" s="1"/>
  <c r="V21" i="57"/>
  <c r="R21" i="57"/>
  <c r="N21" i="57"/>
  <c r="L21" i="57"/>
  <c r="B21" i="57"/>
  <c r="Z20" i="57"/>
  <c r="X20" i="57"/>
  <c r="V20" i="57"/>
  <c r="R20" i="57"/>
  <c r="L20" i="57"/>
  <c r="N20" i="57" s="1"/>
  <c r="B20" i="57"/>
  <c r="X19" i="57"/>
  <c r="Z19" i="57" s="1"/>
  <c r="V19" i="57"/>
  <c r="T19" i="57"/>
  <c r="P19" i="57"/>
  <c r="L19" i="57"/>
  <c r="H19" i="57"/>
  <c r="D19" i="57"/>
  <c r="B19" i="57"/>
  <c r="V18" i="57"/>
  <c r="T18" i="57"/>
  <c r="Z18" i="57" s="1"/>
  <c r="R18" i="57"/>
  <c r="P18" i="57"/>
  <c r="X18" i="57" s="1"/>
  <c r="H18" i="57"/>
  <c r="F18" i="57"/>
  <c r="D18" i="57"/>
  <c r="L18" i="57" s="1"/>
  <c r="R16" i="57"/>
  <c r="J16" i="57"/>
  <c r="V14" i="57"/>
  <c r="T14" i="57"/>
  <c r="T16" i="57" s="1"/>
  <c r="R14" i="57"/>
  <c r="P14" i="57"/>
  <c r="X14" i="57" s="1"/>
  <c r="H14" i="57"/>
  <c r="N14" i="57" s="1"/>
  <c r="F14" i="57"/>
  <c r="D14" i="57"/>
  <c r="L14" i="57" s="1"/>
  <c r="Z12" i="57"/>
  <c r="X12" i="57"/>
  <c r="T12" i="57"/>
  <c r="V66" i="57" s="1"/>
  <c r="P12" i="57"/>
  <c r="R63" i="57" s="1"/>
  <c r="H12" i="57"/>
  <c r="D12" i="57"/>
  <c r="F46" i="57" s="1"/>
  <c r="D6" i="57"/>
  <c r="D4" i="57"/>
  <c r="R70" i="56"/>
  <c r="J67" i="56"/>
  <c r="Z65" i="56"/>
  <c r="X65" i="56"/>
  <c r="N65" i="56"/>
  <c r="L65" i="56"/>
  <c r="J65" i="56"/>
  <c r="R63" i="56"/>
  <c r="Z61" i="56"/>
  <c r="X61" i="56"/>
  <c r="T61" i="56"/>
  <c r="P61" i="56"/>
  <c r="J61" i="56"/>
  <c r="H61" i="56"/>
  <c r="N61" i="56" s="1"/>
  <c r="D61" i="56"/>
  <c r="L61" i="56" s="1"/>
  <c r="X59" i="56"/>
  <c r="Z59" i="56" s="1"/>
  <c r="N59" i="56"/>
  <c r="L59" i="56"/>
  <c r="J59" i="56"/>
  <c r="B59" i="56"/>
  <c r="T58" i="56"/>
  <c r="P58" i="56"/>
  <c r="H58" i="56"/>
  <c r="D58" i="56"/>
  <c r="L58" i="56" s="1"/>
  <c r="N58" i="56" s="1"/>
  <c r="B58" i="56"/>
  <c r="Z57" i="56"/>
  <c r="X57" i="56"/>
  <c r="N57" i="56"/>
  <c r="L57" i="56"/>
  <c r="J57" i="56"/>
  <c r="B57" i="56"/>
  <c r="T56" i="56"/>
  <c r="P56" i="56"/>
  <c r="X56" i="56" s="1"/>
  <c r="Z56" i="56" s="1"/>
  <c r="L56" i="56"/>
  <c r="N56" i="56" s="1"/>
  <c r="H56" i="56"/>
  <c r="D56" i="56"/>
  <c r="B56" i="56"/>
  <c r="Z55" i="56"/>
  <c r="X55" i="56"/>
  <c r="L55" i="56"/>
  <c r="N55" i="56" s="1"/>
  <c r="B55" i="56"/>
  <c r="X54" i="56"/>
  <c r="Z54" i="56" s="1"/>
  <c r="N54" i="56"/>
  <c r="L54" i="56"/>
  <c r="B54" i="56"/>
  <c r="Z53" i="56"/>
  <c r="X53" i="56"/>
  <c r="T53" i="56"/>
  <c r="P53" i="56"/>
  <c r="N53" i="56"/>
  <c r="L53" i="56"/>
  <c r="J53" i="56"/>
  <c r="H53" i="56"/>
  <c r="D53" i="56"/>
  <c r="B53" i="56"/>
  <c r="X52" i="56"/>
  <c r="Z52" i="56" s="1"/>
  <c r="R52" i="56"/>
  <c r="N52" i="56"/>
  <c r="L52" i="56"/>
  <c r="B52" i="56"/>
  <c r="Z51" i="56"/>
  <c r="X51" i="56"/>
  <c r="T51" i="56"/>
  <c r="P51" i="56"/>
  <c r="J51" i="56"/>
  <c r="H51" i="56"/>
  <c r="N51" i="56" s="1"/>
  <c r="D51" i="56"/>
  <c r="L51" i="56" s="1"/>
  <c r="B51" i="56"/>
  <c r="Z50" i="56"/>
  <c r="X50" i="56"/>
  <c r="R50" i="56"/>
  <c r="N50" i="56"/>
  <c r="L50" i="56"/>
  <c r="B50" i="56"/>
  <c r="Z49" i="56"/>
  <c r="X49" i="56"/>
  <c r="R49" i="56"/>
  <c r="N49" i="56"/>
  <c r="L49" i="56"/>
  <c r="B49" i="56"/>
  <c r="T48" i="56"/>
  <c r="P48" i="56"/>
  <c r="H48" i="56"/>
  <c r="D48" i="56"/>
  <c r="B48" i="56"/>
  <c r="Z47" i="56"/>
  <c r="X47" i="56"/>
  <c r="N47" i="56"/>
  <c r="L47" i="56"/>
  <c r="J47" i="56"/>
  <c r="B47" i="56"/>
  <c r="X46" i="56"/>
  <c r="Z46" i="56" s="1"/>
  <c r="R46" i="56"/>
  <c r="L46" i="56"/>
  <c r="N46" i="56" s="1"/>
  <c r="J46" i="56"/>
  <c r="B46" i="56"/>
  <c r="Z45" i="56"/>
  <c r="X45" i="56"/>
  <c r="R45" i="56"/>
  <c r="N45" i="56"/>
  <c r="L45" i="56"/>
  <c r="B45" i="56"/>
  <c r="T44" i="56"/>
  <c r="R44" i="56"/>
  <c r="P44" i="56"/>
  <c r="H44" i="56"/>
  <c r="D44" i="56"/>
  <c r="B44" i="56"/>
  <c r="X43" i="56"/>
  <c r="Z43" i="56" s="1"/>
  <c r="N43" i="56"/>
  <c r="L43" i="56"/>
  <c r="J43" i="56"/>
  <c r="B43" i="56"/>
  <c r="T42" i="56"/>
  <c r="R42" i="56"/>
  <c r="P42" i="56"/>
  <c r="H42" i="56"/>
  <c r="D42" i="56"/>
  <c r="L42" i="56" s="1"/>
  <c r="N42" i="56" s="1"/>
  <c r="B42" i="56"/>
  <c r="Z41" i="56"/>
  <c r="X41" i="56"/>
  <c r="N41" i="56"/>
  <c r="L41" i="56"/>
  <c r="J41" i="56"/>
  <c r="B41" i="56"/>
  <c r="T40" i="56"/>
  <c r="P40" i="56"/>
  <c r="X40" i="56" s="1"/>
  <c r="Z40" i="56" s="1"/>
  <c r="N40" i="56"/>
  <c r="L40" i="56"/>
  <c r="J40" i="56"/>
  <c r="H40" i="56"/>
  <c r="D40" i="56"/>
  <c r="B40" i="56"/>
  <c r="Z39" i="56"/>
  <c r="X39" i="56"/>
  <c r="R39" i="56"/>
  <c r="L39" i="56"/>
  <c r="N39" i="56" s="1"/>
  <c r="B39" i="56"/>
  <c r="X38" i="56"/>
  <c r="Z38" i="56" s="1"/>
  <c r="T38" i="56"/>
  <c r="P38" i="56"/>
  <c r="L38" i="56"/>
  <c r="J38" i="56"/>
  <c r="H38" i="56"/>
  <c r="D38" i="56"/>
  <c r="B38" i="56"/>
  <c r="Z37" i="56"/>
  <c r="X37" i="56"/>
  <c r="R37" i="56"/>
  <c r="N37" i="56"/>
  <c r="L37" i="56"/>
  <c r="B37" i="56"/>
  <c r="T36" i="56"/>
  <c r="R36" i="56"/>
  <c r="P36" i="56"/>
  <c r="H36" i="56"/>
  <c r="N36" i="56" s="1"/>
  <c r="D36" i="56"/>
  <c r="B36" i="56"/>
  <c r="X35" i="56"/>
  <c r="Z35" i="56" s="1"/>
  <c r="N35" i="56"/>
  <c r="L35" i="56"/>
  <c r="J35" i="56"/>
  <c r="B35" i="56"/>
  <c r="T34" i="56"/>
  <c r="R34" i="56"/>
  <c r="P34" i="56"/>
  <c r="X34" i="56" s="1"/>
  <c r="H34" i="56"/>
  <c r="D34" i="56"/>
  <c r="L34" i="56" s="1"/>
  <c r="N34" i="56" s="1"/>
  <c r="B34" i="56"/>
  <c r="Z33" i="56"/>
  <c r="X33" i="56"/>
  <c r="N33" i="56"/>
  <c r="L33" i="56"/>
  <c r="J33" i="56"/>
  <c r="B33" i="56"/>
  <c r="T32" i="56"/>
  <c r="P32" i="56"/>
  <c r="X32" i="56" s="1"/>
  <c r="Z32" i="56" s="1"/>
  <c r="N32" i="56"/>
  <c r="L32" i="56"/>
  <c r="J32" i="56"/>
  <c r="H32" i="56"/>
  <c r="D32" i="56"/>
  <c r="B32" i="56"/>
  <c r="X31" i="56"/>
  <c r="Z31" i="56" s="1"/>
  <c r="R31" i="56"/>
  <c r="N31" i="56"/>
  <c r="L31" i="56"/>
  <c r="J31" i="56"/>
  <c r="B31" i="56"/>
  <c r="X30" i="56"/>
  <c r="Z30" i="56" s="1"/>
  <c r="L30" i="56"/>
  <c r="N30" i="56" s="1"/>
  <c r="B30" i="56"/>
  <c r="X29" i="56"/>
  <c r="Z29" i="56" s="1"/>
  <c r="N29" i="56"/>
  <c r="L29" i="56"/>
  <c r="J29" i="56"/>
  <c r="B29" i="56"/>
  <c r="T28" i="56"/>
  <c r="P28" i="56"/>
  <c r="X28" i="56" s="1"/>
  <c r="Z28" i="56" s="1"/>
  <c r="L28" i="56"/>
  <c r="N28" i="56" s="1"/>
  <c r="J28" i="56"/>
  <c r="H28" i="56"/>
  <c r="D28" i="56"/>
  <c r="B28" i="56"/>
  <c r="X27" i="56"/>
  <c r="Z27" i="56" s="1"/>
  <c r="R27" i="56"/>
  <c r="L27" i="56"/>
  <c r="N27" i="56" s="1"/>
  <c r="J27" i="56"/>
  <c r="B27" i="56"/>
  <c r="Z26" i="56"/>
  <c r="X26" i="56"/>
  <c r="L26" i="56"/>
  <c r="N26" i="56" s="1"/>
  <c r="F26" i="56"/>
  <c r="B26" i="56"/>
  <c r="X25" i="56"/>
  <c r="Z25" i="56" s="1"/>
  <c r="N25" i="56"/>
  <c r="L25" i="56"/>
  <c r="J25" i="56"/>
  <c r="B25" i="56"/>
  <c r="Z24" i="56"/>
  <c r="X24" i="56"/>
  <c r="R24" i="56"/>
  <c r="L24" i="56"/>
  <c r="N24" i="56" s="1"/>
  <c r="J24" i="56"/>
  <c r="F24" i="56"/>
  <c r="B24" i="56"/>
  <c r="X23" i="56"/>
  <c r="Z23" i="56" s="1"/>
  <c r="N23" i="56"/>
  <c r="L23" i="56"/>
  <c r="J23" i="56"/>
  <c r="B23" i="56"/>
  <c r="X22" i="56"/>
  <c r="Z22" i="56" s="1"/>
  <c r="R22" i="56"/>
  <c r="N22" i="56"/>
  <c r="L22" i="56"/>
  <c r="J22" i="56"/>
  <c r="B22" i="56"/>
  <c r="Z21" i="56"/>
  <c r="X21" i="56"/>
  <c r="R21" i="56"/>
  <c r="N21" i="56"/>
  <c r="L21" i="56"/>
  <c r="B21" i="56"/>
  <c r="X20" i="56"/>
  <c r="Z20" i="56" s="1"/>
  <c r="R20" i="56"/>
  <c r="N20" i="56"/>
  <c r="L20" i="56"/>
  <c r="J20" i="56"/>
  <c r="B20" i="56"/>
  <c r="T19" i="56"/>
  <c r="P19" i="56"/>
  <c r="J19" i="56"/>
  <c r="H19" i="56"/>
  <c r="D19" i="56"/>
  <c r="B19" i="56"/>
  <c r="T18" i="56"/>
  <c r="R18" i="56"/>
  <c r="P18" i="56"/>
  <c r="X18" i="56" s="1"/>
  <c r="J18" i="56"/>
  <c r="H18" i="56"/>
  <c r="D18" i="56"/>
  <c r="R16" i="56"/>
  <c r="J16" i="56"/>
  <c r="T14" i="56"/>
  <c r="Z14" i="56" s="1"/>
  <c r="R14" i="56"/>
  <c r="P14" i="56"/>
  <c r="P16" i="56" s="1"/>
  <c r="J14" i="56"/>
  <c r="H14" i="56"/>
  <c r="N14" i="56" s="1"/>
  <c r="D14" i="56"/>
  <c r="T12" i="56"/>
  <c r="P12" i="56"/>
  <c r="R58" i="56" s="1"/>
  <c r="N12" i="56"/>
  <c r="L12" i="56"/>
  <c r="H12" i="56"/>
  <c r="J56" i="56" s="1"/>
  <c r="D12" i="56"/>
  <c r="F67" i="56" s="1"/>
  <c r="D6" i="56"/>
  <c r="D4" i="56"/>
  <c r="J37" i="55"/>
  <c r="V34" i="55"/>
  <c r="Z32" i="55"/>
  <c r="X32" i="55"/>
  <c r="R32" i="55"/>
  <c r="N32" i="55"/>
  <c r="L32" i="55"/>
  <c r="J32" i="55"/>
  <c r="P30" i="55"/>
  <c r="J30" i="55"/>
  <c r="X28" i="55"/>
  <c r="V28" i="55"/>
  <c r="T28" i="55"/>
  <c r="Z28" i="55" s="1"/>
  <c r="R28" i="55"/>
  <c r="P28" i="55"/>
  <c r="H28" i="55"/>
  <c r="N28" i="55" s="1"/>
  <c r="D28" i="55"/>
  <c r="L28" i="55" s="1"/>
  <c r="Z26" i="55"/>
  <c r="X26" i="55"/>
  <c r="V26" i="55"/>
  <c r="R26" i="55"/>
  <c r="L26" i="55"/>
  <c r="N26" i="55" s="1"/>
  <c r="J26" i="55"/>
  <c r="B26" i="55"/>
  <c r="X25" i="55"/>
  <c r="T25" i="55"/>
  <c r="Z25" i="55" s="1"/>
  <c r="R25" i="55"/>
  <c r="P25" i="55"/>
  <c r="N25" i="55"/>
  <c r="L25" i="55"/>
  <c r="H25" i="55"/>
  <c r="D25" i="55"/>
  <c r="B25" i="55"/>
  <c r="Z24" i="55"/>
  <c r="X24" i="55"/>
  <c r="N24" i="55"/>
  <c r="L24" i="55"/>
  <c r="B24" i="55"/>
  <c r="Z23" i="55"/>
  <c r="X23" i="55"/>
  <c r="T23" i="55"/>
  <c r="P23" i="55"/>
  <c r="H23" i="55"/>
  <c r="D23" i="55"/>
  <c r="L23" i="55" s="1"/>
  <c r="B23" i="55"/>
  <c r="X22" i="55"/>
  <c r="Z22" i="55" s="1"/>
  <c r="N22" i="55"/>
  <c r="L22" i="55"/>
  <c r="J22" i="55"/>
  <c r="B22" i="55"/>
  <c r="T21" i="55"/>
  <c r="P21" i="55"/>
  <c r="N21" i="55"/>
  <c r="L21" i="55"/>
  <c r="H21" i="55"/>
  <c r="D21" i="55"/>
  <c r="B21" i="55"/>
  <c r="X20" i="55"/>
  <c r="Z20" i="55" s="1"/>
  <c r="V20" i="55"/>
  <c r="N20" i="55"/>
  <c r="L20" i="55"/>
  <c r="J20" i="55"/>
  <c r="B20" i="55"/>
  <c r="Z19" i="55"/>
  <c r="X19" i="55"/>
  <c r="T19" i="55"/>
  <c r="P19" i="55"/>
  <c r="J19" i="55"/>
  <c r="H19" i="55"/>
  <c r="N19" i="55" s="1"/>
  <c r="D19" i="55"/>
  <c r="L19" i="55" s="1"/>
  <c r="B19" i="55"/>
  <c r="T18" i="55"/>
  <c r="R18" i="55"/>
  <c r="P18" i="55"/>
  <c r="J18" i="55"/>
  <c r="H18" i="55"/>
  <c r="D18" i="55"/>
  <c r="L18" i="55" s="1"/>
  <c r="P16" i="55"/>
  <c r="J16" i="55"/>
  <c r="T14" i="55"/>
  <c r="R14" i="55"/>
  <c r="P14" i="55"/>
  <c r="J14" i="55"/>
  <c r="H14" i="55"/>
  <c r="N14" i="55" s="1"/>
  <c r="D14" i="55"/>
  <c r="L14" i="55" s="1"/>
  <c r="Z12" i="55"/>
  <c r="T12" i="55"/>
  <c r="V22" i="55" s="1"/>
  <c r="P12" i="55"/>
  <c r="R22" i="55" s="1"/>
  <c r="N12" i="55"/>
  <c r="H12" i="55"/>
  <c r="D12" i="55"/>
  <c r="D6" i="55"/>
  <c r="D4" i="55"/>
  <c r="X29" i="54"/>
  <c r="Z29" i="54" s="1"/>
  <c r="T29" i="54"/>
  <c r="R29" i="54"/>
  <c r="P29" i="54"/>
  <c r="H29" i="54"/>
  <c r="F29" i="54"/>
  <c r="D29" i="54"/>
  <c r="T28" i="54"/>
  <c r="Z28" i="54" s="1"/>
  <c r="P28" i="54"/>
  <c r="X28" i="54" s="1"/>
  <c r="H28" i="54"/>
  <c r="D28" i="54"/>
  <c r="L28" i="54" s="1"/>
  <c r="N28" i="54" s="1"/>
  <c r="R26" i="54"/>
  <c r="F26" i="54"/>
  <c r="Z24" i="54"/>
  <c r="X24" i="54"/>
  <c r="R24" i="54"/>
  <c r="N24" i="54"/>
  <c r="L24" i="54"/>
  <c r="J24" i="54"/>
  <c r="J22" i="54"/>
  <c r="Z20" i="54"/>
  <c r="X20" i="54"/>
  <c r="T20" i="54"/>
  <c r="R20" i="54"/>
  <c r="P20" i="54"/>
  <c r="H20" i="54"/>
  <c r="F20" i="54"/>
  <c r="D20" i="54"/>
  <c r="T18" i="54"/>
  <c r="Z18" i="54" s="1"/>
  <c r="P18" i="54"/>
  <c r="X18" i="54" s="1"/>
  <c r="N18" i="54"/>
  <c r="J18" i="54"/>
  <c r="H18" i="54"/>
  <c r="D18" i="54"/>
  <c r="L18" i="54" s="1"/>
  <c r="R16" i="54"/>
  <c r="H16" i="54"/>
  <c r="F16" i="54"/>
  <c r="T14" i="54"/>
  <c r="Z14" i="54" s="1"/>
  <c r="R14" i="54"/>
  <c r="P14" i="54"/>
  <c r="N14" i="54"/>
  <c r="J14" i="54"/>
  <c r="H14" i="54"/>
  <c r="D14" i="54"/>
  <c r="L14" i="54" s="1"/>
  <c r="X12" i="54"/>
  <c r="T12" i="54"/>
  <c r="V29" i="54" s="1"/>
  <c r="P12" i="54"/>
  <c r="R31" i="54" s="1"/>
  <c r="N12" i="54"/>
  <c r="H12" i="54"/>
  <c r="J31" i="54" s="1"/>
  <c r="D12" i="54"/>
  <c r="F24" i="54" s="1"/>
  <c r="D6" i="54"/>
  <c r="D4" i="54"/>
  <c r="B39" i="53"/>
  <c r="B38" i="53"/>
  <c r="T34" i="53"/>
  <c r="Z34" i="53" s="1"/>
  <c r="P34" i="53"/>
  <c r="H34" i="53"/>
  <c r="D34" i="53"/>
  <c r="T33" i="53"/>
  <c r="Z33" i="53" s="1"/>
  <c r="P33" i="53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H13" i="53"/>
  <c r="N13" i="53" s="1"/>
  <c r="D13" i="53"/>
  <c r="B13" i="53"/>
  <c r="T12" i="53"/>
  <c r="P12" i="53"/>
  <c r="R20" i="53" s="1"/>
  <c r="H12" i="53"/>
  <c r="J18" i="53" s="1"/>
  <c r="D12" i="53"/>
  <c r="F24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D20" i="52"/>
  <c r="T16" i="52"/>
  <c r="Z16" i="52" s="1"/>
  <c r="P16" i="52"/>
  <c r="H16" i="52"/>
  <c r="D16" i="52"/>
  <c r="B16" i="52"/>
  <c r="T15" i="52"/>
  <c r="Z15" i="52" s="1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15" i="52" s="1"/>
  <c r="P12" i="52"/>
  <c r="R36" i="52" s="1"/>
  <c r="H12" i="52"/>
  <c r="J21" i="52" s="1"/>
  <c r="D12" i="52"/>
  <c r="D5" i="52"/>
  <c r="D4" i="52"/>
  <c r="X97" i="51"/>
  <c r="Z97" i="51" s="1"/>
  <c r="L97" i="51"/>
  <c r="N97" i="51" s="1"/>
  <c r="X93" i="51"/>
  <c r="Z93" i="51" s="1"/>
  <c r="T93" i="51"/>
  <c r="P93" i="51"/>
  <c r="H93" i="51"/>
  <c r="D93" i="51"/>
  <c r="B93" i="51"/>
  <c r="Z92" i="51"/>
  <c r="T92" i="51"/>
  <c r="P92" i="51"/>
  <c r="X92" i="51" s="1"/>
  <c r="L92" i="51"/>
  <c r="H92" i="51"/>
  <c r="N92" i="51" s="1"/>
  <c r="D92" i="51"/>
  <c r="B92" i="51"/>
  <c r="T91" i="51"/>
  <c r="P91" i="51"/>
  <c r="X91" i="51" s="1"/>
  <c r="Z91" i="51" s="1"/>
  <c r="L91" i="51"/>
  <c r="H91" i="51"/>
  <c r="N91" i="51" s="1"/>
  <c r="D91" i="51"/>
  <c r="B91" i="51"/>
  <c r="T90" i="51"/>
  <c r="D90" i="51"/>
  <c r="X88" i="51"/>
  <c r="Z88" i="51" s="1"/>
  <c r="N88" i="51"/>
  <c r="L88" i="51"/>
  <c r="B88" i="51"/>
  <c r="T87" i="51"/>
  <c r="P87" i="51"/>
  <c r="X87" i="51" s="1"/>
  <c r="N87" i="51"/>
  <c r="H87" i="51"/>
  <c r="D87" i="51"/>
  <c r="L87" i="51" s="1"/>
  <c r="B87" i="51"/>
  <c r="Z86" i="51"/>
  <c r="X86" i="51"/>
  <c r="N86" i="51"/>
  <c r="L86" i="51"/>
  <c r="B86" i="51"/>
  <c r="T85" i="51"/>
  <c r="P85" i="51"/>
  <c r="X85" i="51" s="1"/>
  <c r="Z85" i="51" s="1"/>
  <c r="L85" i="51"/>
  <c r="H85" i="51"/>
  <c r="N85" i="51" s="1"/>
  <c r="D85" i="51"/>
  <c r="B85" i="51"/>
  <c r="Z84" i="51"/>
  <c r="X84" i="51"/>
  <c r="N84" i="51"/>
  <c r="L84" i="51"/>
  <c r="B84" i="51"/>
  <c r="X83" i="51"/>
  <c r="Z83" i="51" s="1"/>
  <c r="L83" i="51"/>
  <c r="N83" i="51" s="1"/>
  <c r="B83" i="51"/>
  <c r="Z82" i="51"/>
  <c r="X82" i="51"/>
  <c r="N82" i="51"/>
  <c r="L82" i="51"/>
  <c r="B82" i="51"/>
  <c r="T81" i="51"/>
  <c r="P81" i="51"/>
  <c r="X81" i="51" s="1"/>
  <c r="Z81" i="51" s="1"/>
  <c r="L81" i="51"/>
  <c r="N81" i="51" s="1"/>
  <c r="H81" i="51"/>
  <c r="D81" i="51"/>
  <c r="B81" i="51"/>
  <c r="Z80" i="51"/>
  <c r="X80" i="51"/>
  <c r="L80" i="51"/>
  <c r="N80" i="51" s="1"/>
  <c r="B80" i="51"/>
  <c r="X79" i="51"/>
  <c r="Z79" i="51" s="1"/>
  <c r="T79" i="51"/>
  <c r="P79" i="51"/>
  <c r="H79" i="51"/>
  <c r="D79" i="51"/>
  <c r="B79" i="51"/>
  <c r="Z78" i="51"/>
  <c r="X78" i="51"/>
  <c r="N78" i="51"/>
  <c r="L78" i="51"/>
  <c r="B78" i="51"/>
  <c r="T77" i="51"/>
  <c r="P77" i="51"/>
  <c r="H77" i="51"/>
  <c r="N77" i="51" s="1"/>
  <c r="D77" i="51"/>
  <c r="L77" i="51" s="1"/>
  <c r="B77" i="51"/>
  <c r="X76" i="51"/>
  <c r="Z76" i="51" s="1"/>
  <c r="N76" i="51"/>
  <c r="L76" i="51"/>
  <c r="B76" i="51"/>
  <c r="X75" i="51"/>
  <c r="Z75" i="51" s="1"/>
  <c r="L75" i="51"/>
  <c r="N75" i="51" s="1"/>
  <c r="B75" i="51"/>
  <c r="T74" i="51"/>
  <c r="P74" i="51"/>
  <c r="X74" i="51" s="1"/>
  <c r="Z74" i="51" s="1"/>
  <c r="L74" i="51"/>
  <c r="H74" i="51"/>
  <c r="N74" i="51" s="1"/>
  <c r="D74" i="51"/>
  <c r="B74" i="51"/>
  <c r="Z73" i="51"/>
  <c r="X73" i="51"/>
  <c r="N73" i="51"/>
  <c r="L73" i="51"/>
  <c r="B73" i="51"/>
  <c r="X72" i="51"/>
  <c r="T72" i="51"/>
  <c r="Z72" i="51" s="1"/>
  <c r="P72" i="51"/>
  <c r="N72" i="51"/>
  <c r="L72" i="51"/>
  <c r="H72" i="51"/>
  <c r="D72" i="51"/>
  <c r="B72" i="51"/>
  <c r="X71" i="51"/>
  <c r="Z71" i="51" s="1"/>
  <c r="L71" i="51"/>
  <c r="N71" i="51" s="1"/>
  <c r="B71" i="51"/>
  <c r="Z70" i="51"/>
  <c r="X70" i="51"/>
  <c r="T70" i="51"/>
  <c r="P70" i="51"/>
  <c r="H70" i="51"/>
  <c r="N70" i="51" s="1"/>
  <c r="D70" i="51"/>
  <c r="L70" i="51" s="1"/>
  <c r="B70" i="51"/>
  <c r="X69" i="51"/>
  <c r="Z69" i="51" s="1"/>
  <c r="N69" i="51"/>
  <c r="L69" i="51"/>
  <c r="B69" i="51"/>
  <c r="T68" i="51"/>
  <c r="P68" i="51"/>
  <c r="X68" i="51" s="1"/>
  <c r="N68" i="51"/>
  <c r="H68" i="51"/>
  <c r="D68" i="51"/>
  <c r="L68" i="51" s="1"/>
  <c r="B68" i="51"/>
  <c r="Z67" i="51"/>
  <c r="X67" i="51"/>
  <c r="N67" i="51"/>
  <c r="L67" i="51"/>
  <c r="B67" i="51"/>
  <c r="Z66" i="51"/>
  <c r="X66" i="51"/>
  <c r="N66" i="51"/>
  <c r="L66" i="51"/>
  <c r="B66" i="51"/>
  <c r="Z65" i="51"/>
  <c r="X65" i="51"/>
  <c r="N65" i="51"/>
  <c r="L65" i="51"/>
  <c r="B65" i="51"/>
  <c r="Z64" i="51"/>
  <c r="X64" i="51"/>
  <c r="L64" i="51"/>
  <c r="N64" i="51" s="1"/>
  <c r="B64" i="51"/>
  <c r="X63" i="51"/>
  <c r="Z63" i="51" s="1"/>
  <c r="L63" i="51"/>
  <c r="N63" i="51" s="1"/>
  <c r="B63" i="51"/>
  <c r="Z62" i="51"/>
  <c r="X62" i="51"/>
  <c r="T62" i="51"/>
  <c r="P62" i="51"/>
  <c r="H62" i="51"/>
  <c r="N62" i="51" s="1"/>
  <c r="D62" i="51"/>
  <c r="L62" i="51" s="1"/>
  <c r="B62" i="51"/>
  <c r="X61" i="51"/>
  <c r="Z61" i="51" s="1"/>
  <c r="N61" i="51"/>
  <c r="L61" i="51"/>
  <c r="B61" i="51"/>
  <c r="Z60" i="51"/>
  <c r="X60" i="51"/>
  <c r="L60" i="51"/>
  <c r="N60" i="51" s="1"/>
  <c r="B60" i="51"/>
  <c r="X59" i="51"/>
  <c r="Z59" i="51" s="1"/>
  <c r="L59" i="51"/>
  <c r="N59" i="51" s="1"/>
  <c r="B59" i="51"/>
  <c r="Z58" i="51"/>
  <c r="X58" i="51"/>
  <c r="L58" i="51"/>
  <c r="N58" i="51" s="1"/>
  <c r="B58" i="51"/>
  <c r="Z57" i="51"/>
  <c r="X57" i="51"/>
  <c r="L57" i="51"/>
  <c r="N57" i="51" s="1"/>
  <c r="B57" i="51"/>
  <c r="X56" i="51"/>
  <c r="Z56" i="51" s="1"/>
  <c r="N56" i="51"/>
  <c r="L56" i="51"/>
  <c r="B56" i="51"/>
  <c r="X55" i="51"/>
  <c r="Z55" i="51" s="1"/>
  <c r="L55" i="51"/>
  <c r="N55" i="51" s="1"/>
  <c r="B55" i="51"/>
  <c r="X54" i="51"/>
  <c r="Z54" i="51" s="1"/>
  <c r="N54" i="51"/>
  <c r="L54" i="51"/>
  <c r="B54" i="51"/>
  <c r="X53" i="51"/>
  <c r="Z53" i="51" s="1"/>
  <c r="N53" i="51"/>
  <c r="L53" i="51"/>
  <c r="B53" i="51"/>
  <c r="T52" i="51"/>
  <c r="Z52" i="51" s="1"/>
  <c r="P52" i="51"/>
  <c r="X52" i="51" s="1"/>
  <c r="H52" i="51"/>
  <c r="D52" i="51"/>
  <c r="L52" i="51" s="1"/>
  <c r="N52" i="51" s="1"/>
  <c r="B52" i="51"/>
  <c r="T51" i="51"/>
  <c r="P51" i="51"/>
  <c r="X51" i="51" s="1"/>
  <c r="H51" i="51"/>
  <c r="D51" i="51"/>
  <c r="L51" i="51" s="1"/>
  <c r="N51" i="51" s="1"/>
  <c r="X47" i="51"/>
  <c r="Z47" i="51" s="1"/>
  <c r="N47" i="51"/>
  <c r="L47" i="51"/>
  <c r="B47" i="51"/>
  <c r="Z46" i="51"/>
  <c r="X46" i="51"/>
  <c r="N46" i="51"/>
  <c r="L46" i="51"/>
  <c r="B46" i="51"/>
  <c r="X45" i="51"/>
  <c r="Z45" i="51" s="1"/>
  <c r="N45" i="51"/>
  <c r="L45" i="51"/>
  <c r="B45" i="51"/>
  <c r="Z44" i="51"/>
  <c r="X44" i="51"/>
  <c r="N44" i="51"/>
  <c r="L44" i="51"/>
  <c r="B44" i="51"/>
  <c r="X43" i="51"/>
  <c r="Z43" i="51" s="1"/>
  <c r="L43" i="51"/>
  <c r="N43" i="51" s="1"/>
  <c r="B43" i="51"/>
  <c r="Z42" i="51"/>
  <c r="X42" i="51"/>
  <c r="N42" i="51"/>
  <c r="L42" i="51"/>
  <c r="B42" i="51"/>
  <c r="Z41" i="51"/>
  <c r="X41" i="51"/>
  <c r="L41" i="51"/>
  <c r="N41" i="51" s="1"/>
  <c r="B41" i="51"/>
  <c r="X40" i="51"/>
  <c r="Z40" i="51" s="1"/>
  <c r="N40" i="51"/>
  <c r="L40" i="51"/>
  <c r="B40" i="51"/>
  <c r="X39" i="51"/>
  <c r="Z39" i="51" s="1"/>
  <c r="L39" i="51"/>
  <c r="N39" i="51" s="1"/>
  <c r="B39" i="51"/>
  <c r="Z38" i="51"/>
  <c r="X38" i="51"/>
  <c r="N38" i="51"/>
  <c r="L38" i="51"/>
  <c r="B38" i="51"/>
  <c r="X37" i="51"/>
  <c r="Z37" i="51" s="1"/>
  <c r="N37" i="51"/>
  <c r="L37" i="51"/>
  <c r="B37" i="51"/>
  <c r="Z36" i="51"/>
  <c r="X36" i="51"/>
  <c r="N36" i="51"/>
  <c r="L36" i="51"/>
  <c r="B36" i="51"/>
  <c r="X35" i="51"/>
  <c r="T35" i="51"/>
  <c r="P35" i="51"/>
  <c r="H35" i="51"/>
  <c r="D35" i="51"/>
  <c r="Z33" i="51"/>
  <c r="T33" i="51"/>
  <c r="P33" i="51"/>
  <c r="X33" i="51" s="1"/>
  <c r="L33" i="51"/>
  <c r="H33" i="51"/>
  <c r="N33" i="51" s="1"/>
  <c r="D33" i="51"/>
  <c r="B33" i="51"/>
  <c r="T32" i="51"/>
  <c r="P32" i="51"/>
  <c r="N32" i="51"/>
  <c r="L32" i="51"/>
  <c r="H32" i="51"/>
  <c r="D32" i="51"/>
  <c r="B32" i="51"/>
  <c r="Z31" i="51"/>
  <c r="T31" i="51"/>
  <c r="P31" i="51"/>
  <c r="X31" i="51" s="1"/>
  <c r="N31" i="51"/>
  <c r="H31" i="51"/>
  <c r="D31" i="51"/>
  <c r="L31" i="51" s="1"/>
  <c r="B31" i="51"/>
  <c r="T30" i="51"/>
  <c r="P30" i="51"/>
  <c r="H30" i="51"/>
  <c r="D30" i="51"/>
  <c r="L30" i="51" s="1"/>
  <c r="B30" i="51"/>
  <c r="X29" i="51"/>
  <c r="T29" i="51"/>
  <c r="Z29" i="51" s="1"/>
  <c r="P29" i="51"/>
  <c r="H29" i="51"/>
  <c r="N29" i="51" s="1"/>
  <c r="D29" i="51"/>
  <c r="L29" i="51" s="1"/>
  <c r="B29" i="51"/>
  <c r="Z28" i="51"/>
  <c r="X28" i="51"/>
  <c r="T28" i="51"/>
  <c r="P28" i="51"/>
  <c r="H28" i="51"/>
  <c r="D28" i="51"/>
  <c r="B28" i="51"/>
  <c r="T27" i="51"/>
  <c r="P27" i="51"/>
  <c r="X27" i="51" s="1"/>
  <c r="Z27" i="51" s="1"/>
  <c r="H27" i="51"/>
  <c r="D27" i="51"/>
  <c r="L27" i="51" s="1"/>
  <c r="N27" i="51" s="1"/>
  <c r="B27" i="51"/>
  <c r="T26" i="51"/>
  <c r="P26" i="51"/>
  <c r="X26" i="51" s="1"/>
  <c r="H26" i="51"/>
  <c r="N26" i="51" s="1"/>
  <c r="D26" i="51"/>
  <c r="B26" i="51"/>
  <c r="T25" i="51"/>
  <c r="Z25" i="51" s="1"/>
  <c r="P25" i="51"/>
  <c r="X25" i="51" s="1"/>
  <c r="L25" i="51"/>
  <c r="H25" i="51"/>
  <c r="N25" i="51" s="1"/>
  <c r="D25" i="51"/>
  <c r="B25" i="51"/>
  <c r="T24" i="51"/>
  <c r="P24" i="51"/>
  <c r="N24" i="51"/>
  <c r="L24" i="51"/>
  <c r="H24" i="51"/>
  <c r="D24" i="51"/>
  <c r="B24" i="51"/>
  <c r="T23" i="51"/>
  <c r="P23" i="51"/>
  <c r="X23" i="51" s="1"/>
  <c r="Z23" i="51" s="1"/>
  <c r="H23" i="51"/>
  <c r="D23" i="51"/>
  <c r="L23" i="51" s="1"/>
  <c r="N23" i="51" s="1"/>
  <c r="B23" i="51"/>
  <c r="T22" i="51"/>
  <c r="P22" i="51"/>
  <c r="H22" i="51"/>
  <c r="N22" i="51" s="1"/>
  <c r="D22" i="51"/>
  <c r="L22" i="51" s="1"/>
  <c r="B22" i="51"/>
  <c r="X21" i="51"/>
  <c r="T21" i="51"/>
  <c r="P21" i="51"/>
  <c r="H21" i="51"/>
  <c r="N21" i="51" s="1"/>
  <c r="D21" i="51"/>
  <c r="L21" i="51" s="1"/>
  <c r="B21" i="51"/>
  <c r="Z20" i="51"/>
  <c r="X20" i="51"/>
  <c r="T20" i="51"/>
  <c r="P20" i="51"/>
  <c r="H20" i="51"/>
  <c r="D20" i="51"/>
  <c r="B20" i="51"/>
  <c r="Z19" i="51"/>
  <c r="T19" i="51"/>
  <c r="P19" i="51"/>
  <c r="X19" i="51" s="1"/>
  <c r="N19" i="51"/>
  <c r="H19" i="51"/>
  <c r="D19" i="51"/>
  <c r="L19" i="51" s="1"/>
  <c r="B19" i="51"/>
  <c r="T18" i="51"/>
  <c r="P18" i="51"/>
  <c r="X18" i="51" s="1"/>
  <c r="H18" i="51"/>
  <c r="D18" i="51"/>
  <c r="B18" i="51"/>
  <c r="T17" i="51"/>
  <c r="P17" i="51"/>
  <c r="X17" i="51" s="1"/>
  <c r="L17" i="51"/>
  <c r="H17" i="51"/>
  <c r="D17" i="51"/>
  <c r="B17" i="51"/>
  <c r="T16" i="51"/>
  <c r="P16" i="51"/>
  <c r="L16" i="51"/>
  <c r="N16" i="51" s="1"/>
  <c r="H16" i="51"/>
  <c r="D16" i="51"/>
  <c r="B16" i="51"/>
  <c r="T15" i="51"/>
  <c r="P15" i="51"/>
  <c r="X15" i="51" s="1"/>
  <c r="Z15" i="51" s="1"/>
  <c r="H15" i="51"/>
  <c r="D15" i="51"/>
  <c r="L15" i="51" s="1"/>
  <c r="N15" i="51" s="1"/>
  <c r="B15" i="51"/>
  <c r="T14" i="51"/>
  <c r="P14" i="51"/>
  <c r="H14" i="51"/>
  <c r="N14" i="51" s="1"/>
  <c r="D14" i="51"/>
  <c r="L14" i="51" s="1"/>
  <c r="B14" i="51"/>
  <c r="T13" i="51"/>
  <c r="P13" i="51"/>
  <c r="H13" i="51"/>
  <c r="D13" i="51"/>
  <c r="L13" i="51" s="1"/>
  <c r="B13" i="51"/>
  <c r="D4" i="51"/>
  <c r="B39" i="50"/>
  <c r="B38" i="50"/>
  <c r="T34" i="50"/>
  <c r="Z34" i="50" s="1"/>
  <c r="P34" i="50"/>
  <c r="H34" i="50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N24" i="50" s="1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D21" i="50"/>
  <c r="B21" i="50"/>
  <c r="T20" i="50"/>
  <c r="Z20" i="50" s="1"/>
  <c r="P20" i="50"/>
  <c r="H20" i="50"/>
  <c r="N20" i="50" s="1"/>
  <c r="D20" i="50"/>
  <c r="T16" i="50"/>
  <c r="Z16" i="50" s="1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4" i="50" s="1"/>
  <c r="P12" i="50"/>
  <c r="H12" i="50"/>
  <c r="J24" i="50" s="1"/>
  <c r="D12" i="50"/>
  <c r="F24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D13" i="49"/>
  <c r="B13" i="49"/>
  <c r="T12" i="49"/>
  <c r="V34" i="49" s="1"/>
  <c r="P12" i="49"/>
  <c r="R33" i="49" s="1"/>
  <c r="H12" i="49"/>
  <c r="J18" i="49" s="1"/>
  <c r="D12" i="49"/>
  <c r="F15" i="49" s="1"/>
  <c r="D5" i="49"/>
  <c r="D4" i="49"/>
  <c r="X64" i="48"/>
  <c r="Z64" i="48" s="1"/>
  <c r="L64" i="48"/>
  <c r="N64" i="48" s="1"/>
  <c r="X60" i="48"/>
  <c r="Z60" i="48" s="1"/>
  <c r="T60" i="48"/>
  <c r="P60" i="48"/>
  <c r="L60" i="48"/>
  <c r="H60" i="48"/>
  <c r="D60" i="48"/>
  <c r="B60" i="48"/>
  <c r="Z59" i="48"/>
  <c r="T59" i="48"/>
  <c r="P59" i="48"/>
  <c r="X59" i="48" s="1"/>
  <c r="D59" i="48"/>
  <c r="Z57" i="48"/>
  <c r="X57" i="48"/>
  <c r="N57" i="48"/>
  <c r="L57" i="48"/>
  <c r="B57" i="48"/>
  <c r="Z56" i="48"/>
  <c r="T56" i="48"/>
  <c r="P56" i="48"/>
  <c r="X56" i="48" s="1"/>
  <c r="N56" i="48"/>
  <c r="H56" i="48"/>
  <c r="D56" i="48"/>
  <c r="L56" i="48" s="1"/>
  <c r="B56" i="48"/>
  <c r="Z55" i="48"/>
  <c r="X55" i="48"/>
  <c r="L55" i="48"/>
  <c r="N55" i="48" s="1"/>
  <c r="B55" i="48"/>
  <c r="X54" i="48"/>
  <c r="Z54" i="48" s="1"/>
  <c r="T54" i="48"/>
  <c r="P54" i="48"/>
  <c r="L54" i="48"/>
  <c r="N54" i="48" s="1"/>
  <c r="H54" i="48"/>
  <c r="D54" i="48"/>
  <c r="B54" i="48"/>
  <c r="Z53" i="48"/>
  <c r="X53" i="48"/>
  <c r="N53" i="48"/>
  <c r="L53" i="48"/>
  <c r="B53" i="48"/>
  <c r="X52" i="48"/>
  <c r="Z52" i="48" s="1"/>
  <c r="N52" i="48"/>
  <c r="L52" i="48"/>
  <c r="B52" i="48"/>
  <c r="T51" i="48"/>
  <c r="P51" i="48"/>
  <c r="N51" i="48"/>
  <c r="H51" i="48"/>
  <c r="D51" i="48"/>
  <c r="L51" i="48" s="1"/>
  <c r="B51" i="48"/>
  <c r="X50" i="48"/>
  <c r="Z50" i="48" s="1"/>
  <c r="N50" i="48"/>
  <c r="L50" i="48"/>
  <c r="B50" i="48"/>
  <c r="X49" i="48"/>
  <c r="Z49" i="48" s="1"/>
  <c r="N49" i="48"/>
  <c r="L49" i="48"/>
  <c r="B49" i="48"/>
  <c r="T48" i="48"/>
  <c r="P48" i="48"/>
  <c r="H48" i="48"/>
  <c r="N48" i="48" s="1"/>
  <c r="D48" i="48"/>
  <c r="L48" i="48" s="1"/>
  <c r="B48" i="48"/>
  <c r="X47" i="48"/>
  <c r="Z47" i="48" s="1"/>
  <c r="N47" i="48"/>
  <c r="L47" i="48"/>
  <c r="B47" i="48"/>
  <c r="T46" i="48"/>
  <c r="Z46" i="48" s="1"/>
  <c r="P46" i="48"/>
  <c r="X46" i="48" s="1"/>
  <c r="H46" i="48"/>
  <c r="D46" i="48"/>
  <c r="B46" i="48"/>
  <c r="X45" i="48"/>
  <c r="Z45" i="48" s="1"/>
  <c r="L45" i="48"/>
  <c r="N45" i="48" s="1"/>
  <c r="B45" i="48"/>
  <c r="T44" i="48"/>
  <c r="P44" i="48"/>
  <c r="L44" i="48"/>
  <c r="H44" i="48"/>
  <c r="D44" i="48"/>
  <c r="B44" i="48"/>
  <c r="Z43" i="48"/>
  <c r="X43" i="48"/>
  <c r="N43" i="48"/>
  <c r="L43" i="48"/>
  <c r="B43" i="48"/>
  <c r="X42" i="48"/>
  <c r="Z42" i="48" s="1"/>
  <c r="N42" i="48"/>
  <c r="L42" i="48"/>
  <c r="B42" i="48"/>
  <c r="X41" i="48"/>
  <c r="T41" i="48"/>
  <c r="Z41" i="48" s="1"/>
  <c r="P41" i="48"/>
  <c r="H41" i="48"/>
  <c r="N41" i="48" s="1"/>
  <c r="D41" i="48"/>
  <c r="L41" i="48" s="1"/>
  <c r="B41" i="48"/>
  <c r="X40" i="48"/>
  <c r="Z40" i="48" s="1"/>
  <c r="N40" i="48"/>
  <c r="L40" i="48"/>
  <c r="B40" i="48"/>
  <c r="T39" i="48"/>
  <c r="Z39" i="48" s="1"/>
  <c r="P39" i="48"/>
  <c r="X39" i="48" s="1"/>
  <c r="H39" i="48"/>
  <c r="D39" i="48"/>
  <c r="L39" i="48" s="1"/>
  <c r="B39" i="48"/>
  <c r="Z38" i="48"/>
  <c r="X38" i="48"/>
  <c r="N38" i="48"/>
  <c r="L38" i="48"/>
  <c r="B38" i="48"/>
  <c r="T37" i="48"/>
  <c r="Z37" i="48" s="1"/>
  <c r="P37" i="48"/>
  <c r="X37" i="48" s="1"/>
  <c r="L37" i="48"/>
  <c r="H37" i="48"/>
  <c r="N37" i="48" s="1"/>
  <c r="D37" i="48"/>
  <c r="B37" i="48"/>
  <c r="Z36" i="48"/>
  <c r="X36" i="48"/>
  <c r="L36" i="48"/>
  <c r="N36" i="48" s="1"/>
  <c r="B36" i="48"/>
  <c r="X35" i="48"/>
  <c r="Z35" i="48" s="1"/>
  <c r="N35" i="48"/>
  <c r="L35" i="48"/>
  <c r="B35" i="48"/>
  <c r="Z34" i="48"/>
  <c r="X34" i="48"/>
  <c r="N34" i="48"/>
  <c r="L34" i="48"/>
  <c r="J34" i="48"/>
  <c r="B34" i="48"/>
  <c r="Z33" i="48"/>
  <c r="X33" i="48"/>
  <c r="N33" i="48"/>
  <c r="L33" i="48"/>
  <c r="B33" i="48"/>
  <c r="X32" i="48"/>
  <c r="Z32" i="48" s="1"/>
  <c r="N32" i="48"/>
  <c r="L32" i="48"/>
  <c r="B32" i="48"/>
  <c r="Z31" i="48"/>
  <c r="X31" i="48"/>
  <c r="L31" i="48"/>
  <c r="N31" i="48" s="1"/>
  <c r="B31" i="48"/>
  <c r="Z30" i="48"/>
  <c r="X30" i="48"/>
  <c r="T30" i="48"/>
  <c r="P30" i="48"/>
  <c r="L30" i="48"/>
  <c r="H30" i="48"/>
  <c r="N30" i="48" s="1"/>
  <c r="D30" i="48"/>
  <c r="B30" i="48"/>
  <c r="Z29" i="48"/>
  <c r="X29" i="48"/>
  <c r="N29" i="48"/>
  <c r="L29" i="48"/>
  <c r="B29" i="48"/>
  <c r="X28" i="48"/>
  <c r="Z28" i="48" s="1"/>
  <c r="N28" i="48"/>
  <c r="L28" i="48"/>
  <c r="B28" i="48"/>
  <c r="Z27" i="48"/>
  <c r="X27" i="48"/>
  <c r="L27" i="48"/>
  <c r="N27" i="48" s="1"/>
  <c r="B27" i="48"/>
  <c r="Z26" i="48"/>
  <c r="X26" i="48"/>
  <c r="N26" i="48"/>
  <c r="L26" i="48"/>
  <c r="B26" i="48"/>
  <c r="X25" i="48"/>
  <c r="Z25" i="48" s="1"/>
  <c r="N25" i="48"/>
  <c r="L25" i="48"/>
  <c r="B25" i="48"/>
  <c r="Z24" i="48"/>
  <c r="X24" i="48"/>
  <c r="L24" i="48"/>
  <c r="N24" i="48" s="1"/>
  <c r="B24" i="48"/>
  <c r="X23" i="48"/>
  <c r="Z23" i="48" s="1"/>
  <c r="N23" i="48"/>
  <c r="L23" i="48"/>
  <c r="F23" i="48"/>
  <c r="B23" i="48"/>
  <c r="Z22" i="48"/>
  <c r="X22" i="48"/>
  <c r="N22" i="48"/>
  <c r="L22" i="48"/>
  <c r="J22" i="48"/>
  <c r="B22" i="48"/>
  <c r="Z21" i="48"/>
  <c r="X21" i="48"/>
  <c r="L21" i="48"/>
  <c r="N21" i="48" s="1"/>
  <c r="B21" i="48"/>
  <c r="X20" i="48"/>
  <c r="T20" i="48"/>
  <c r="Z20" i="48" s="1"/>
  <c r="P20" i="48"/>
  <c r="H20" i="48"/>
  <c r="D20" i="48"/>
  <c r="L20" i="48" s="1"/>
  <c r="N20" i="48" s="1"/>
  <c r="B20" i="48"/>
  <c r="X19" i="48"/>
  <c r="T19" i="48"/>
  <c r="Z19" i="48" s="1"/>
  <c r="P19" i="48"/>
  <c r="L19" i="48"/>
  <c r="H19" i="48"/>
  <c r="N19" i="48" s="1"/>
  <c r="D19" i="48"/>
  <c r="D17" i="48"/>
  <c r="X15" i="48"/>
  <c r="T15" i="48"/>
  <c r="Z15" i="48" s="1"/>
  <c r="P15" i="48"/>
  <c r="L15" i="48"/>
  <c r="H15" i="48"/>
  <c r="H17" i="48" s="1"/>
  <c r="D15" i="48"/>
  <c r="T13" i="48"/>
  <c r="P13" i="48"/>
  <c r="X13" i="48" s="1"/>
  <c r="Z13" i="48" s="1"/>
  <c r="L13" i="48"/>
  <c r="H13" i="48"/>
  <c r="N13" i="48" s="1"/>
  <c r="D13" i="48"/>
  <c r="B13" i="48"/>
  <c r="T12" i="48"/>
  <c r="V50" i="48" s="1"/>
  <c r="H12" i="48"/>
  <c r="J56" i="48" s="1"/>
  <c r="D12" i="48"/>
  <c r="F25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Z13" i="47" s="1"/>
  <c r="P13" i="47"/>
  <c r="H13" i="47"/>
  <c r="N13" i="47" s="1"/>
  <c r="D13" i="47"/>
  <c r="B13" i="47"/>
  <c r="T12" i="47"/>
  <c r="V22" i="47" s="1"/>
  <c r="P12" i="47"/>
  <c r="R33" i="47" s="1"/>
  <c r="H12" i="47"/>
  <c r="D12" i="47"/>
  <c r="F22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P15" i="46"/>
  <c r="H15" i="46"/>
  <c r="N15" i="46" s="1"/>
  <c r="D15" i="46"/>
  <c r="T13" i="46"/>
  <c r="Z13" i="46" s="1"/>
  <c r="P13" i="46"/>
  <c r="H13" i="46"/>
  <c r="N13" i="46" s="1"/>
  <c r="D13" i="46"/>
  <c r="B13" i="46"/>
  <c r="T12" i="46"/>
  <c r="V36" i="46" s="1"/>
  <c r="P12" i="46"/>
  <c r="R21" i="46" s="1"/>
  <c r="H12" i="46"/>
  <c r="J20" i="46" s="1"/>
  <c r="D12" i="46"/>
  <c r="F36" i="46" s="1"/>
  <c r="D5" i="46"/>
  <c r="D4" i="46"/>
  <c r="X92" i="45"/>
  <c r="Z92" i="45" s="1"/>
  <c r="N92" i="45"/>
  <c r="L92" i="45"/>
  <c r="T88" i="45"/>
  <c r="Z88" i="45" s="1"/>
  <c r="P88" i="45"/>
  <c r="X88" i="45" s="1"/>
  <c r="H88" i="45"/>
  <c r="N88" i="45" s="1"/>
  <c r="D88" i="45"/>
  <c r="L88" i="45" s="1"/>
  <c r="Z86" i="45"/>
  <c r="X86" i="45"/>
  <c r="N86" i="45"/>
  <c r="L86" i="45"/>
  <c r="B86" i="45"/>
  <c r="Z85" i="45"/>
  <c r="X85" i="45"/>
  <c r="N85" i="45"/>
  <c r="L85" i="45"/>
  <c r="B85" i="45"/>
  <c r="T84" i="45"/>
  <c r="Z84" i="45" s="1"/>
  <c r="P84" i="45"/>
  <c r="X84" i="45" s="1"/>
  <c r="L84" i="45"/>
  <c r="H84" i="45"/>
  <c r="N84" i="45" s="1"/>
  <c r="D84" i="45"/>
  <c r="B84" i="45"/>
  <c r="Z83" i="45"/>
  <c r="X83" i="45"/>
  <c r="N83" i="45"/>
  <c r="L83" i="45"/>
  <c r="B83" i="45"/>
  <c r="X82" i="45"/>
  <c r="T82" i="45"/>
  <c r="Z82" i="45" s="1"/>
  <c r="P82" i="45"/>
  <c r="L82" i="45"/>
  <c r="H82" i="45"/>
  <c r="N82" i="45" s="1"/>
  <c r="D82" i="45"/>
  <c r="B82" i="45"/>
  <c r="Z81" i="45"/>
  <c r="X81" i="45"/>
  <c r="N81" i="45"/>
  <c r="L81" i="45"/>
  <c r="B81" i="45"/>
  <c r="X80" i="45"/>
  <c r="T80" i="45"/>
  <c r="Z80" i="45" s="1"/>
  <c r="P80" i="45"/>
  <c r="H80" i="45"/>
  <c r="D80" i="45"/>
  <c r="L80" i="45" s="1"/>
  <c r="B80" i="45"/>
  <c r="X79" i="45"/>
  <c r="Z79" i="45" s="1"/>
  <c r="N79" i="45"/>
  <c r="L79" i="45"/>
  <c r="B79" i="45"/>
  <c r="Z78" i="45"/>
  <c r="X78" i="45"/>
  <c r="N78" i="45"/>
  <c r="L78" i="45"/>
  <c r="B78" i="45"/>
  <c r="Z77" i="45"/>
  <c r="X77" i="45"/>
  <c r="N77" i="45"/>
  <c r="L77" i="45"/>
  <c r="B77" i="45"/>
  <c r="X76" i="45"/>
  <c r="Z76" i="45" s="1"/>
  <c r="L76" i="45"/>
  <c r="N76" i="45" s="1"/>
  <c r="B76" i="45"/>
  <c r="Z75" i="45"/>
  <c r="X75" i="45"/>
  <c r="L75" i="45"/>
  <c r="N75" i="45" s="1"/>
  <c r="B75" i="45"/>
  <c r="X74" i="45"/>
  <c r="Z74" i="45" s="1"/>
  <c r="N74" i="45"/>
  <c r="L74" i="45"/>
  <c r="B74" i="45"/>
  <c r="Z73" i="45"/>
  <c r="X73" i="45"/>
  <c r="N73" i="45"/>
  <c r="L73" i="45"/>
  <c r="B73" i="45"/>
  <c r="Z72" i="45"/>
  <c r="X72" i="45"/>
  <c r="N72" i="45"/>
  <c r="L72" i="45"/>
  <c r="B72" i="45"/>
  <c r="X71" i="45"/>
  <c r="T71" i="45"/>
  <c r="Z71" i="45" s="1"/>
  <c r="P71" i="45"/>
  <c r="H71" i="45"/>
  <c r="N71" i="45" s="1"/>
  <c r="D71" i="45"/>
  <c r="L71" i="45" s="1"/>
  <c r="B71" i="45"/>
  <c r="X70" i="45"/>
  <c r="Z70" i="45" s="1"/>
  <c r="N70" i="45"/>
  <c r="L70" i="45"/>
  <c r="B70" i="45"/>
  <c r="T69" i="45"/>
  <c r="P69" i="45"/>
  <c r="X69" i="45" s="1"/>
  <c r="H69" i="45"/>
  <c r="D69" i="45"/>
  <c r="L69" i="45" s="1"/>
  <c r="N69" i="45" s="1"/>
  <c r="B69" i="45"/>
  <c r="X68" i="45"/>
  <c r="Z68" i="45" s="1"/>
  <c r="N68" i="45"/>
  <c r="L68" i="45"/>
  <c r="B68" i="45"/>
  <c r="Z67" i="45"/>
  <c r="X67" i="45"/>
  <c r="L67" i="45"/>
  <c r="N67" i="45" s="1"/>
  <c r="B67" i="45"/>
  <c r="X66" i="45"/>
  <c r="Z66" i="45" s="1"/>
  <c r="N66" i="45"/>
  <c r="L66" i="45"/>
  <c r="B66" i="45"/>
  <c r="T65" i="45"/>
  <c r="Z65" i="45" s="1"/>
  <c r="P65" i="45"/>
  <c r="X65" i="45" s="1"/>
  <c r="H65" i="45"/>
  <c r="D65" i="45"/>
  <c r="L65" i="45" s="1"/>
  <c r="N65" i="45" s="1"/>
  <c r="B65" i="45"/>
  <c r="X64" i="45"/>
  <c r="Z64" i="45" s="1"/>
  <c r="N64" i="45"/>
  <c r="L64" i="45"/>
  <c r="B64" i="45"/>
  <c r="Z63" i="45"/>
  <c r="X63" i="45"/>
  <c r="L63" i="45"/>
  <c r="N63" i="45" s="1"/>
  <c r="B63" i="45"/>
  <c r="Z62" i="45"/>
  <c r="X62" i="45"/>
  <c r="N62" i="45"/>
  <c r="L62" i="45"/>
  <c r="B62" i="45"/>
  <c r="T61" i="45"/>
  <c r="Z61" i="45" s="1"/>
  <c r="P61" i="45"/>
  <c r="X61" i="45" s="1"/>
  <c r="H61" i="45"/>
  <c r="D61" i="45"/>
  <c r="L61" i="45" s="1"/>
  <c r="N61" i="45" s="1"/>
  <c r="B61" i="45"/>
  <c r="X60" i="45"/>
  <c r="Z60" i="45" s="1"/>
  <c r="N60" i="45"/>
  <c r="L60" i="45"/>
  <c r="B60" i="45"/>
  <c r="T59" i="45"/>
  <c r="P59" i="45"/>
  <c r="X59" i="45" s="1"/>
  <c r="Z59" i="45" s="1"/>
  <c r="L59" i="45"/>
  <c r="N59" i="45" s="1"/>
  <c r="H59" i="45"/>
  <c r="D59" i="45"/>
  <c r="B59" i="45"/>
  <c r="Z58" i="45"/>
  <c r="X58" i="45"/>
  <c r="L58" i="45"/>
  <c r="N58" i="45" s="1"/>
  <c r="B58" i="45"/>
  <c r="X57" i="45"/>
  <c r="Z57" i="45" s="1"/>
  <c r="T57" i="45"/>
  <c r="P57" i="45"/>
  <c r="L57" i="45"/>
  <c r="H57" i="45"/>
  <c r="N57" i="45" s="1"/>
  <c r="D57" i="45"/>
  <c r="B57" i="45"/>
  <c r="Z56" i="45"/>
  <c r="X56" i="45"/>
  <c r="L56" i="45"/>
  <c r="N56" i="45" s="1"/>
  <c r="B56" i="45"/>
  <c r="X55" i="45"/>
  <c r="T55" i="45"/>
  <c r="Z55" i="45" s="1"/>
  <c r="P55" i="45"/>
  <c r="H55" i="45"/>
  <c r="D55" i="45"/>
  <c r="L55" i="45" s="1"/>
  <c r="B55" i="45"/>
  <c r="X54" i="45"/>
  <c r="Z54" i="45" s="1"/>
  <c r="N54" i="45"/>
  <c r="L54" i="45"/>
  <c r="B54" i="45"/>
  <c r="T53" i="45"/>
  <c r="Z53" i="45" s="1"/>
  <c r="P53" i="45"/>
  <c r="X53" i="45" s="1"/>
  <c r="H53" i="45"/>
  <c r="D53" i="45"/>
  <c r="L53" i="45" s="1"/>
  <c r="N53" i="45" s="1"/>
  <c r="B53" i="45"/>
  <c r="Z52" i="45"/>
  <c r="X52" i="45"/>
  <c r="N52" i="45"/>
  <c r="L52" i="45"/>
  <c r="B52" i="45"/>
  <c r="Z51" i="45"/>
  <c r="T51" i="45"/>
  <c r="P51" i="45"/>
  <c r="X51" i="45" s="1"/>
  <c r="N51" i="45"/>
  <c r="L51" i="45"/>
  <c r="H51" i="45"/>
  <c r="D51" i="45"/>
  <c r="B51" i="45"/>
  <c r="Z50" i="45"/>
  <c r="X50" i="45"/>
  <c r="L50" i="45"/>
  <c r="N50" i="45" s="1"/>
  <c r="B50" i="45"/>
  <c r="X49" i="45"/>
  <c r="Z49" i="45" s="1"/>
  <c r="T49" i="45"/>
  <c r="P49" i="45"/>
  <c r="L49" i="45"/>
  <c r="H49" i="45"/>
  <c r="N49" i="45" s="1"/>
  <c r="D49" i="45"/>
  <c r="B49" i="45"/>
  <c r="Z48" i="45"/>
  <c r="X48" i="45"/>
  <c r="L48" i="45"/>
  <c r="N48" i="45" s="1"/>
  <c r="B48" i="45"/>
  <c r="X47" i="45"/>
  <c r="T47" i="45"/>
  <c r="Z47" i="45" s="1"/>
  <c r="P47" i="45"/>
  <c r="H47" i="45"/>
  <c r="N47" i="45" s="1"/>
  <c r="D47" i="45"/>
  <c r="L47" i="45" s="1"/>
  <c r="B47" i="45"/>
  <c r="X46" i="45"/>
  <c r="Z46" i="45" s="1"/>
  <c r="N46" i="45"/>
  <c r="L46" i="45"/>
  <c r="B46" i="45"/>
  <c r="T45" i="45"/>
  <c r="P45" i="45"/>
  <c r="X45" i="45" s="1"/>
  <c r="H45" i="45"/>
  <c r="D45" i="45"/>
  <c r="L45" i="45" s="1"/>
  <c r="N45" i="45" s="1"/>
  <c r="B45" i="45"/>
  <c r="X44" i="45"/>
  <c r="Z44" i="45" s="1"/>
  <c r="N44" i="45"/>
  <c r="L44" i="45"/>
  <c r="B44" i="45"/>
  <c r="T43" i="45"/>
  <c r="P43" i="45"/>
  <c r="X43" i="45" s="1"/>
  <c r="Z43" i="45" s="1"/>
  <c r="N43" i="45"/>
  <c r="L43" i="45"/>
  <c r="H43" i="45"/>
  <c r="D43" i="45"/>
  <c r="B43" i="45"/>
  <c r="Z42" i="45"/>
  <c r="X42" i="45"/>
  <c r="N42" i="45"/>
  <c r="L42" i="45"/>
  <c r="B42" i="45"/>
  <c r="X41" i="45"/>
  <c r="Z41" i="45" s="1"/>
  <c r="T41" i="45"/>
  <c r="P41" i="45"/>
  <c r="L41" i="45"/>
  <c r="H41" i="45"/>
  <c r="N41" i="45" s="1"/>
  <c r="D41" i="45"/>
  <c r="B41" i="45"/>
  <c r="Z40" i="45"/>
  <c r="X40" i="45"/>
  <c r="L40" i="45"/>
  <c r="N40" i="45" s="1"/>
  <c r="B40" i="45"/>
  <c r="X39" i="45"/>
  <c r="Z39" i="45" s="1"/>
  <c r="N39" i="45"/>
  <c r="L39" i="45"/>
  <c r="B39" i="45"/>
  <c r="Z38" i="45"/>
  <c r="X38" i="45"/>
  <c r="L38" i="45"/>
  <c r="N38" i="45" s="1"/>
  <c r="B38" i="45"/>
  <c r="X37" i="45"/>
  <c r="Z37" i="45" s="1"/>
  <c r="N37" i="45"/>
  <c r="L37" i="45"/>
  <c r="B37" i="45"/>
  <c r="X36" i="45"/>
  <c r="Z36" i="45" s="1"/>
  <c r="N36" i="45"/>
  <c r="L36" i="45"/>
  <c r="B36" i="45"/>
  <c r="Z35" i="45"/>
  <c r="X35" i="45"/>
  <c r="L35" i="45"/>
  <c r="N35" i="45" s="1"/>
  <c r="B35" i="45"/>
  <c r="T34" i="45"/>
  <c r="P34" i="45"/>
  <c r="X34" i="45" s="1"/>
  <c r="Z34" i="45" s="1"/>
  <c r="L34" i="45"/>
  <c r="N34" i="45" s="1"/>
  <c r="H34" i="45"/>
  <c r="D34" i="45"/>
  <c r="B34" i="45"/>
  <c r="X33" i="45"/>
  <c r="Z33" i="45" s="1"/>
  <c r="N33" i="45"/>
  <c r="L33" i="45"/>
  <c r="B33" i="45"/>
  <c r="X32" i="45"/>
  <c r="Z32" i="45" s="1"/>
  <c r="N32" i="45"/>
  <c r="L32" i="45"/>
  <c r="B32" i="45"/>
  <c r="Z31" i="45"/>
  <c r="X31" i="45"/>
  <c r="L31" i="45"/>
  <c r="N31" i="45" s="1"/>
  <c r="B31" i="45"/>
  <c r="X30" i="45"/>
  <c r="Z30" i="45" s="1"/>
  <c r="N30" i="45"/>
  <c r="L30" i="45"/>
  <c r="B30" i="45"/>
  <c r="Z29" i="45"/>
  <c r="X29" i="45"/>
  <c r="L29" i="45"/>
  <c r="N29" i="45" s="1"/>
  <c r="B29" i="45"/>
  <c r="Z28" i="45"/>
  <c r="X28" i="45"/>
  <c r="L28" i="45"/>
  <c r="N28" i="45" s="1"/>
  <c r="B28" i="45"/>
  <c r="X27" i="45"/>
  <c r="Z27" i="45" s="1"/>
  <c r="N27" i="45"/>
  <c r="L27" i="45"/>
  <c r="B27" i="45"/>
  <c r="Z26" i="45"/>
  <c r="X26" i="45"/>
  <c r="L26" i="45"/>
  <c r="N26" i="45" s="1"/>
  <c r="B26" i="45"/>
  <c r="X25" i="45"/>
  <c r="Z25" i="45" s="1"/>
  <c r="N25" i="45"/>
  <c r="L25" i="45"/>
  <c r="B25" i="45"/>
  <c r="X24" i="45"/>
  <c r="Z24" i="45" s="1"/>
  <c r="T24" i="45"/>
  <c r="P24" i="45"/>
  <c r="H24" i="45"/>
  <c r="D24" i="45"/>
  <c r="B24" i="45"/>
  <c r="X23" i="45"/>
  <c r="T23" i="45"/>
  <c r="Z23" i="45" s="1"/>
  <c r="P23" i="45"/>
  <c r="H23" i="45"/>
  <c r="D23" i="45"/>
  <c r="L23" i="45" s="1"/>
  <c r="X19" i="45"/>
  <c r="Z19" i="45" s="1"/>
  <c r="N19" i="45"/>
  <c r="L19" i="45"/>
  <c r="B19" i="45"/>
  <c r="Z18" i="45"/>
  <c r="X18" i="45"/>
  <c r="N18" i="45"/>
  <c r="L18" i="45"/>
  <c r="B18" i="45"/>
  <c r="X17" i="45"/>
  <c r="T17" i="45"/>
  <c r="Z17" i="45" s="1"/>
  <c r="P17" i="45"/>
  <c r="L17" i="45"/>
  <c r="H17" i="45"/>
  <c r="D17" i="45"/>
  <c r="T15" i="45"/>
  <c r="P15" i="45"/>
  <c r="X15" i="45" s="1"/>
  <c r="Z15" i="45" s="1"/>
  <c r="H15" i="45"/>
  <c r="D15" i="45"/>
  <c r="B15" i="45"/>
  <c r="T14" i="45"/>
  <c r="P14" i="45"/>
  <c r="X14" i="45" s="1"/>
  <c r="L14" i="45"/>
  <c r="N14" i="45" s="1"/>
  <c r="H14" i="45"/>
  <c r="H12" i="45" s="1"/>
  <c r="D14" i="45"/>
  <c r="B14" i="45"/>
  <c r="X13" i="45"/>
  <c r="T13" i="45"/>
  <c r="Z13" i="45" s="1"/>
  <c r="P13" i="45"/>
  <c r="N13" i="45"/>
  <c r="L13" i="45"/>
  <c r="H13" i="45"/>
  <c r="D13" i="45"/>
  <c r="D12" i="45" s="1"/>
  <c r="F17" i="45" s="1"/>
  <c r="B13" i="45"/>
  <c r="P12" i="45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Z24" i="44" s="1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Z12" i="44" s="1"/>
  <c r="P12" i="44"/>
  <c r="R34" i="44" s="1"/>
  <c r="H12" i="44"/>
  <c r="D12" i="44"/>
  <c r="F18" i="44" s="1"/>
  <c r="D5" i="44"/>
  <c r="D4" i="44"/>
  <c r="B39" i="43"/>
  <c r="B38" i="43"/>
  <c r="T34" i="43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N21" i="43" s="1"/>
  <c r="D21" i="43"/>
  <c r="B21" i="43"/>
  <c r="T20" i="43"/>
  <c r="P20" i="43"/>
  <c r="H20" i="43"/>
  <c r="N20" i="43" s="1"/>
  <c r="D20" i="43"/>
  <c r="T16" i="43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1" i="43" s="1"/>
  <c r="P12" i="43"/>
  <c r="R22" i="43" s="1"/>
  <c r="H12" i="43"/>
  <c r="J15" i="43" s="1"/>
  <c r="D12" i="43"/>
  <c r="D5" i="43"/>
  <c r="D4" i="43"/>
  <c r="X104" i="42"/>
  <c r="Z104" i="42" s="1"/>
  <c r="L104" i="42"/>
  <c r="N104" i="42" s="1"/>
  <c r="T100" i="42"/>
  <c r="Z100" i="42" s="1"/>
  <c r="P100" i="42"/>
  <c r="X100" i="42" s="1"/>
  <c r="H100" i="42"/>
  <c r="D100" i="42"/>
  <c r="L100" i="42" s="1"/>
  <c r="N100" i="42" s="1"/>
  <c r="B100" i="42"/>
  <c r="T99" i="42"/>
  <c r="P99" i="42"/>
  <c r="P97" i="42" s="1"/>
  <c r="X97" i="42" s="1"/>
  <c r="H99" i="42"/>
  <c r="N99" i="42" s="1"/>
  <c r="D99" i="42"/>
  <c r="B99" i="42"/>
  <c r="Z98" i="42"/>
  <c r="X98" i="42"/>
  <c r="T98" i="42"/>
  <c r="P98" i="42"/>
  <c r="L98" i="42"/>
  <c r="H98" i="42"/>
  <c r="N98" i="42" s="1"/>
  <c r="D98" i="42"/>
  <c r="B98" i="42"/>
  <c r="T97" i="42"/>
  <c r="D97" i="42"/>
  <c r="X95" i="42"/>
  <c r="Z95" i="42" s="1"/>
  <c r="L95" i="42"/>
  <c r="N95" i="42" s="1"/>
  <c r="B95" i="42"/>
  <c r="T94" i="42"/>
  <c r="P94" i="42"/>
  <c r="X94" i="42" s="1"/>
  <c r="Z94" i="42" s="1"/>
  <c r="N94" i="42"/>
  <c r="L94" i="42"/>
  <c r="H94" i="42"/>
  <c r="D94" i="42"/>
  <c r="B94" i="42"/>
  <c r="X93" i="42"/>
  <c r="Z93" i="42" s="1"/>
  <c r="N93" i="42"/>
  <c r="L93" i="42"/>
  <c r="B93" i="42"/>
  <c r="Z92" i="42"/>
  <c r="X92" i="42"/>
  <c r="N92" i="42"/>
  <c r="L92" i="42"/>
  <c r="B92" i="42"/>
  <c r="T91" i="42"/>
  <c r="P91" i="42"/>
  <c r="H91" i="42"/>
  <c r="N91" i="42" s="1"/>
  <c r="D91" i="42"/>
  <c r="L91" i="42" s="1"/>
  <c r="B91" i="42"/>
  <c r="X90" i="42"/>
  <c r="Z90" i="42" s="1"/>
  <c r="N90" i="42"/>
  <c r="L90" i="42"/>
  <c r="B90" i="42"/>
  <c r="T89" i="42"/>
  <c r="Z89" i="42" s="1"/>
  <c r="P89" i="42"/>
  <c r="X89" i="42" s="1"/>
  <c r="H89" i="42"/>
  <c r="D89" i="42"/>
  <c r="L89" i="42" s="1"/>
  <c r="B89" i="42"/>
  <c r="Z88" i="42"/>
  <c r="X88" i="42"/>
  <c r="N88" i="42"/>
  <c r="L88" i="42"/>
  <c r="B88" i="42"/>
  <c r="T87" i="42"/>
  <c r="P87" i="42"/>
  <c r="X87" i="42" s="1"/>
  <c r="L87" i="42"/>
  <c r="H87" i="42"/>
  <c r="N87" i="42" s="1"/>
  <c r="D87" i="42"/>
  <c r="B87" i="42"/>
  <c r="Z86" i="42"/>
  <c r="X86" i="42"/>
  <c r="N86" i="42"/>
  <c r="L86" i="42"/>
  <c r="B86" i="42"/>
  <c r="Z85" i="42"/>
  <c r="X85" i="42"/>
  <c r="N85" i="42"/>
  <c r="L85" i="42"/>
  <c r="B85" i="42"/>
  <c r="Z84" i="42"/>
  <c r="X84" i="42"/>
  <c r="N84" i="42"/>
  <c r="L84" i="42"/>
  <c r="B84" i="42"/>
  <c r="Z83" i="42"/>
  <c r="X83" i="42"/>
  <c r="N83" i="42"/>
  <c r="L83" i="42"/>
  <c r="B83" i="42"/>
  <c r="Z82" i="42"/>
  <c r="X82" i="42"/>
  <c r="N82" i="42"/>
  <c r="L82" i="42"/>
  <c r="B82" i="42"/>
  <c r="X81" i="42"/>
  <c r="Z81" i="42" s="1"/>
  <c r="N81" i="42"/>
  <c r="L81" i="42"/>
  <c r="B81" i="42"/>
  <c r="Z80" i="42"/>
  <c r="X80" i="42"/>
  <c r="N80" i="42"/>
  <c r="L80" i="42"/>
  <c r="B80" i="42"/>
  <c r="X79" i="42"/>
  <c r="Z79" i="42" s="1"/>
  <c r="N79" i="42"/>
  <c r="L79" i="42"/>
  <c r="B79" i="42"/>
  <c r="Z78" i="42"/>
  <c r="X78" i="42"/>
  <c r="N78" i="42"/>
  <c r="L78" i="42"/>
  <c r="B78" i="42"/>
  <c r="X77" i="42"/>
  <c r="T77" i="42"/>
  <c r="Z77" i="42" s="1"/>
  <c r="P77" i="42"/>
  <c r="H77" i="42"/>
  <c r="D77" i="42"/>
  <c r="B77" i="42"/>
  <c r="Z76" i="42"/>
  <c r="X76" i="42"/>
  <c r="N76" i="42"/>
  <c r="L76" i="42"/>
  <c r="B76" i="42"/>
  <c r="T75" i="42"/>
  <c r="Z75" i="42" s="1"/>
  <c r="P75" i="42"/>
  <c r="X75" i="42" s="1"/>
  <c r="H75" i="42"/>
  <c r="N75" i="42" s="1"/>
  <c r="D75" i="42"/>
  <c r="L75" i="42" s="1"/>
  <c r="B75" i="42"/>
  <c r="Z74" i="42"/>
  <c r="X74" i="42"/>
  <c r="N74" i="42"/>
  <c r="L74" i="42"/>
  <c r="B74" i="42"/>
  <c r="X73" i="42"/>
  <c r="Z73" i="42" s="1"/>
  <c r="L73" i="42"/>
  <c r="N73" i="42" s="1"/>
  <c r="B73" i="42"/>
  <c r="Z72" i="42"/>
  <c r="X72" i="42"/>
  <c r="N72" i="42"/>
  <c r="L72" i="42"/>
  <c r="B72" i="42"/>
  <c r="X71" i="42"/>
  <c r="Z71" i="42" s="1"/>
  <c r="N71" i="42"/>
  <c r="L71" i="42"/>
  <c r="B71" i="42"/>
  <c r="T70" i="42"/>
  <c r="P70" i="42"/>
  <c r="X70" i="42" s="1"/>
  <c r="Z70" i="42" s="1"/>
  <c r="N70" i="42"/>
  <c r="L70" i="42"/>
  <c r="H70" i="42"/>
  <c r="D70" i="42"/>
  <c r="B70" i="42"/>
  <c r="Z69" i="42"/>
  <c r="X69" i="42"/>
  <c r="N69" i="42"/>
  <c r="L69" i="42"/>
  <c r="B69" i="42"/>
  <c r="Z68" i="42"/>
  <c r="X68" i="42"/>
  <c r="T68" i="42"/>
  <c r="P68" i="42"/>
  <c r="N68" i="42"/>
  <c r="H68" i="42"/>
  <c r="L68" i="42" s="1"/>
  <c r="D68" i="42"/>
  <c r="B68" i="42"/>
  <c r="X67" i="42"/>
  <c r="Z67" i="42" s="1"/>
  <c r="N67" i="42"/>
  <c r="L67" i="42"/>
  <c r="B67" i="42"/>
  <c r="Z66" i="42"/>
  <c r="X66" i="42"/>
  <c r="N66" i="42"/>
  <c r="L66" i="42"/>
  <c r="B66" i="42"/>
  <c r="Z65" i="42"/>
  <c r="X65" i="42"/>
  <c r="N65" i="42"/>
  <c r="L65" i="42"/>
  <c r="B65" i="42"/>
  <c r="T64" i="42"/>
  <c r="P64" i="42"/>
  <c r="X64" i="42" s="1"/>
  <c r="Z64" i="42" s="1"/>
  <c r="N64" i="42"/>
  <c r="L64" i="42"/>
  <c r="H64" i="42"/>
  <c r="D64" i="42"/>
  <c r="B64" i="42"/>
  <c r="X63" i="42"/>
  <c r="Z63" i="42" s="1"/>
  <c r="N63" i="42"/>
  <c r="L63" i="42"/>
  <c r="B63" i="42"/>
  <c r="Z62" i="42"/>
  <c r="X62" i="42"/>
  <c r="T62" i="42"/>
  <c r="P62" i="42"/>
  <c r="N62" i="42"/>
  <c r="L62" i="42"/>
  <c r="H62" i="42"/>
  <c r="D62" i="42"/>
  <c r="B62" i="42"/>
  <c r="X61" i="42"/>
  <c r="Z61" i="42" s="1"/>
  <c r="L61" i="42"/>
  <c r="N61" i="42" s="1"/>
  <c r="B61" i="42"/>
  <c r="T60" i="42"/>
  <c r="X60" i="42" s="1"/>
  <c r="Z60" i="42" s="1"/>
  <c r="P60" i="42"/>
  <c r="H60" i="42"/>
  <c r="N60" i="42" s="1"/>
  <c r="D60" i="42"/>
  <c r="L60" i="42" s="1"/>
  <c r="B60" i="42"/>
  <c r="X59" i="42"/>
  <c r="Z59" i="42" s="1"/>
  <c r="N59" i="42"/>
  <c r="L59" i="42"/>
  <c r="B59" i="42"/>
  <c r="T58" i="42"/>
  <c r="P58" i="42"/>
  <c r="X58" i="42" s="1"/>
  <c r="H58" i="42"/>
  <c r="D58" i="42"/>
  <c r="L58" i="42" s="1"/>
  <c r="N58" i="42" s="1"/>
  <c r="B58" i="42"/>
  <c r="X57" i="42"/>
  <c r="Z57" i="42" s="1"/>
  <c r="L57" i="42"/>
  <c r="N57" i="42" s="1"/>
  <c r="B57" i="42"/>
  <c r="T56" i="42"/>
  <c r="P56" i="42"/>
  <c r="X56" i="42" s="1"/>
  <c r="Z56" i="42" s="1"/>
  <c r="L56" i="42"/>
  <c r="H56" i="42"/>
  <c r="N56" i="42" s="1"/>
  <c r="D56" i="42"/>
  <c r="B56" i="42"/>
  <c r="Z55" i="42"/>
  <c r="X55" i="42"/>
  <c r="N55" i="42"/>
  <c r="L55" i="42"/>
  <c r="B55" i="42"/>
  <c r="X54" i="42"/>
  <c r="T54" i="42"/>
  <c r="Z54" i="42" s="1"/>
  <c r="P54" i="42"/>
  <c r="N54" i="42"/>
  <c r="H54" i="42"/>
  <c r="L54" i="42" s="1"/>
  <c r="D54" i="42"/>
  <c r="B54" i="42"/>
  <c r="X53" i="42"/>
  <c r="Z53" i="42" s="1"/>
  <c r="L53" i="42"/>
  <c r="N53" i="42" s="1"/>
  <c r="B53" i="42"/>
  <c r="T52" i="42"/>
  <c r="X52" i="42" s="1"/>
  <c r="Z52" i="42" s="1"/>
  <c r="P52" i="42"/>
  <c r="H52" i="42"/>
  <c r="D52" i="42"/>
  <c r="L52" i="42" s="1"/>
  <c r="B52" i="42"/>
  <c r="Z51" i="42"/>
  <c r="X51" i="42"/>
  <c r="N51" i="42"/>
  <c r="L51" i="42"/>
  <c r="B51" i="42"/>
  <c r="T50" i="42"/>
  <c r="Z50" i="42" s="1"/>
  <c r="P50" i="42"/>
  <c r="X50" i="42" s="1"/>
  <c r="N50" i="42"/>
  <c r="H50" i="42"/>
  <c r="D50" i="42"/>
  <c r="L50" i="42" s="1"/>
  <c r="B50" i="42"/>
  <c r="X49" i="42"/>
  <c r="Z49" i="42" s="1"/>
  <c r="L49" i="42"/>
  <c r="N49" i="42" s="1"/>
  <c r="B49" i="42"/>
  <c r="Z48" i="42"/>
  <c r="X48" i="42"/>
  <c r="N48" i="42"/>
  <c r="L48" i="42"/>
  <c r="B48" i="42"/>
  <c r="T47" i="42"/>
  <c r="Z47" i="42" s="1"/>
  <c r="P47" i="42"/>
  <c r="X47" i="42" s="1"/>
  <c r="H47" i="42"/>
  <c r="D47" i="42"/>
  <c r="L47" i="42" s="1"/>
  <c r="N47" i="42" s="1"/>
  <c r="B47" i="42"/>
  <c r="X46" i="42"/>
  <c r="Z46" i="42" s="1"/>
  <c r="L46" i="42"/>
  <c r="N46" i="42" s="1"/>
  <c r="B46" i="42"/>
  <c r="T45" i="42"/>
  <c r="P45" i="42"/>
  <c r="X45" i="42" s="1"/>
  <c r="Z45" i="42" s="1"/>
  <c r="H45" i="42"/>
  <c r="D45" i="42"/>
  <c r="B45" i="42"/>
  <c r="Z44" i="42"/>
  <c r="X44" i="42"/>
  <c r="N44" i="42"/>
  <c r="L44" i="42"/>
  <c r="B44" i="42"/>
  <c r="T43" i="42"/>
  <c r="P43" i="42"/>
  <c r="X43" i="42" s="1"/>
  <c r="L43" i="42"/>
  <c r="H43" i="42"/>
  <c r="N43" i="42" s="1"/>
  <c r="D43" i="42"/>
  <c r="B43" i="42"/>
  <c r="Z42" i="42"/>
  <c r="X42" i="42"/>
  <c r="L42" i="42"/>
  <c r="N42" i="42" s="1"/>
  <c r="B42" i="42"/>
  <c r="X41" i="42"/>
  <c r="T41" i="42"/>
  <c r="Z41" i="42" s="1"/>
  <c r="P41" i="42"/>
  <c r="H41" i="42"/>
  <c r="D41" i="42"/>
  <c r="B41" i="42"/>
  <c r="Z40" i="42"/>
  <c r="X40" i="42"/>
  <c r="N40" i="42"/>
  <c r="L40" i="42"/>
  <c r="B40" i="42"/>
  <c r="X39" i="42"/>
  <c r="Z39" i="42" s="1"/>
  <c r="L39" i="42"/>
  <c r="N39" i="42" s="1"/>
  <c r="B39" i="42"/>
  <c r="Z38" i="42"/>
  <c r="X38" i="42"/>
  <c r="L38" i="42"/>
  <c r="N38" i="42" s="1"/>
  <c r="B38" i="42"/>
  <c r="X37" i="42"/>
  <c r="Z37" i="42" s="1"/>
  <c r="L37" i="42"/>
  <c r="N37" i="42" s="1"/>
  <c r="B37" i="42"/>
  <c r="Z36" i="42"/>
  <c r="X36" i="42"/>
  <c r="N36" i="42"/>
  <c r="L36" i="42"/>
  <c r="B36" i="42"/>
  <c r="T35" i="42"/>
  <c r="Z35" i="42" s="1"/>
  <c r="P35" i="42"/>
  <c r="X35" i="42" s="1"/>
  <c r="L35" i="42"/>
  <c r="H35" i="42"/>
  <c r="N35" i="42" s="1"/>
  <c r="D35" i="42"/>
  <c r="B35" i="42"/>
  <c r="Z34" i="42"/>
  <c r="X34" i="42"/>
  <c r="L34" i="42"/>
  <c r="N34" i="42" s="1"/>
  <c r="B34" i="42"/>
  <c r="X33" i="42"/>
  <c r="Z33" i="42" s="1"/>
  <c r="L33" i="42"/>
  <c r="N33" i="42" s="1"/>
  <c r="B33" i="42"/>
  <c r="Z32" i="42"/>
  <c r="X32" i="42"/>
  <c r="N32" i="42"/>
  <c r="L32" i="42"/>
  <c r="B32" i="42"/>
  <c r="X31" i="42"/>
  <c r="Z31" i="42" s="1"/>
  <c r="L31" i="42"/>
  <c r="N31" i="42" s="1"/>
  <c r="B31" i="42"/>
  <c r="X30" i="42"/>
  <c r="Z30" i="42" s="1"/>
  <c r="N30" i="42"/>
  <c r="L30" i="42"/>
  <c r="B30" i="42"/>
  <c r="X29" i="42"/>
  <c r="Z29" i="42" s="1"/>
  <c r="L29" i="42"/>
  <c r="N29" i="42" s="1"/>
  <c r="B29" i="42"/>
  <c r="Z28" i="42"/>
  <c r="X28" i="42"/>
  <c r="N28" i="42"/>
  <c r="L28" i="42"/>
  <c r="B28" i="42"/>
  <c r="X27" i="42"/>
  <c r="Z27" i="42" s="1"/>
  <c r="L27" i="42"/>
  <c r="N27" i="42" s="1"/>
  <c r="B27" i="42"/>
  <c r="T26" i="42"/>
  <c r="P26" i="42"/>
  <c r="X26" i="42" s="1"/>
  <c r="Z26" i="42" s="1"/>
  <c r="H26" i="42"/>
  <c r="D26" i="42"/>
  <c r="L26" i="42" s="1"/>
  <c r="N26" i="42" s="1"/>
  <c r="B26" i="42"/>
  <c r="T25" i="42"/>
  <c r="P25" i="42"/>
  <c r="X25" i="42" s="1"/>
  <c r="H25" i="42"/>
  <c r="N25" i="42" s="1"/>
  <c r="D25" i="42"/>
  <c r="L25" i="42" s="1"/>
  <c r="X21" i="42"/>
  <c r="Z21" i="42" s="1"/>
  <c r="L21" i="42"/>
  <c r="N21" i="42" s="1"/>
  <c r="B21" i="42"/>
  <c r="Z20" i="42"/>
  <c r="X20" i="42"/>
  <c r="N20" i="42"/>
  <c r="L20" i="42"/>
  <c r="B20" i="42"/>
  <c r="T19" i="42"/>
  <c r="P19" i="42"/>
  <c r="L19" i="42"/>
  <c r="H19" i="42"/>
  <c r="N19" i="42" s="1"/>
  <c r="D19" i="42"/>
  <c r="T17" i="42"/>
  <c r="Z17" i="42" s="1"/>
  <c r="P17" i="42"/>
  <c r="X17" i="42" s="1"/>
  <c r="H17" i="42"/>
  <c r="D17" i="42"/>
  <c r="L17" i="42" s="1"/>
  <c r="N17" i="42" s="1"/>
  <c r="B17" i="42"/>
  <c r="T16" i="42"/>
  <c r="X16" i="42" s="1"/>
  <c r="P16" i="42"/>
  <c r="H16" i="42"/>
  <c r="N16" i="42" s="1"/>
  <c r="D16" i="42"/>
  <c r="L16" i="42" s="1"/>
  <c r="B16" i="42"/>
  <c r="Z15" i="42"/>
  <c r="X15" i="42"/>
  <c r="T15" i="42"/>
  <c r="P15" i="42"/>
  <c r="L15" i="42"/>
  <c r="H15" i="42"/>
  <c r="N15" i="42" s="1"/>
  <c r="D15" i="42"/>
  <c r="B15" i="42"/>
  <c r="T14" i="42"/>
  <c r="X14" i="42" s="1"/>
  <c r="Z14" i="42" s="1"/>
  <c r="P14" i="42"/>
  <c r="H14" i="42"/>
  <c r="D14" i="42"/>
  <c r="L14" i="42" s="1"/>
  <c r="N14" i="42" s="1"/>
  <c r="B14" i="42"/>
  <c r="T13" i="42"/>
  <c r="P13" i="42"/>
  <c r="X13" i="42" s="1"/>
  <c r="Z13" i="42" s="1"/>
  <c r="H13" i="42"/>
  <c r="D13" i="42"/>
  <c r="D12" i="42" s="1"/>
  <c r="B13" i="42"/>
  <c r="H12" i="42"/>
  <c r="J95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Z24" i="41" s="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P12" i="41"/>
  <c r="R21" i="41" s="1"/>
  <c r="H12" i="41"/>
  <c r="J20" i="41" s="1"/>
  <c r="D12" i="41"/>
  <c r="F24" i="41" s="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18" i="40" s="1"/>
  <c r="P12" i="40"/>
  <c r="R24" i="40" s="1"/>
  <c r="H12" i="40"/>
  <c r="J22" i="40" s="1"/>
  <c r="D12" i="40"/>
  <c r="F33" i="40" s="1"/>
  <c r="D5" i="40"/>
  <c r="D4" i="40"/>
  <c r="X113" i="39"/>
  <c r="Z113" i="39" s="1"/>
  <c r="L113" i="39"/>
  <c r="N113" i="39" s="1"/>
  <c r="T109" i="39"/>
  <c r="P109" i="39"/>
  <c r="L109" i="39"/>
  <c r="H109" i="39"/>
  <c r="N109" i="39" s="1"/>
  <c r="D109" i="39"/>
  <c r="D106" i="39" s="1"/>
  <c r="B109" i="39"/>
  <c r="T108" i="39"/>
  <c r="P108" i="39"/>
  <c r="X108" i="39" s="1"/>
  <c r="N108" i="39"/>
  <c r="H108" i="39"/>
  <c r="D108" i="39"/>
  <c r="L108" i="39" s="1"/>
  <c r="B108" i="39"/>
  <c r="T107" i="39"/>
  <c r="Z107" i="39" s="1"/>
  <c r="P107" i="39"/>
  <c r="X107" i="39" s="1"/>
  <c r="H107" i="39"/>
  <c r="N107" i="39" s="1"/>
  <c r="D107" i="39"/>
  <c r="B107" i="39"/>
  <c r="Z104" i="39"/>
  <c r="X104" i="39"/>
  <c r="N104" i="39"/>
  <c r="L104" i="39"/>
  <c r="B104" i="39"/>
  <c r="T103" i="39"/>
  <c r="P103" i="39"/>
  <c r="X103" i="39" s="1"/>
  <c r="H103" i="39"/>
  <c r="D103" i="39"/>
  <c r="L103" i="39" s="1"/>
  <c r="N103" i="39" s="1"/>
  <c r="B103" i="39"/>
  <c r="Z102" i="39"/>
  <c r="X102" i="39"/>
  <c r="N102" i="39"/>
  <c r="L102" i="39"/>
  <c r="B102" i="39"/>
  <c r="Z101" i="39"/>
  <c r="X101" i="39"/>
  <c r="N101" i="39"/>
  <c r="L101" i="39"/>
  <c r="B101" i="39"/>
  <c r="T100" i="39"/>
  <c r="P100" i="39"/>
  <c r="X100" i="39" s="1"/>
  <c r="Z100" i="39" s="1"/>
  <c r="N100" i="39"/>
  <c r="L100" i="39"/>
  <c r="H100" i="39"/>
  <c r="D100" i="39"/>
  <c r="B100" i="39"/>
  <c r="X99" i="39"/>
  <c r="Z99" i="39" s="1"/>
  <c r="L99" i="39"/>
  <c r="N99" i="39" s="1"/>
  <c r="B99" i="39"/>
  <c r="Z98" i="39"/>
  <c r="X98" i="39"/>
  <c r="T98" i="39"/>
  <c r="P98" i="39"/>
  <c r="N98" i="39"/>
  <c r="L98" i="39"/>
  <c r="H98" i="39"/>
  <c r="D98" i="39"/>
  <c r="B98" i="39"/>
  <c r="X97" i="39"/>
  <c r="Z97" i="39" s="1"/>
  <c r="L97" i="39"/>
  <c r="N97" i="39" s="1"/>
  <c r="B97" i="39"/>
  <c r="T96" i="39"/>
  <c r="X96" i="39" s="1"/>
  <c r="Z96" i="39" s="1"/>
  <c r="P96" i="39"/>
  <c r="H96" i="39"/>
  <c r="N96" i="39" s="1"/>
  <c r="D96" i="39"/>
  <c r="L96" i="39" s="1"/>
  <c r="B96" i="39"/>
  <c r="Z95" i="39"/>
  <c r="X95" i="39"/>
  <c r="N95" i="39"/>
  <c r="L95" i="39"/>
  <c r="B95" i="39"/>
  <c r="X94" i="39"/>
  <c r="Z94" i="39" s="1"/>
  <c r="N94" i="39"/>
  <c r="L94" i="39"/>
  <c r="B94" i="39"/>
  <c r="Z93" i="39"/>
  <c r="X93" i="39"/>
  <c r="N93" i="39"/>
  <c r="L93" i="39"/>
  <c r="B93" i="39"/>
  <c r="Z92" i="39"/>
  <c r="X92" i="39"/>
  <c r="N92" i="39"/>
  <c r="L92" i="39"/>
  <c r="B92" i="39"/>
  <c r="X91" i="39"/>
  <c r="Z91" i="39" s="1"/>
  <c r="N91" i="39"/>
  <c r="L91" i="39"/>
  <c r="B91" i="39"/>
  <c r="Z90" i="39"/>
  <c r="X90" i="39"/>
  <c r="N90" i="39"/>
  <c r="L90" i="39"/>
  <c r="B90" i="39"/>
  <c r="X89" i="39"/>
  <c r="Z89" i="39" s="1"/>
  <c r="L89" i="39"/>
  <c r="N89" i="39" s="1"/>
  <c r="B89" i="39"/>
  <c r="Z88" i="39"/>
  <c r="X88" i="39"/>
  <c r="N88" i="39"/>
  <c r="L88" i="39"/>
  <c r="B88" i="39"/>
  <c r="X87" i="39"/>
  <c r="Z87" i="39" s="1"/>
  <c r="N87" i="39"/>
  <c r="L87" i="39"/>
  <c r="B87" i="39"/>
  <c r="T86" i="39"/>
  <c r="P86" i="39"/>
  <c r="X86" i="39" s="1"/>
  <c r="H86" i="39"/>
  <c r="D86" i="39"/>
  <c r="L86" i="39" s="1"/>
  <c r="N86" i="39" s="1"/>
  <c r="B86" i="39"/>
  <c r="X85" i="39"/>
  <c r="Z85" i="39" s="1"/>
  <c r="N85" i="39"/>
  <c r="L85" i="39"/>
  <c r="B85" i="39"/>
  <c r="T84" i="39"/>
  <c r="P84" i="39"/>
  <c r="X84" i="39" s="1"/>
  <c r="Z84" i="39" s="1"/>
  <c r="N84" i="39"/>
  <c r="L84" i="39"/>
  <c r="H84" i="39"/>
  <c r="D84" i="39"/>
  <c r="B84" i="39"/>
  <c r="X83" i="39"/>
  <c r="Z83" i="39" s="1"/>
  <c r="N83" i="39"/>
  <c r="L83" i="39"/>
  <c r="B83" i="39"/>
  <c r="Z82" i="39"/>
  <c r="X82" i="39"/>
  <c r="L82" i="39"/>
  <c r="N82" i="39" s="1"/>
  <c r="B82" i="39"/>
  <c r="X81" i="39"/>
  <c r="Z81" i="39" s="1"/>
  <c r="L81" i="39"/>
  <c r="N81" i="39" s="1"/>
  <c r="B81" i="39"/>
  <c r="Z80" i="39"/>
  <c r="X80" i="39"/>
  <c r="N80" i="39"/>
  <c r="L80" i="39"/>
  <c r="B80" i="39"/>
  <c r="T79" i="39"/>
  <c r="Z79" i="39" s="1"/>
  <c r="P79" i="39"/>
  <c r="X79" i="39" s="1"/>
  <c r="H79" i="39"/>
  <c r="D79" i="39"/>
  <c r="L79" i="39" s="1"/>
  <c r="N79" i="39" s="1"/>
  <c r="B79" i="39"/>
  <c r="Z78" i="39"/>
  <c r="X78" i="39"/>
  <c r="N78" i="39"/>
  <c r="L78" i="39"/>
  <c r="B78" i="39"/>
  <c r="T77" i="39"/>
  <c r="P77" i="39"/>
  <c r="X77" i="39" s="1"/>
  <c r="Z77" i="39" s="1"/>
  <c r="H77" i="39"/>
  <c r="N77" i="39" s="1"/>
  <c r="D77" i="39"/>
  <c r="B77" i="39"/>
  <c r="Z76" i="39"/>
  <c r="X76" i="39"/>
  <c r="N76" i="39"/>
  <c r="L76" i="39"/>
  <c r="B76" i="39"/>
  <c r="X75" i="39"/>
  <c r="Z75" i="39" s="1"/>
  <c r="L75" i="39"/>
  <c r="N75" i="39" s="1"/>
  <c r="B75" i="39"/>
  <c r="Z74" i="39"/>
  <c r="X74" i="39"/>
  <c r="N74" i="39"/>
  <c r="L74" i="39"/>
  <c r="B74" i="39"/>
  <c r="T73" i="39"/>
  <c r="P73" i="39"/>
  <c r="X73" i="39" s="1"/>
  <c r="Z73" i="39" s="1"/>
  <c r="H73" i="39"/>
  <c r="D73" i="39"/>
  <c r="B73" i="39"/>
  <c r="Z72" i="39"/>
  <c r="X72" i="39"/>
  <c r="N72" i="39"/>
  <c r="L72" i="39"/>
  <c r="B72" i="39"/>
  <c r="T71" i="39"/>
  <c r="P71" i="39"/>
  <c r="L71" i="39"/>
  <c r="H71" i="39"/>
  <c r="N71" i="39" s="1"/>
  <c r="D71" i="39"/>
  <c r="B71" i="39"/>
  <c r="X70" i="39"/>
  <c r="Z70" i="39" s="1"/>
  <c r="N70" i="39"/>
  <c r="L70" i="39"/>
  <c r="B70" i="39"/>
  <c r="X69" i="39"/>
  <c r="T69" i="39"/>
  <c r="Z69" i="39" s="1"/>
  <c r="P69" i="39"/>
  <c r="H69" i="39"/>
  <c r="D69" i="39"/>
  <c r="L69" i="39" s="1"/>
  <c r="B69" i="39"/>
  <c r="Z68" i="39"/>
  <c r="X68" i="39"/>
  <c r="N68" i="39"/>
  <c r="L68" i="39"/>
  <c r="B68" i="39"/>
  <c r="T67" i="39"/>
  <c r="P67" i="39"/>
  <c r="X67" i="39" s="1"/>
  <c r="H67" i="39"/>
  <c r="D67" i="39"/>
  <c r="L67" i="39" s="1"/>
  <c r="N67" i="39" s="1"/>
  <c r="B67" i="39"/>
  <c r="Z66" i="39"/>
  <c r="X66" i="39"/>
  <c r="N66" i="39"/>
  <c r="L66" i="39"/>
  <c r="B66" i="39"/>
  <c r="T65" i="39"/>
  <c r="Z65" i="39" s="1"/>
  <c r="P65" i="39"/>
  <c r="X65" i="39" s="1"/>
  <c r="H65" i="39"/>
  <c r="D65" i="39"/>
  <c r="B65" i="39"/>
  <c r="Z64" i="39"/>
  <c r="X64" i="39"/>
  <c r="N64" i="39"/>
  <c r="L64" i="39"/>
  <c r="B64" i="39"/>
  <c r="X63" i="39"/>
  <c r="Z63" i="39" s="1"/>
  <c r="L63" i="39"/>
  <c r="N63" i="39" s="1"/>
  <c r="B63" i="39"/>
  <c r="T62" i="39"/>
  <c r="P62" i="39"/>
  <c r="X62" i="39" s="1"/>
  <c r="Z62" i="39" s="1"/>
  <c r="N62" i="39"/>
  <c r="L62" i="39"/>
  <c r="H62" i="39"/>
  <c r="D62" i="39"/>
  <c r="B62" i="39"/>
  <c r="X61" i="39"/>
  <c r="Z61" i="39" s="1"/>
  <c r="L61" i="39"/>
  <c r="N61" i="39" s="1"/>
  <c r="B61" i="39"/>
  <c r="Z60" i="39"/>
  <c r="X60" i="39"/>
  <c r="T60" i="39"/>
  <c r="P60" i="39"/>
  <c r="H60" i="39"/>
  <c r="L60" i="39" s="1"/>
  <c r="D60" i="39"/>
  <c r="B60" i="39"/>
  <c r="Z59" i="39"/>
  <c r="X59" i="39"/>
  <c r="N59" i="39"/>
  <c r="L59" i="39"/>
  <c r="B59" i="39"/>
  <c r="T58" i="39"/>
  <c r="X58" i="39" s="1"/>
  <c r="P58" i="39"/>
  <c r="N58" i="39"/>
  <c r="H58" i="39"/>
  <c r="D58" i="39"/>
  <c r="L58" i="39" s="1"/>
  <c r="B58" i="39"/>
  <c r="X57" i="39"/>
  <c r="Z57" i="39" s="1"/>
  <c r="L57" i="39"/>
  <c r="N57" i="39" s="1"/>
  <c r="B57" i="39"/>
  <c r="Z56" i="39"/>
  <c r="X56" i="39"/>
  <c r="N56" i="39"/>
  <c r="L56" i="39"/>
  <c r="B56" i="39"/>
  <c r="T55" i="39"/>
  <c r="P55" i="39"/>
  <c r="X55" i="39" s="1"/>
  <c r="H55" i="39"/>
  <c r="D55" i="39"/>
  <c r="L55" i="39" s="1"/>
  <c r="N55" i="39" s="1"/>
  <c r="B55" i="39"/>
  <c r="Z54" i="39"/>
  <c r="X54" i="39"/>
  <c r="L54" i="39"/>
  <c r="N54" i="39" s="1"/>
  <c r="B54" i="39"/>
  <c r="T53" i="39"/>
  <c r="P53" i="39"/>
  <c r="X53" i="39" s="1"/>
  <c r="Z53" i="39" s="1"/>
  <c r="H53" i="39"/>
  <c r="D53" i="39"/>
  <c r="B53" i="39"/>
  <c r="Z52" i="39"/>
  <c r="X52" i="39"/>
  <c r="N52" i="39"/>
  <c r="L52" i="39"/>
  <c r="B52" i="39"/>
  <c r="T51" i="39"/>
  <c r="P51" i="39"/>
  <c r="L51" i="39"/>
  <c r="H51" i="39"/>
  <c r="N51" i="39" s="1"/>
  <c r="D51" i="39"/>
  <c r="B51" i="39"/>
  <c r="X50" i="39"/>
  <c r="Z50" i="39" s="1"/>
  <c r="N50" i="39"/>
  <c r="L50" i="39"/>
  <c r="B50" i="39"/>
  <c r="X49" i="39"/>
  <c r="T49" i="39"/>
  <c r="Z49" i="39" s="1"/>
  <c r="P49" i="39"/>
  <c r="H49" i="39"/>
  <c r="D49" i="39"/>
  <c r="L49" i="39" s="1"/>
  <c r="B49" i="39"/>
  <c r="Z48" i="39"/>
  <c r="X48" i="39"/>
  <c r="N48" i="39"/>
  <c r="L48" i="39"/>
  <c r="B48" i="39"/>
  <c r="X47" i="39"/>
  <c r="Z47" i="39" s="1"/>
  <c r="L47" i="39"/>
  <c r="N47" i="39" s="1"/>
  <c r="B47" i="39"/>
  <c r="Z46" i="39"/>
  <c r="X46" i="39"/>
  <c r="N46" i="39"/>
  <c r="L46" i="39"/>
  <c r="B46" i="39"/>
  <c r="X45" i="39"/>
  <c r="Z45" i="39" s="1"/>
  <c r="L45" i="39"/>
  <c r="N45" i="39" s="1"/>
  <c r="B45" i="39"/>
  <c r="Z44" i="39"/>
  <c r="X44" i="39"/>
  <c r="N44" i="39"/>
  <c r="L44" i="39"/>
  <c r="B44" i="39"/>
  <c r="T43" i="39"/>
  <c r="P43" i="39"/>
  <c r="L43" i="39"/>
  <c r="H43" i="39"/>
  <c r="N43" i="39" s="1"/>
  <c r="D43" i="39"/>
  <c r="B43" i="39"/>
  <c r="Z42" i="39"/>
  <c r="X42" i="39"/>
  <c r="N42" i="39"/>
  <c r="L42" i="39"/>
  <c r="B42" i="39"/>
  <c r="X41" i="39"/>
  <c r="Z41" i="39" s="1"/>
  <c r="L41" i="39"/>
  <c r="N41" i="39" s="1"/>
  <c r="B41" i="39"/>
  <c r="Z40" i="39"/>
  <c r="X40" i="39"/>
  <c r="N40" i="39"/>
  <c r="L40" i="39"/>
  <c r="B40" i="39"/>
  <c r="X39" i="39"/>
  <c r="Z39" i="39" s="1"/>
  <c r="L39" i="39"/>
  <c r="N39" i="39" s="1"/>
  <c r="B39" i="39"/>
  <c r="Z38" i="39"/>
  <c r="X38" i="39"/>
  <c r="N38" i="39"/>
  <c r="L38" i="39"/>
  <c r="B38" i="39"/>
  <c r="X37" i="39"/>
  <c r="Z37" i="39" s="1"/>
  <c r="L37" i="39"/>
  <c r="N37" i="39" s="1"/>
  <c r="B37" i="39"/>
  <c r="Z36" i="39"/>
  <c r="X36" i="39"/>
  <c r="N36" i="39"/>
  <c r="L36" i="39"/>
  <c r="B36" i="39"/>
  <c r="X35" i="39"/>
  <c r="Z35" i="39" s="1"/>
  <c r="L35" i="39"/>
  <c r="N35" i="39" s="1"/>
  <c r="B35" i="39"/>
  <c r="T34" i="39"/>
  <c r="Z34" i="39" s="1"/>
  <c r="P34" i="39"/>
  <c r="X34" i="39" s="1"/>
  <c r="H34" i="39"/>
  <c r="D34" i="39"/>
  <c r="L34" i="39" s="1"/>
  <c r="N34" i="39" s="1"/>
  <c r="B34" i="39"/>
  <c r="T33" i="39"/>
  <c r="Z33" i="39" s="1"/>
  <c r="P33" i="39"/>
  <c r="X33" i="39" s="1"/>
  <c r="H33" i="39"/>
  <c r="D33" i="39"/>
  <c r="L33" i="39" s="1"/>
  <c r="X29" i="39"/>
  <c r="Z29" i="39" s="1"/>
  <c r="L29" i="39"/>
  <c r="N29" i="39" s="1"/>
  <c r="B29" i="39"/>
  <c r="Z28" i="39"/>
  <c r="X28" i="39"/>
  <c r="N28" i="39"/>
  <c r="L28" i="39"/>
  <c r="B28" i="39"/>
  <c r="T27" i="39"/>
  <c r="P27" i="39"/>
  <c r="H27" i="39"/>
  <c r="N27" i="39" s="1"/>
  <c r="D27" i="39"/>
  <c r="L27" i="39" s="1"/>
  <c r="T25" i="39"/>
  <c r="P25" i="39"/>
  <c r="X25" i="39" s="1"/>
  <c r="Z25" i="39" s="1"/>
  <c r="N25" i="39"/>
  <c r="H25" i="39"/>
  <c r="D25" i="39"/>
  <c r="L25" i="39" s="1"/>
  <c r="B25" i="39"/>
  <c r="T24" i="39"/>
  <c r="Z24" i="39" s="1"/>
  <c r="P24" i="39"/>
  <c r="X24" i="39" s="1"/>
  <c r="H24" i="39"/>
  <c r="N24" i="39" s="1"/>
  <c r="D24" i="39"/>
  <c r="L24" i="39" s="1"/>
  <c r="B24" i="39"/>
  <c r="X23" i="39"/>
  <c r="T23" i="39"/>
  <c r="Z23" i="39" s="1"/>
  <c r="P23" i="39"/>
  <c r="L23" i="39"/>
  <c r="H23" i="39"/>
  <c r="N23" i="39" s="1"/>
  <c r="D23" i="39"/>
  <c r="B23" i="39"/>
  <c r="Z22" i="39"/>
  <c r="T22" i="39"/>
  <c r="X22" i="39" s="1"/>
  <c r="P22" i="39"/>
  <c r="N22" i="39"/>
  <c r="H22" i="39"/>
  <c r="L22" i="39" s="1"/>
  <c r="D22" i="39"/>
  <c r="B22" i="39"/>
  <c r="T21" i="39"/>
  <c r="P21" i="39"/>
  <c r="X21" i="39" s="1"/>
  <c r="Z21" i="39" s="1"/>
  <c r="N21" i="39"/>
  <c r="H21" i="39"/>
  <c r="D21" i="39"/>
  <c r="L21" i="39" s="1"/>
  <c r="B21" i="39"/>
  <c r="T20" i="39"/>
  <c r="Z20" i="39" s="1"/>
  <c r="P20" i="39"/>
  <c r="X20" i="39" s="1"/>
  <c r="H20" i="39"/>
  <c r="N20" i="39" s="1"/>
  <c r="D20" i="39"/>
  <c r="L20" i="39" s="1"/>
  <c r="B20" i="39"/>
  <c r="X19" i="39"/>
  <c r="T19" i="39"/>
  <c r="Z19" i="39" s="1"/>
  <c r="P19" i="39"/>
  <c r="L19" i="39"/>
  <c r="H19" i="39"/>
  <c r="N19" i="39" s="1"/>
  <c r="D19" i="39"/>
  <c r="B19" i="39"/>
  <c r="Z18" i="39"/>
  <c r="T18" i="39"/>
  <c r="X18" i="39" s="1"/>
  <c r="P18" i="39"/>
  <c r="N18" i="39"/>
  <c r="H18" i="39"/>
  <c r="L18" i="39" s="1"/>
  <c r="D18" i="39"/>
  <c r="B18" i="39"/>
  <c r="T17" i="39"/>
  <c r="P17" i="39"/>
  <c r="X17" i="39" s="1"/>
  <c r="Z17" i="39" s="1"/>
  <c r="H17" i="39"/>
  <c r="D17" i="39"/>
  <c r="L17" i="39" s="1"/>
  <c r="N17" i="39" s="1"/>
  <c r="B17" i="39"/>
  <c r="T16" i="39"/>
  <c r="P16" i="39"/>
  <c r="X16" i="39" s="1"/>
  <c r="H16" i="39"/>
  <c r="H12" i="39" s="1"/>
  <c r="D16" i="39"/>
  <c r="L16" i="39" s="1"/>
  <c r="B16" i="39"/>
  <c r="X15" i="39"/>
  <c r="T15" i="39"/>
  <c r="Z15" i="39" s="1"/>
  <c r="P15" i="39"/>
  <c r="L15" i="39"/>
  <c r="H15" i="39"/>
  <c r="N15" i="39" s="1"/>
  <c r="D15" i="39"/>
  <c r="B15" i="39"/>
  <c r="T14" i="39"/>
  <c r="X14" i="39" s="1"/>
  <c r="Z14" i="39" s="1"/>
  <c r="P14" i="39"/>
  <c r="N14" i="39"/>
  <c r="H14" i="39"/>
  <c r="L14" i="39" s="1"/>
  <c r="D14" i="39"/>
  <c r="B14" i="39"/>
  <c r="Z13" i="39"/>
  <c r="T13" i="39"/>
  <c r="P13" i="39"/>
  <c r="P12" i="39" s="1"/>
  <c r="N13" i="39"/>
  <c r="H13" i="39"/>
  <c r="D13" i="39"/>
  <c r="L13" i="39" s="1"/>
  <c r="B13" i="39"/>
  <c r="T12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Z24" i="38" s="1"/>
  <c r="P24" i="38"/>
  <c r="H24" i="38"/>
  <c r="N24" i="38" s="1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Z13" i="38" s="1"/>
  <c r="P13" i="38"/>
  <c r="H13" i="38"/>
  <c r="N13" i="38" s="1"/>
  <c r="D13" i="38"/>
  <c r="B13" i="38"/>
  <c r="T12" i="38"/>
  <c r="P12" i="38"/>
  <c r="R24" i="38" s="1"/>
  <c r="H12" i="38"/>
  <c r="J21" i="38" s="1"/>
  <c r="D12" i="38"/>
  <c r="F16" i="38" s="1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N21" i="37" s="1"/>
  <c r="D21" i="37"/>
  <c r="B21" i="37"/>
  <c r="T20" i="37"/>
  <c r="P20" i="37"/>
  <c r="H20" i="37"/>
  <c r="N20" i="37" s="1"/>
  <c r="D20" i="37"/>
  <c r="T16" i="37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31" i="37" s="1"/>
  <c r="P12" i="37"/>
  <c r="R22" i="37" s="1"/>
  <c r="H12" i="37"/>
  <c r="J24" i="37" s="1"/>
  <c r="D12" i="37"/>
  <c r="F27" i="37" s="1"/>
  <c r="D5" i="37"/>
  <c r="D4" i="37"/>
  <c r="X112" i="36"/>
  <c r="Z112" i="36" s="1"/>
  <c r="L112" i="36"/>
  <c r="N112" i="36" s="1"/>
  <c r="T108" i="36"/>
  <c r="P108" i="36"/>
  <c r="H108" i="36"/>
  <c r="N108" i="36" s="1"/>
  <c r="D108" i="36"/>
  <c r="L108" i="36" s="1"/>
  <c r="B108" i="36"/>
  <c r="T107" i="36"/>
  <c r="P107" i="36"/>
  <c r="X107" i="36" s="1"/>
  <c r="Z107" i="36" s="1"/>
  <c r="N107" i="36"/>
  <c r="H107" i="36"/>
  <c r="D107" i="36"/>
  <c r="L107" i="36" s="1"/>
  <c r="B107" i="36"/>
  <c r="X106" i="36"/>
  <c r="T106" i="36"/>
  <c r="Z106" i="36" s="1"/>
  <c r="P106" i="36"/>
  <c r="P105" i="36" s="1"/>
  <c r="H106" i="36"/>
  <c r="D106" i="36"/>
  <c r="D105" i="36" s="1"/>
  <c r="B106" i="36"/>
  <c r="Z103" i="36"/>
  <c r="X103" i="36"/>
  <c r="N103" i="36"/>
  <c r="L103" i="36"/>
  <c r="B103" i="36"/>
  <c r="T102" i="36"/>
  <c r="Z102" i="36" s="1"/>
  <c r="P102" i="36"/>
  <c r="X102" i="36" s="1"/>
  <c r="L102" i="36"/>
  <c r="H102" i="36"/>
  <c r="D102" i="36"/>
  <c r="B102" i="36"/>
  <c r="Z101" i="36"/>
  <c r="X101" i="36"/>
  <c r="N101" i="36"/>
  <c r="L101" i="36"/>
  <c r="B101" i="36"/>
  <c r="Z100" i="36"/>
  <c r="X100" i="36"/>
  <c r="N100" i="36"/>
  <c r="L100" i="36"/>
  <c r="B100" i="36"/>
  <c r="T99" i="36"/>
  <c r="P99" i="36"/>
  <c r="X99" i="36" s="1"/>
  <c r="Z99" i="36" s="1"/>
  <c r="N99" i="36"/>
  <c r="H99" i="36"/>
  <c r="L99" i="36" s="1"/>
  <c r="D99" i="36"/>
  <c r="B99" i="36"/>
  <c r="X98" i="36"/>
  <c r="Z98" i="36" s="1"/>
  <c r="L98" i="36"/>
  <c r="N98" i="36" s="1"/>
  <c r="B98" i="36"/>
  <c r="T97" i="36"/>
  <c r="P97" i="36"/>
  <c r="X97" i="36" s="1"/>
  <c r="Z97" i="36" s="1"/>
  <c r="N97" i="36"/>
  <c r="L97" i="36"/>
  <c r="H97" i="36"/>
  <c r="D97" i="36"/>
  <c r="B97" i="36"/>
  <c r="X96" i="36"/>
  <c r="Z96" i="36" s="1"/>
  <c r="L96" i="36"/>
  <c r="N96" i="36" s="1"/>
  <c r="B96" i="36"/>
  <c r="Z95" i="36"/>
  <c r="X95" i="36"/>
  <c r="T95" i="36"/>
  <c r="P95" i="36"/>
  <c r="H95" i="36"/>
  <c r="D95" i="36"/>
  <c r="L95" i="36" s="1"/>
  <c r="B95" i="36"/>
  <c r="X94" i="36"/>
  <c r="Z94" i="36" s="1"/>
  <c r="L94" i="36"/>
  <c r="N94" i="36" s="1"/>
  <c r="B94" i="36"/>
  <c r="Z93" i="36"/>
  <c r="X93" i="36"/>
  <c r="N93" i="36"/>
  <c r="L93" i="36"/>
  <c r="B93" i="36"/>
  <c r="Z92" i="36"/>
  <c r="X92" i="36"/>
  <c r="N92" i="36"/>
  <c r="L92" i="36"/>
  <c r="B92" i="36"/>
  <c r="Z91" i="36"/>
  <c r="X91" i="36"/>
  <c r="N91" i="36"/>
  <c r="L91" i="36"/>
  <c r="B91" i="36"/>
  <c r="X90" i="36"/>
  <c r="Z90" i="36" s="1"/>
  <c r="L90" i="36"/>
  <c r="N90" i="36" s="1"/>
  <c r="B90" i="36"/>
  <c r="Z89" i="36"/>
  <c r="X89" i="36"/>
  <c r="N89" i="36"/>
  <c r="L89" i="36"/>
  <c r="B89" i="36"/>
  <c r="X88" i="36"/>
  <c r="Z88" i="36" s="1"/>
  <c r="L88" i="36"/>
  <c r="N88" i="36" s="1"/>
  <c r="B88" i="36"/>
  <c r="Z87" i="36"/>
  <c r="X87" i="36"/>
  <c r="N87" i="36"/>
  <c r="L87" i="36"/>
  <c r="B87" i="36"/>
  <c r="X86" i="36"/>
  <c r="Z86" i="36" s="1"/>
  <c r="N86" i="36"/>
  <c r="L86" i="36"/>
  <c r="B86" i="36"/>
  <c r="T85" i="36"/>
  <c r="Z85" i="36" s="1"/>
  <c r="P85" i="36"/>
  <c r="X85" i="36" s="1"/>
  <c r="N85" i="36"/>
  <c r="H85" i="36"/>
  <c r="D85" i="36"/>
  <c r="L85" i="36" s="1"/>
  <c r="B85" i="36"/>
  <c r="X84" i="36"/>
  <c r="Z84" i="36" s="1"/>
  <c r="N84" i="36"/>
  <c r="L84" i="36"/>
  <c r="B84" i="36"/>
  <c r="Z83" i="36"/>
  <c r="X83" i="36"/>
  <c r="N83" i="36"/>
  <c r="L83" i="36"/>
  <c r="B83" i="36"/>
  <c r="T82" i="36"/>
  <c r="P82" i="36"/>
  <c r="L82" i="36"/>
  <c r="H82" i="36"/>
  <c r="D82" i="36"/>
  <c r="B82" i="36"/>
  <c r="Z81" i="36"/>
  <c r="X81" i="36"/>
  <c r="N81" i="36"/>
  <c r="L81" i="36"/>
  <c r="B81" i="36"/>
  <c r="X80" i="36"/>
  <c r="Z80" i="36" s="1"/>
  <c r="L80" i="36"/>
  <c r="N80" i="36" s="1"/>
  <c r="B80" i="36"/>
  <c r="Z79" i="36"/>
  <c r="X79" i="36"/>
  <c r="N79" i="36"/>
  <c r="L79" i="36"/>
  <c r="B79" i="36"/>
  <c r="X78" i="36"/>
  <c r="Z78" i="36" s="1"/>
  <c r="L78" i="36"/>
  <c r="N78" i="36" s="1"/>
  <c r="B78" i="36"/>
  <c r="T77" i="36"/>
  <c r="Z77" i="36" s="1"/>
  <c r="P77" i="36"/>
  <c r="X77" i="36" s="1"/>
  <c r="H77" i="36"/>
  <c r="D77" i="36"/>
  <c r="L77" i="36" s="1"/>
  <c r="N77" i="36" s="1"/>
  <c r="B77" i="36"/>
  <c r="Z76" i="36"/>
  <c r="X76" i="36"/>
  <c r="N76" i="36"/>
  <c r="L76" i="36"/>
  <c r="B76" i="36"/>
  <c r="Z75" i="36"/>
  <c r="T75" i="36"/>
  <c r="P75" i="36"/>
  <c r="X75" i="36" s="1"/>
  <c r="N75" i="36"/>
  <c r="L75" i="36"/>
  <c r="H75" i="36"/>
  <c r="D75" i="36"/>
  <c r="B75" i="36"/>
  <c r="X74" i="36"/>
  <c r="Z74" i="36" s="1"/>
  <c r="N74" i="36"/>
  <c r="L74" i="36"/>
  <c r="B74" i="36"/>
  <c r="Z73" i="36"/>
  <c r="X73" i="36"/>
  <c r="N73" i="36"/>
  <c r="L73" i="36"/>
  <c r="B73" i="36"/>
  <c r="Z72" i="36"/>
  <c r="X72" i="36"/>
  <c r="N72" i="36"/>
  <c r="L72" i="36"/>
  <c r="B72" i="36"/>
  <c r="Z71" i="36"/>
  <c r="T71" i="36"/>
  <c r="P71" i="36"/>
  <c r="X71" i="36" s="1"/>
  <c r="N71" i="36"/>
  <c r="L71" i="36"/>
  <c r="H71" i="36"/>
  <c r="D71" i="36"/>
  <c r="B71" i="36"/>
  <c r="X70" i="36"/>
  <c r="Z70" i="36" s="1"/>
  <c r="N70" i="36"/>
  <c r="L70" i="36"/>
  <c r="B70" i="36"/>
  <c r="Z69" i="36"/>
  <c r="X69" i="36"/>
  <c r="T69" i="36"/>
  <c r="P69" i="36"/>
  <c r="N69" i="36"/>
  <c r="L69" i="36"/>
  <c r="H69" i="36"/>
  <c r="D69" i="36"/>
  <c r="B69" i="36"/>
  <c r="X68" i="36"/>
  <c r="Z68" i="36" s="1"/>
  <c r="L68" i="36"/>
  <c r="N68" i="36" s="1"/>
  <c r="B68" i="36"/>
  <c r="Z67" i="36"/>
  <c r="X67" i="36"/>
  <c r="T67" i="36"/>
  <c r="P67" i="36"/>
  <c r="H67" i="36"/>
  <c r="N67" i="36" s="1"/>
  <c r="D67" i="36"/>
  <c r="L67" i="36" s="1"/>
  <c r="B67" i="36"/>
  <c r="Z66" i="36"/>
  <c r="X66" i="36"/>
  <c r="L66" i="36"/>
  <c r="N66" i="36" s="1"/>
  <c r="B66" i="36"/>
  <c r="T65" i="36"/>
  <c r="P65" i="36"/>
  <c r="X65" i="36" s="1"/>
  <c r="N65" i="36"/>
  <c r="H65" i="36"/>
  <c r="D65" i="36"/>
  <c r="L65" i="36" s="1"/>
  <c r="B65" i="36"/>
  <c r="X64" i="36"/>
  <c r="Z64" i="36" s="1"/>
  <c r="L64" i="36"/>
  <c r="N64" i="36" s="1"/>
  <c r="B64" i="36"/>
  <c r="Z63" i="36"/>
  <c r="T63" i="36"/>
  <c r="P63" i="36"/>
  <c r="X63" i="36" s="1"/>
  <c r="N63" i="36"/>
  <c r="L63" i="36"/>
  <c r="H63" i="36"/>
  <c r="D63" i="36"/>
  <c r="B63" i="36"/>
  <c r="X62" i="36"/>
  <c r="Z62" i="36" s="1"/>
  <c r="N62" i="36"/>
  <c r="L62" i="36"/>
  <c r="B62" i="36"/>
  <c r="Z61" i="36"/>
  <c r="X61" i="36"/>
  <c r="T61" i="36"/>
  <c r="P61" i="36"/>
  <c r="N61" i="36"/>
  <c r="L61" i="36"/>
  <c r="H61" i="36"/>
  <c r="D61" i="36"/>
  <c r="B61" i="36"/>
  <c r="X60" i="36"/>
  <c r="Z60" i="36" s="1"/>
  <c r="N60" i="36"/>
  <c r="L60" i="36"/>
  <c r="B60" i="36"/>
  <c r="Z59" i="36"/>
  <c r="X59" i="36"/>
  <c r="T59" i="36"/>
  <c r="P59" i="36"/>
  <c r="H59" i="36"/>
  <c r="N59" i="36" s="1"/>
  <c r="D59" i="36"/>
  <c r="L59" i="36" s="1"/>
  <c r="B59" i="36"/>
  <c r="Z58" i="36"/>
  <c r="X58" i="36"/>
  <c r="L58" i="36"/>
  <c r="N58" i="36" s="1"/>
  <c r="B58" i="36"/>
  <c r="T57" i="36"/>
  <c r="Z57" i="36" s="1"/>
  <c r="P57" i="36"/>
  <c r="X57" i="36" s="1"/>
  <c r="H57" i="36"/>
  <c r="D57" i="36"/>
  <c r="L57" i="36" s="1"/>
  <c r="N57" i="36" s="1"/>
  <c r="B57" i="36"/>
  <c r="Z56" i="36"/>
  <c r="X56" i="36"/>
  <c r="N56" i="36"/>
  <c r="L56" i="36"/>
  <c r="B56" i="36"/>
  <c r="Z55" i="36"/>
  <c r="T55" i="36"/>
  <c r="P55" i="36"/>
  <c r="X55" i="36" s="1"/>
  <c r="N55" i="36"/>
  <c r="L55" i="36"/>
  <c r="H55" i="36"/>
  <c r="D55" i="36"/>
  <c r="B55" i="36"/>
  <c r="X54" i="36"/>
  <c r="Z54" i="36" s="1"/>
  <c r="N54" i="36"/>
  <c r="L54" i="36"/>
  <c r="B54" i="36"/>
  <c r="Z53" i="36"/>
  <c r="X53" i="36"/>
  <c r="T53" i="36"/>
  <c r="P53" i="36"/>
  <c r="N53" i="36"/>
  <c r="L53" i="36"/>
  <c r="H53" i="36"/>
  <c r="D53" i="36"/>
  <c r="B53" i="36"/>
  <c r="X52" i="36"/>
  <c r="Z52" i="36" s="1"/>
  <c r="L52" i="36"/>
  <c r="N52" i="36" s="1"/>
  <c r="B52" i="36"/>
  <c r="Z51" i="36"/>
  <c r="X51" i="36"/>
  <c r="N51" i="36"/>
  <c r="L51" i="36"/>
  <c r="B51" i="36"/>
  <c r="T50" i="36"/>
  <c r="P50" i="36"/>
  <c r="L50" i="36"/>
  <c r="H50" i="36"/>
  <c r="D50" i="36"/>
  <c r="B50" i="36"/>
  <c r="X49" i="36"/>
  <c r="Z49" i="36" s="1"/>
  <c r="N49" i="36"/>
  <c r="L49" i="36"/>
  <c r="B49" i="36"/>
  <c r="T48" i="36"/>
  <c r="P48" i="36"/>
  <c r="X48" i="36" s="1"/>
  <c r="H48" i="36"/>
  <c r="D48" i="36"/>
  <c r="B48" i="36"/>
  <c r="Z47" i="36"/>
  <c r="X47" i="36"/>
  <c r="N47" i="36"/>
  <c r="L47" i="36"/>
  <c r="B47" i="36"/>
  <c r="T46" i="36"/>
  <c r="P46" i="36"/>
  <c r="L46" i="36"/>
  <c r="N46" i="36" s="1"/>
  <c r="H46" i="36"/>
  <c r="D46" i="36"/>
  <c r="B46" i="36"/>
  <c r="Z45" i="36"/>
  <c r="X45" i="36"/>
  <c r="L45" i="36"/>
  <c r="N45" i="36" s="1"/>
  <c r="B45" i="36"/>
  <c r="T44" i="36"/>
  <c r="P44" i="36"/>
  <c r="X44" i="36" s="1"/>
  <c r="Z44" i="36" s="1"/>
  <c r="H44" i="36"/>
  <c r="D44" i="36"/>
  <c r="B44" i="36"/>
  <c r="Z43" i="36"/>
  <c r="X43" i="36"/>
  <c r="N43" i="36"/>
  <c r="L43" i="36"/>
  <c r="B43" i="36"/>
  <c r="X42" i="36"/>
  <c r="Z42" i="36" s="1"/>
  <c r="L42" i="36"/>
  <c r="N42" i="36" s="1"/>
  <c r="B42" i="36"/>
  <c r="Z41" i="36"/>
  <c r="X41" i="36"/>
  <c r="L41" i="36"/>
  <c r="N41" i="36" s="1"/>
  <c r="B41" i="36"/>
  <c r="X40" i="36"/>
  <c r="Z40" i="36" s="1"/>
  <c r="L40" i="36"/>
  <c r="N40" i="36" s="1"/>
  <c r="B40" i="36"/>
  <c r="Z39" i="36"/>
  <c r="X39" i="36"/>
  <c r="N39" i="36"/>
  <c r="L39" i="36"/>
  <c r="B39" i="36"/>
  <c r="X38" i="36"/>
  <c r="Z38" i="36" s="1"/>
  <c r="L38" i="36"/>
  <c r="N38" i="36" s="1"/>
  <c r="B38" i="36"/>
  <c r="T37" i="36"/>
  <c r="Z37" i="36" s="1"/>
  <c r="P37" i="36"/>
  <c r="X37" i="36" s="1"/>
  <c r="N37" i="36"/>
  <c r="H37" i="36"/>
  <c r="D37" i="36"/>
  <c r="L37" i="36" s="1"/>
  <c r="B37" i="36"/>
  <c r="X36" i="36"/>
  <c r="Z36" i="36" s="1"/>
  <c r="L36" i="36"/>
  <c r="N36" i="36" s="1"/>
  <c r="B36" i="36"/>
  <c r="Z35" i="36"/>
  <c r="X35" i="36"/>
  <c r="N35" i="36"/>
  <c r="L35" i="36"/>
  <c r="B35" i="36"/>
  <c r="Z34" i="36"/>
  <c r="X34" i="36"/>
  <c r="L34" i="36"/>
  <c r="N34" i="36" s="1"/>
  <c r="B34" i="36"/>
  <c r="X33" i="36"/>
  <c r="Z33" i="36" s="1"/>
  <c r="N33" i="36"/>
  <c r="L33" i="36"/>
  <c r="B33" i="36"/>
  <c r="X32" i="36"/>
  <c r="Z32" i="36" s="1"/>
  <c r="L32" i="36"/>
  <c r="N32" i="36" s="1"/>
  <c r="B32" i="36"/>
  <c r="Z31" i="36"/>
  <c r="X31" i="36"/>
  <c r="N31" i="36"/>
  <c r="L31" i="36"/>
  <c r="B31" i="36"/>
  <c r="X30" i="36"/>
  <c r="Z30" i="36" s="1"/>
  <c r="N30" i="36"/>
  <c r="L30" i="36"/>
  <c r="B30" i="36"/>
  <c r="Z29" i="36"/>
  <c r="X29" i="36"/>
  <c r="L29" i="36"/>
  <c r="N29" i="36" s="1"/>
  <c r="B29" i="36"/>
  <c r="X28" i="36"/>
  <c r="Z28" i="36" s="1"/>
  <c r="L28" i="36"/>
  <c r="N28" i="36" s="1"/>
  <c r="B28" i="36"/>
  <c r="Z27" i="36"/>
  <c r="T27" i="36"/>
  <c r="P27" i="36"/>
  <c r="X27" i="36" s="1"/>
  <c r="N27" i="36"/>
  <c r="L27" i="36"/>
  <c r="H27" i="36"/>
  <c r="D27" i="36"/>
  <c r="B27" i="36"/>
  <c r="T26" i="36"/>
  <c r="P26" i="36"/>
  <c r="H26" i="36"/>
  <c r="D26" i="36"/>
  <c r="L26" i="36" s="1"/>
  <c r="X22" i="36"/>
  <c r="Z22" i="36" s="1"/>
  <c r="L22" i="36"/>
  <c r="N22" i="36" s="1"/>
  <c r="B22" i="36"/>
  <c r="Z21" i="36"/>
  <c r="X21" i="36"/>
  <c r="N21" i="36"/>
  <c r="L21" i="36"/>
  <c r="B21" i="36"/>
  <c r="T20" i="36"/>
  <c r="P20" i="36"/>
  <c r="X20" i="36" s="1"/>
  <c r="H20" i="36"/>
  <c r="D20" i="36"/>
  <c r="X18" i="36"/>
  <c r="T18" i="36"/>
  <c r="Z18" i="36" s="1"/>
  <c r="P18" i="36"/>
  <c r="L18" i="36"/>
  <c r="N18" i="36" s="1"/>
  <c r="H18" i="36"/>
  <c r="D18" i="36"/>
  <c r="B18" i="36"/>
  <c r="T17" i="36"/>
  <c r="X17" i="36" s="1"/>
  <c r="Z17" i="36" s="1"/>
  <c r="P17" i="36"/>
  <c r="N17" i="36"/>
  <c r="H17" i="36"/>
  <c r="D17" i="36"/>
  <c r="L17" i="36" s="1"/>
  <c r="B17" i="36"/>
  <c r="T16" i="36"/>
  <c r="P16" i="36"/>
  <c r="X16" i="36" s="1"/>
  <c r="Z16" i="36" s="1"/>
  <c r="H16" i="36"/>
  <c r="N16" i="36" s="1"/>
  <c r="D16" i="36"/>
  <c r="L16" i="36" s="1"/>
  <c r="B16" i="36"/>
  <c r="T15" i="36"/>
  <c r="P15" i="36"/>
  <c r="H15" i="36"/>
  <c r="D15" i="36"/>
  <c r="B15" i="36"/>
  <c r="X14" i="36"/>
  <c r="Z14" i="36" s="1"/>
  <c r="T14" i="36"/>
  <c r="P14" i="36"/>
  <c r="L14" i="36"/>
  <c r="H14" i="36"/>
  <c r="D14" i="36"/>
  <c r="B14" i="36"/>
  <c r="T13" i="36"/>
  <c r="P13" i="36"/>
  <c r="X13" i="36" s="1"/>
  <c r="Z13" i="36" s="1"/>
  <c r="H13" i="36"/>
  <c r="D13" i="36"/>
  <c r="B13" i="36"/>
  <c r="P12" i="36"/>
  <c r="R95" i="36" s="1"/>
  <c r="D4" i="36"/>
  <c r="B39" i="35"/>
  <c r="B38" i="35"/>
  <c r="T34" i="35"/>
  <c r="Z34" i="35" s="1"/>
  <c r="P34" i="35"/>
  <c r="H34" i="35"/>
  <c r="N34" i="35" s="1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Z24" i="35" s="1"/>
  <c r="P24" i="35"/>
  <c r="H24" i="35"/>
  <c r="N24" i="35" s="1"/>
  <c r="D24" i="35"/>
  <c r="T22" i="35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D20" i="35"/>
  <c r="T16" i="35"/>
  <c r="Z16" i="35" s="1"/>
  <c r="P16" i="35"/>
  <c r="H16" i="35"/>
  <c r="D16" i="35"/>
  <c r="B16" i="35"/>
  <c r="T15" i="35"/>
  <c r="Z15" i="35" s="1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2" i="35" s="1"/>
  <c r="P12" i="35"/>
  <c r="H12" i="35"/>
  <c r="J20" i="35" s="1"/>
  <c r="D12" i="35"/>
  <c r="F21" i="35" s="1"/>
  <c r="D5" i="35"/>
  <c r="D4" i="35"/>
  <c r="B39" i="34"/>
  <c r="B38" i="34"/>
  <c r="T34" i="34"/>
  <c r="Z34" i="34" s="1"/>
  <c r="P34" i="34"/>
  <c r="H34" i="34"/>
  <c r="N34" i="34" s="1"/>
  <c r="D34" i="34"/>
  <c r="T33" i="34"/>
  <c r="Z33" i="34" s="1"/>
  <c r="P33" i="34"/>
  <c r="H33" i="34"/>
  <c r="N33" i="34" s="1"/>
  <c r="D33" i="34"/>
  <c r="T29" i="34"/>
  <c r="Z29" i="34" s="1"/>
  <c r="P29" i="34"/>
  <c r="H29" i="34"/>
  <c r="N29" i="34" s="1"/>
  <c r="D29" i="34"/>
  <c r="T25" i="34"/>
  <c r="Z25" i="34" s="1"/>
  <c r="P25" i="34"/>
  <c r="H25" i="34"/>
  <c r="N25" i="34" s="1"/>
  <c r="D25" i="34"/>
  <c r="B25" i="34"/>
  <c r="T24" i="34"/>
  <c r="Z24" i="34" s="1"/>
  <c r="P24" i="34"/>
  <c r="H24" i="34"/>
  <c r="N24" i="34" s="1"/>
  <c r="D24" i="34"/>
  <c r="T22" i="34"/>
  <c r="Z22" i="34" s="1"/>
  <c r="P22" i="34"/>
  <c r="H22" i="34"/>
  <c r="N22" i="34" s="1"/>
  <c r="D22" i="34"/>
  <c r="B22" i="34"/>
  <c r="T21" i="34"/>
  <c r="Z21" i="34" s="1"/>
  <c r="P21" i="34"/>
  <c r="H21" i="34"/>
  <c r="N21" i="34" s="1"/>
  <c r="D21" i="34"/>
  <c r="B21" i="34"/>
  <c r="T20" i="34"/>
  <c r="Z20" i="34" s="1"/>
  <c r="P20" i="34"/>
  <c r="H20" i="34"/>
  <c r="N20" i="34" s="1"/>
  <c r="D20" i="34"/>
  <c r="T16" i="34"/>
  <c r="Z16" i="34" s="1"/>
  <c r="P16" i="34"/>
  <c r="H16" i="34"/>
  <c r="N16" i="34" s="1"/>
  <c r="D16" i="34"/>
  <c r="B16" i="34"/>
  <c r="T15" i="34"/>
  <c r="Z15" i="34" s="1"/>
  <c r="P15" i="34"/>
  <c r="H15" i="34"/>
  <c r="N15" i="34" s="1"/>
  <c r="D15" i="34"/>
  <c r="T13" i="34"/>
  <c r="Z13" i="34" s="1"/>
  <c r="P13" i="34"/>
  <c r="H13" i="34"/>
  <c r="N13" i="34" s="1"/>
  <c r="D13" i="34"/>
  <c r="B13" i="34"/>
  <c r="T12" i="34"/>
  <c r="P12" i="34"/>
  <c r="R24" i="34" s="1"/>
  <c r="H12" i="34"/>
  <c r="J24" i="34" s="1"/>
  <c r="D12" i="34"/>
  <c r="D5" i="34"/>
  <c r="D4" i="34"/>
  <c r="X82" i="33"/>
  <c r="Z82" i="33" s="1"/>
  <c r="L82" i="33"/>
  <c r="N82" i="33" s="1"/>
  <c r="T78" i="33"/>
  <c r="Z78" i="33" s="1"/>
  <c r="P78" i="33"/>
  <c r="X78" i="33" s="1"/>
  <c r="N78" i="33"/>
  <c r="H78" i="33"/>
  <c r="D78" i="33"/>
  <c r="L78" i="33" s="1"/>
  <c r="B78" i="33"/>
  <c r="Z77" i="33"/>
  <c r="X77" i="33"/>
  <c r="T77" i="33"/>
  <c r="P77" i="33"/>
  <c r="P76" i="33" s="1"/>
  <c r="X76" i="33" s="1"/>
  <c r="H77" i="33"/>
  <c r="D77" i="33"/>
  <c r="L77" i="33" s="1"/>
  <c r="B77" i="33"/>
  <c r="T76" i="33"/>
  <c r="D76" i="33"/>
  <c r="Z74" i="33"/>
  <c r="X74" i="33"/>
  <c r="N74" i="33"/>
  <c r="L74" i="33"/>
  <c r="B74" i="33"/>
  <c r="T73" i="33"/>
  <c r="P73" i="33"/>
  <c r="N73" i="33"/>
  <c r="L73" i="33"/>
  <c r="H73" i="33"/>
  <c r="D73" i="33"/>
  <c r="B73" i="33"/>
  <c r="X72" i="33"/>
  <c r="Z72" i="33" s="1"/>
  <c r="L72" i="33"/>
  <c r="N72" i="33" s="1"/>
  <c r="B72" i="33"/>
  <c r="Z71" i="33"/>
  <c r="X71" i="33"/>
  <c r="T71" i="33"/>
  <c r="P71" i="33"/>
  <c r="H71" i="33"/>
  <c r="D71" i="33"/>
  <c r="L71" i="33" s="1"/>
  <c r="B71" i="33"/>
  <c r="X70" i="33"/>
  <c r="Z70" i="33" s="1"/>
  <c r="N70" i="33"/>
  <c r="L70" i="33"/>
  <c r="B70" i="33"/>
  <c r="Z69" i="33"/>
  <c r="X69" i="33"/>
  <c r="L69" i="33"/>
  <c r="N69" i="33" s="1"/>
  <c r="B69" i="33"/>
  <c r="X68" i="33"/>
  <c r="Z68" i="33" s="1"/>
  <c r="L68" i="33"/>
  <c r="N68" i="33" s="1"/>
  <c r="B68" i="33"/>
  <c r="Z67" i="33"/>
  <c r="X67" i="33"/>
  <c r="N67" i="33"/>
  <c r="L67" i="33"/>
  <c r="B67" i="33"/>
  <c r="Z66" i="33"/>
  <c r="X66" i="33"/>
  <c r="N66" i="33"/>
  <c r="L66" i="33"/>
  <c r="B66" i="33"/>
  <c r="T65" i="33"/>
  <c r="P65" i="33"/>
  <c r="N65" i="33"/>
  <c r="L65" i="33"/>
  <c r="H65" i="33"/>
  <c r="D65" i="33"/>
  <c r="B65" i="33"/>
  <c r="X64" i="33"/>
  <c r="Z64" i="33" s="1"/>
  <c r="L64" i="33"/>
  <c r="N64" i="33" s="1"/>
  <c r="B64" i="33"/>
  <c r="Z63" i="33"/>
  <c r="X63" i="33"/>
  <c r="T63" i="33"/>
  <c r="P63" i="33"/>
  <c r="H63" i="33"/>
  <c r="N63" i="33" s="1"/>
  <c r="D63" i="33"/>
  <c r="L63" i="33" s="1"/>
  <c r="B63" i="33"/>
  <c r="Z62" i="33"/>
  <c r="X62" i="33"/>
  <c r="N62" i="33"/>
  <c r="L62" i="33"/>
  <c r="B62" i="33"/>
  <c r="Z61" i="33"/>
  <c r="X61" i="33"/>
  <c r="L61" i="33"/>
  <c r="N61" i="33" s="1"/>
  <c r="B61" i="33"/>
  <c r="X60" i="33"/>
  <c r="Z60" i="33" s="1"/>
  <c r="N60" i="33"/>
  <c r="L60" i="33"/>
  <c r="B60" i="33"/>
  <c r="Z59" i="33"/>
  <c r="X59" i="33"/>
  <c r="T59" i="33"/>
  <c r="P59" i="33"/>
  <c r="H59" i="33"/>
  <c r="N59" i="33" s="1"/>
  <c r="D59" i="33"/>
  <c r="L59" i="33" s="1"/>
  <c r="B59" i="33"/>
  <c r="Z58" i="33"/>
  <c r="X58" i="33"/>
  <c r="N58" i="33"/>
  <c r="L58" i="33"/>
  <c r="B58" i="33"/>
  <c r="T57" i="33"/>
  <c r="Z57" i="33" s="1"/>
  <c r="P57" i="33"/>
  <c r="X57" i="33" s="1"/>
  <c r="N57" i="33"/>
  <c r="H57" i="33"/>
  <c r="D57" i="33"/>
  <c r="L57" i="33" s="1"/>
  <c r="B57" i="33"/>
  <c r="X56" i="33"/>
  <c r="Z56" i="33" s="1"/>
  <c r="L56" i="33"/>
  <c r="N56" i="33" s="1"/>
  <c r="B56" i="33"/>
  <c r="X55" i="33"/>
  <c r="Z55" i="33" s="1"/>
  <c r="N55" i="33"/>
  <c r="L55" i="33"/>
  <c r="B55" i="33"/>
  <c r="T54" i="33"/>
  <c r="P54" i="33"/>
  <c r="H54" i="33"/>
  <c r="D54" i="33"/>
  <c r="L54" i="33" s="1"/>
  <c r="B54" i="33"/>
  <c r="X53" i="33"/>
  <c r="Z53" i="33" s="1"/>
  <c r="N53" i="33"/>
  <c r="L53" i="33"/>
  <c r="B53" i="33"/>
  <c r="T52" i="33"/>
  <c r="P52" i="33"/>
  <c r="X52" i="33" s="1"/>
  <c r="H52" i="33"/>
  <c r="D52" i="33"/>
  <c r="L52" i="33" s="1"/>
  <c r="N52" i="33" s="1"/>
  <c r="B52" i="33"/>
  <c r="Z51" i="33"/>
  <c r="X51" i="33"/>
  <c r="N51" i="33"/>
  <c r="L51" i="33"/>
  <c r="B51" i="33"/>
  <c r="Z50" i="33"/>
  <c r="T50" i="33"/>
  <c r="P50" i="33"/>
  <c r="X50" i="33" s="1"/>
  <c r="N50" i="33"/>
  <c r="L50" i="33"/>
  <c r="H50" i="33"/>
  <c r="D50" i="33"/>
  <c r="B50" i="33"/>
  <c r="Z49" i="33"/>
  <c r="X49" i="33"/>
  <c r="L49" i="33"/>
  <c r="N49" i="33" s="1"/>
  <c r="B49" i="33"/>
  <c r="X48" i="33"/>
  <c r="Z48" i="33" s="1"/>
  <c r="T48" i="33"/>
  <c r="P48" i="33"/>
  <c r="H48" i="33"/>
  <c r="D48" i="33"/>
  <c r="B48" i="33"/>
  <c r="Z47" i="33"/>
  <c r="X47" i="33"/>
  <c r="N47" i="33"/>
  <c r="L47" i="33"/>
  <c r="B47" i="33"/>
  <c r="T46" i="33"/>
  <c r="Z46" i="33" s="1"/>
  <c r="P46" i="33"/>
  <c r="H46" i="33"/>
  <c r="N46" i="33" s="1"/>
  <c r="D46" i="33"/>
  <c r="L46" i="33" s="1"/>
  <c r="B46" i="33"/>
  <c r="X45" i="33"/>
  <c r="Z45" i="33" s="1"/>
  <c r="N45" i="33"/>
  <c r="L45" i="33"/>
  <c r="B45" i="33"/>
  <c r="X44" i="33"/>
  <c r="Z44" i="33" s="1"/>
  <c r="N44" i="33"/>
  <c r="L44" i="33"/>
  <c r="B44" i="33"/>
  <c r="Z43" i="33"/>
  <c r="X43" i="33"/>
  <c r="N43" i="33"/>
  <c r="L43" i="33"/>
  <c r="B43" i="33"/>
  <c r="T42" i="33"/>
  <c r="P42" i="33"/>
  <c r="H42" i="33"/>
  <c r="D42" i="33"/>
  <c r="L42" i="33" s="1"/>
  <c r="B42" i="33"/>
  <c r="X41" i="33"/>
  <c r="Z41" i="33" s="1"/>
  <c r="N41" i="33"/>
  <c r="L41" i="33"/>
  <c r="B41" i="33"/>
  <c r="X40" i="33"/>
  <c r="Z40" i="33" s="1"/>
  <c r="L40" i="33"/>
  <c r="N40" i="33" s="1"/>
  <c r="B40" i="33"/>
  <c r="Z39" i="33"/>
  <c r="X39" i="33"/>
  <c r="N39" i="33"/>
  <c r="L39" i="33"/>
  <c r="B39" i="33"/>
  <c r="X38" i="33"/>
  <c r="Z38" i="33" s="1"/>
  <c r="N38" i="33"/>
  <c r="L38" i="33"/>
  <c r="B38" i="33"/>
  <c r="Z37" i="33"/>
  <c r="X37" i="33"/>
  <c r="L37" i="33"/>
  <c r="N37" i="33" s="1"/>
  <c r="B37" i="33"/>
  <c r="X36" i="33"/>
  <c r="Z36" i="33" s="1"/>
  <c r="L36" i="33"/>
  <c r="N36" i="33" s="1"/>
  <c r="B36" i="33"/>
  <c r="Z35" i="33"/>
  <c r="X35" i="33"/>
  <c r="N35" i="33"/>
  <c r="L35" i="33"/>
  <c r="B35" i="33"/>
  <c r="Z34" i="33"/>
  <c r="X34" i="33"/>
  <c r="L34" i="33"/>
  <c r="N34" i="33" s="1"/>
  <c r="B34" i="33"/>
  <c r="T33" i="33"/>
  <c r="P33" i="33"/>
  <c r="N33" i="33"/>
  <c r="L33" i="33"/>
  <c r="H33" i="33"/>
  <c r="D33" i="33"/>
  <c r="B33" i="33"/>
  <c r="X32" i="33"/>
  <c r="T32" i="33"/>
  <c r="Z32" i="33" s="1"/>
  <c r="P32" i="33"/>
  <c r="H32" i="33"/>
  <c r="D32" i="33"/>
  <c r="Z28" i="33"/>
  <c r="X28" i="33"/>
  <c r="N28" i="33"/>
  <c r="L28" i="33"/>
  <c r="B28" i="33"/>
  <c r="Z27" i="33"/>
  <c r="X27" i="33"/>
  <c r="N27" i="33"/>
  <c r="L27" i="33"/>
  <c r="B27" i="33"/>
  <c r="Z26" i="33"/>
  <c r="X26" i="33"/>
  <c r="N26" i="33"/>
  <c r="L26" i="33"/>
  <c r="B26" i="33"/>
  <c r="T25" i="33"/>
  <c r="Z25" i="33" s="1"/>
  <c r="P25" i="33"/>
  <c r="N25" i="33"/>
  <c r="L25" i="33"/>
  <c r="H25" i="33"/>
  <c r="D25" i="33"/>
  <c r="T23" i="33"/>
  <c r="P23" i="33"/>
  <c r="X23" i="33" s="1"/>
  <c r="H23" i="33"/>
  <c r="D23" i="33"/>
  <c r="L23" i="33" s="1"/>
  <c r="B23" i="33"/>
  <c r="X22" i="33"/>
  <c r="T22" i="33"/>
  <c r="Z22" i="33" s="1"/>
  <c r="P22" i="33"/>
  <c r="H22" i="33"/>
  <c r="N22" i="33" s="1"/>
  <c r="D22" i="33"/>
  <c r="L22" i="33" s="1"/>
  <c r="B22" i="33"/>
  <c r="Z21" i="33"/>
  <c r="X21" i="33"/>
  <c r="T21" i="33"/>
  <c r="P21" i="33"/>
  <c r="H21" i="33"/>
  <c r="D21" i="33"/>
  <c r="B21" i="33"/>
  <c r="T20" i="33"/>
  <c r="P20" i="33"/>
  <c r="X20" i="33" s="1"/>
  <c r="Z20" i="33" s="1"/>
  <c r="H20" i="33"/>
  <c r="D20" i="33"/>
  <c r="L20" i="33" s="1"/>
  <c r="N20" i="33" s="1"/>
  <c r="B20" i="33"/>
  <c r="T19" i="33"/>
  <c r="P19" i="33"/>
  <c r="X19" i="33" s="1"/>
  <c r="H19" i="33"/>
  <c r="N19" i="33" s="1"/>
  <c r="D19" i="33"/>
  <c r="L19" i="33" s="1"/>
  <c r="B19" i="33"/>
  <c r="T18" i="33"/>
  <c r="P18" i="33"/>
  <c r="X18" i="33" s="1"/>
  <c r="L18" i="33"/>
  <c r="H18" i="33"/>
  <c r="N18" i="33" s="1"/>
  <c r="D18" i="33"/>
  <c r="B18" i="33"/>
  <c r="T17" i="33"/>
  <c r="Z17" i="33" s="1"/>
  <c r="P17" i="33"/>
  <c r="N17" i="33"/>
  <c r="L17" i="33"/>
  <c r="H17" i="33"/>
  <c r="D17" i="33"/>
  <c r="B17" i="33"/>
  <c r="T16" i="33"/>
  <c r="P16" i="33"/>
  <c r="X16" i="33" s="1"/>
  <c r="Z16" i="33" s="1"/>
  <c r="N16" i="33"/>
  <c r="H16" i="33"/>
  <c r="D16" i="33"/>
  <c r="L16" i="33" s="1"/>
  <c r="B16" i="33"/>
  <c r="T15" i="33"/>
  <c r="P15" i="33"/>
  <c r="P12" i="33" s="1"/>
  <c r="H15" i="33"/>
  <c r="N15" i="33" s="1"/>
  <c r="D15" i="33"/>
  <c r="L15" i="33" s="1"/>
  <c r="B15" i="33"/>
  <c r="X14" i="33"/>
  <c r="T14" i="33"/>
  <c r="T12" i="33" s="1"/>
  <c r="P14" i="33"/>
  <c r="H14" i="33"/>
  <c r="D14" i="33"/>
  <c r="L14" i="33" s="1"/>
  <c r="B14" i="33"/>
  <c r="Z13" i="33"/>
  <c r="X13" i="33"/>
  <c r="T13" i="33"/>
  <c r="P13" i="33"/>
  <c r="H13" i="33"/>
  <c r="N13" i="33" s="1"/>
  <c r="D13" i="33"/>
  <c r="B13" i="33"/>
  <c r="D12" i="33"/>
  <c r="F74" i="33" s="1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N21" i="32" s="1"/>
  <c r="D21" i="32"/>
  <c r="B21" i="32"/>
  <c r="T20" i="32"/>
  <c r="Z20" i="32" s="1"/>
  <c r="P20" i="32"/>
  <c r="H20" i="32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Z13" i="32" s="1"/>
  <c r="P13" i="32"/>
  <c r="H13" i="32"/>
  <c r="N13" i="32" s="1"/>
  <c r="D13" i="32"/>
  <c r="B13" i="32"/>
  <c r="T12" i="32"/>
  <c r="P12" i="32"/>
  <c r="H12" i="32"/>
  <c r="J33" i="32" s="1"/>
  <c r="D12" i="32"/>
  <c r="F20" i="32" s="1"/>
  <c r="D5" i="32"/>
  <c r="D4" i="32"/>
  <c r="B39" i="31"/>
  <c r="B38" i="31"/>
  <c r="T34" i="31"/>
  <c r="Z34" i="31" s="1"/>
  <c r="P34" i="31"/>
  <c r="H34" i="31"/>
  <c r="N34" i="31" s="1"/>
  <c r="D34" i="31"/>
  <c r="T33" i="31"/>
  <c r="Z33" i="31" s="1"/>
  <c r="P33" i="31"/>
  <c r="H33" i="31"/>
  <c r="N33" i="31" s="1"/>
  <c r="D33" i="31"/>
  <c r="T29" i="31"/>
  <c r="Z29" i="31" s="1"/>
  <c r="P29" i="31"/>
  <c r="H29" i="31"/>
  <c r="N29" i="31" s="1"/>
  <c r="D29" i="31"/>
  <c r="T25" i="31"/>
  <c r="Z25" i="31" s="1"/>
  <c r="P25" i="31"/>
  <c r="H25" i="31"/>
  <c r="N25" i="31" s="1"/>
  <c r="D25" i="31"/>
  <c r="B25" i="31"/>
  <c r="T24" i="31"/>
  <c r="Z24" i="31" s="1"/>
  <c r="P24" i="31"/>
  <c r="H24" i="31"/>
  <c r="N24" i="31" s="1"/>
  <c r="D24" i="31"/>
  <c r="T22" i="31"/>
  <c r="Z22" i="31" s="1"/>
  <c r="P22" i="31"/>
  <c r="H22" i="31"/>
  <c r="N22" i="31" s="1"/>
  <c r="D22" i="31"/>
  <c r="B22" i="31"/>
  <c r="T21" i="31"/>
  <c r="Z21" i="31" s="1"/>
  <c r="P21" i="31"/>
  <c r="H21" i="31"/>
  <c r="N21" i="31" s="1"/>
  <c r="D21" i="31"/>
  <c r="B21" i="31"/>
  <c r="T20" i="31"/>
  <c r="Z20" i="31" s="1"/>
  <c r="P20" i="31"/>
  <c r="H20" i="31"/>
  <c r="N20" i="31" s="1"/>
  <c r="D20" i="31"/>
  <c r="T16" i="31"/>
  <c r="Z16" i="31" s="1"/>
  <c r="P16" i="31"/>
  <c r="H16" i="31"/>
  <c r="N16" i="31" s="1"/>
  <c r="D16" i="31"/>
  <c r="B16" i="31"/>
  <c r="T15" i="31"/>
  <c r="Z15" i="31" s="1"/>
  <c r="P15" i="31"/>
  <c r="H15" i="31"/>
  <c r="N15" i="31" s="1"/>
  <c r="D15" i="31"/>
  <c r="T13" i="31"/>
  <c r="Z13" i="31" s="1"/>
  <c r="P13" i="31"/>
  <c r="H13" i="31"/>
  <c r="N13" i="31" s="1"/>
  <c r="D13" i="31"/>
  <c r="B13" i="31"/>
  <c r="T12" i="31"/>
  <c r="P12" i="31"/>
  <c r="R22" i="31" s="1"/>
  <c r="H12" i="31"/>
  <c r="J20" i="31" s="1"/>
  <c r="D12" i="31"/>
  <c r="F20" i="31" s="1"/>
  <c r="D5" i="31"/>
  <c r="D4" i="31"/>
  <c r="Z157" i="30"/>
  <c r="X157" i="30"/>
  <c r="N157" i="30"/>
  <c r="L157" i="30"/>
  <c r="Z153" i="30"/>
  <c r="X153" i="30"/>
  <c r="T153" i="30"/>
  <c r="P153" i="30"/>
  <c r="P151" i="30" s="1"/>
  <c r="H153" i="30"/>
  <c r="H151" i="30" s="1"/>
  <c r="D153" i="30"/>
  <c r="L153" i="30" s="1"/>
  <c r="B153" i="30"/>
  <c r="T152" i="30"/>
  <c r="P152" i="30"/>
  <c r="H152" i="30"/>
  <c r="N152" i="30" s="1"/>
  <c r="D152" i="30"/>
  <c r="L152" i="30" s="1"/>
  <c r="B152" i="30"/>
  <c r="Z149" i="30"/>
  <c r="X149" i="30"/>
  <c r="L149" i="30"/>
  <c r="N149" i="30" s="1"/>
  <c r="B149" i="30"/>
  <c r="X148" i="30"/>
  <c r="T148" i="30"/>
  <c r="Z148" i="30" s="1"/>
  <c r="P148" i="30"/>
  <c r="H148" i="30"/>
  <c r="D148" i="30"/>
  <c r="B148" i="30"/>
  <c r="Z147" i="30"/>
  <c r="X147" i="30"/>
  <c r="N147" i="30"/>
  <c r="L147" i="30"/>
  <c r="B147" i="30"/>
  <c r="T146" i="30"/>
  <c r="P146" i="30"/>
  <c r="H146" i="30"/>
  <c r="N146" i="30" s="1"/>
  <c r="D146" i="30"/>
  <c r="L146" i="30" s="1"/>
  <c r="B146" i="30"/>
  <c r="X145" i="30"/>
  <c r="Z145" i="30" s="1"/>
  <c r="N145" i="30"/>
  <c r="L145" i="30"/>
  <c r="B145" i="30"/>
  <c r="T144" i="30"/>
  <c r="Z144" i="30" s="1"/>
  <c r="P144" i="30"/>
  <c r="X144" i="30" s="1"/>
  <c r="H144" i="30"/>
  <c r="D144" i="30"/>
  <c r="L144" i="30" s="1"/>
  <c r="N144" i="30" s="1"/>
  <c r="B144" i="30"/>
  <c r="Z143" i="30"/>
  <c r="X143" i="30"/>
  <c r="N143" i="30"/>
  <c r="L143" i="30"/>
  <c r="B143" i="30"/>
  <c r="Z142" i="30"/>
  <c r="X142" i="30"/>
  <c r="L142" i="30"/>
  <c r="N142" i="30" s="1"/>
  <c r="B142" i="30"/>
  <c r="X141" i="30"/>
  <c r="Z141" i="30" s="1"/>
  <c r="N141" i="30"/>
  <c r="L141" i="30"/>
  <c r="B141" i="30"/>
  <c r="X140" i="30"/>
  <c r="Z140" i="30" s="1"/>
  <c r="L140" i="30"/>
  <c r="N140" i="30" s="1"/>
  <c r="B140" i="30"/>
  <c r="T139" i="30"/>
  <c r="P139" i="30"/>
  <c r="X139" i="30" s="1"/>
  <c r="Z139" i="30" s="1"/>
  <c r="L139" i="30"/>
  <c r="H139" i="30"/>
  <c r="N139" i="30" s="1"/>
  <c r="D139" i="30"/>
  <c r="B139" i="30"/>
  <c r="Z138" i="30"/>
  <c r="X138" i="30"/>
  <c r="N138" i="30"/>
  <c r="L138" i="30"/>
  <c r="B138" i="30"/>
  <c r="X137" i="30"/>
  <c r="Z137" i="30" s="1"/>
  <c r="N137" i="30"/>
  <c r="L137" i="30"/>
  <c r="B137" i="30"/>
  <c r="T136" i="30"/>
  <c r="P136" i="30"/>
  <c r="X136" i="30" s="1"/>
  <c r="Z136" i="30" s="1"/>
  <c r="H136" i="30"/>
  <c r="D136" i="30"/>
  <c r="L136" i="30" s="1"/>
  <c r="N136" i="30" s="1"/>
  <c r="B136" i="30"/>
  <c r="Z135" i="30"/>
  <c r="X135" i="30"/>
  <c r="N135" i="30"/>
  <c r="L135" i="30"/>
  <c r="B135" i="30"/>
  <c r="Z134" i="30"/>
  <c r="X134" i="30"/>
  <c r="N134" i="30"/>
  <c r="L134" i="30"/>
  <c r="B134" i="30"/>
  <c r="X133" i="30"/>
  <c r="Z133" i="30" s="1"/>
  <c r="N133" i="30"/>
  <c r="L133" i="30"/>
  <c r="B133" i="30"/>
  <c r="T132" i="30"/>
  <c r="Z132" i="30" s="1"/>
  <c r="P132" i="30"/>
  <c r="X132" i="30" s="1"/>
  <c r="H132" i="30"/>
  <c r="D132" i="30"/>
  <c r="L132" i="30" s="1"/>
  <c r="N132" i="30" s="1"/>
  <c r="B132" i="30"/>
  <c r="Z131" i="30"/>
  <c r="X131" i="30"/>
  <c r="N131" i="30"/>
  <c r="L131" i="30"/>
  <c r="B131" i="30"/>
  <c r="Z130" i="30"/>
  <c r="X130" i="30"/>
  <c r="N130" i="30"/>
  <c r="L130" i="30"/>
  <c r="B130" i="30"/>
  <c r="X129" i="30"/>
  <c r="T129" i="30"/>
  <c r="Z129" i="30" s="1"/>
  <c r="P129" i="30"/>
  <c r="N129" i="30"/>
  <c r="L129" i="30"/>
  <c r="H129" i="30"/>
  <c r="D129" i="30"/>
  <c r="B129" i="30"/>
  <c r="Z128" i="30"/>
  <c r="X128" i="30"/>
  <c r="N128" i="30"/>
  <c r="L128" i="30"/>
  <c r="B128" i="30"/>
  <c r="Z127" i="30"/>
  <c r="X127" i="30"/>
  <c r="N127" i="30"/>
  <c r="L127" i="30"/>
  <c r="B127" i="30"/>
  <c r="Z126" i="30"/>
  <c r="X126" i="30"/>
  <c r="N126" i="30"/>
  <c r="L126" i="30"/>
  <c r="B126" i="30"/>
  <c r="X125" i="30"/>
  <c r="T125" i="30"/>
  <c r="Z125" i="30" s="1"/>
  <c r="P125" i="30"/>
  <c r="N125" i="30"/>
  <c r="L125" i="30"/>
  <c r="H125" i="30"/>
  <c r="D125" i="30"/>
  <c r="B125" i="30"/>
  <c r="X124" i="30"/>
  <c r="Z124" i="30" s="1"/>
  <c r="N124" i="30"/>
  <c r="L124" i="30"/>
  <c r="B124" i="30"/>
  <c r="Z123" i="30"/>
  <c r="X123" i="30"/>
  <c r="T123" i="30"/>
  <c r="P123" i="30"/>
  <c r="H123" i="30"/>
  <c r="N123" i="30" s="1"/>
  <c r="D123" i="30"/>
  <c r="L123" i="30" s="1"/>
  <c r="B123" i="30"/>
  <c r="Z122" i="30"/>
  <c r="X122" i="30"/>
  <c r="N122" i="30"/>
  <c r="L122" i="30"/>
  <c r="B122" i="30"/>
  <c r="T121" i="30"/>
  <c r="Z121" i="30" s="1"/>
  <c r="P121" i="30"/>
  <c r="X121" i="30" s="1"/>
  <c r="N121" i="30"/>
  <c r="H121" i="30"/>
  <c r="D121" i="30"/>
  <c r="L121" i="30" s="1"/>
  <c r="B121" i="30"/>
  <c r="Z120" i="30"/>
  <c r="X120" i="30"/>
  <c r="N120" i="30"/>
  <c r="L120" i="30"/>
  <c r="B120" i="30"/>
  <c r="Z119" i="30"/>
  <c r="X119" i="30"/>
  <c r="N119" i="30"/>
  <c r="L119" i="30"/>
  <c r="B119" i="30"/>
  <c r="T118" i="30"/>
  <c r="P118" i="30"/>
  <c r="H118" i="30"/>
  <c r="D118" i="30"/>
  <c r="L118" i="30" s="1"/>
  <c r="N118" i="30" s="1"/>
  <c r="B118" i="30"/>
  <c r="X117" i="30"/>
  <c r="Z117" i="30" s="1"/>
  <c r="N117" i="30"/>
  <c r="L117" i="30"/>
  <c r="B117" i="30"/>
  <c r="T116" i="30"/>
  <c r="P116" i="30"/>
  <c r="X116" i="30" s="1"/>
  <c r="Z116" i="30" s="1"/>
  <c r="H116" i="30"/>
  <c r="D116" i="30"/>
  <c r="L116" i="30" s="1"/>
  <c r="N116" i="30" s="1"/>
  <c r="B116" i="30"/>
  <c r="Z115" i="30"/>
  <c r="X115" i="30"/>
  <c r="N115" i="30"/>
  <c r="L115" i="30"/>
  <c r="B115" i="30"/>
  <c r="Z114" i="30"/>
  <c r="T114" i="30"/>
  <c r="P114" i="30"/>
  <c r="X114" i="30" s="1"/>
  <c r="N114" i="30"/>
  <c r="L114" i="30"/>
  <c r="H114" i="30"/>
  <c r="D114" i="30"/>
  <c r="B114" i="30"/>
  <c r="Z113" i="30"/>
  <c r="X113" i="30"/>
  <c r="N113" i="30"/>
  <c r="L113" i="30"/>
  <c r="B113" i="30"/>
  <c r="X112" i="30"/>
  <c r="Z112" i="30" s="1"/>
  <c r="N112" i="30"/>
  <c r="L112" i="30"/>
  <c r="B112" i="30"/>
  <c r="Z111" i="30"/>
  <c r="X111" i="30"/>
  <c r="T111" i="30"/>
  <c r="P111" i="30"/>
  <c r="H111" i="30"/>
  <c r="N111" i="30" s="1"/>
  <c r="D111" i="30"/>
  <c r="L111" i="30" s="1"/>
  <c r="B111" i="30"/>
  <c r="Z110" i="30"/>
  <c r="X110" i="30"/>
  <c r="N110" i="30"/>
  <c r="L110" i="30"/>
  <c r="B110" i="30"/>
  <c r="T109" i="30"/>
  <c r="Z109" i="30" s="1"/>
  <c r="P109" i="30"/>
  <c r="X109" i="30" s="1"/>
  <c r="N109" i="30"/>
  <c r="H109" i="30"/>
  <c r="D109" i="30"/>
  <c r="L109" i="30" s="1"/>
  <c r="B109" i="30"/>
  <c r="Z108" i="30"/>
  <c r="X108" i="30"/>
  <c r="N108" i="30"/>
  <c r="L108" i="30"/>
  <c r="B108" i="30"/>
  <c r="Z107" i="30"/>
  <c r="X107" i="30"/>
  <c r="N107" i="30"/>
  <c r="L107" i="30"/>
  <c r="B107" i="30"/>
  <c r="T106" i="30"/>
  <c r="Z106" i="30" s="1"/>
  <c r="P106" i="30"/>
  <c r="N106" i="30"/>
  <c r="H106" i="30"/>
  <c r="D106" i="30"/>
  <c r="L106" i="30" s="1"/>
  <c r="B106" i="30"/>
  <c r="X105" i="30"/>
  <c r="Z105" i="30" s="1"/>
  <c r="N105" i="30"/>
  <c r="L105" i="30"/>
  <c r="B105" i="30"/>
  <c r="T104" i="30"/>
  <c r="P104" i="30"/>
  <c r="X104" i="30" s="1"/>
  <c r="Z104" i="30" s="1"/>
  <c r="H104" i="30"/>
  <c r="D104" i="30"/>
  <c r="L104" i="30" s="1"/>
  <c r="N104" i="30" s="1"/>
  <c r="B104" i="30"/>
  <c r="Z103" i="30"/>
  <c r="X103" i="30"/>
  <c r="N103" i="30"/>
  <c r="L103" i="30"/>
  <c r="B103" i="30"/>
  <c r="T102" i="30"/>
  <c r="P102" i="30"/>
  <c r="X102" i="30" s="1"/>
  <c r="Z102" i="30" s="1"/>
  <c r="L102" i="30"/>
  <c r="H102" i="30"/>
  <c r="N102" i="30" s="1"/>
  <c r="D102" i="30"/>
  <c r="B102" i="30"/>
  <c r="Z101" i="30"/>
  <c r="X101" i="30"/>
  <c r="L101" i="30"/>
  <c r="N101" i="30" s="1"/>
  <c r="B101" i="30"/>
  <c r="X100" i="30"/>
  <c r="T100" i="30"/>
  <c r="Z100" i="30" s="1"/>
  <c r="P100" i="30"/>
  <c r="H100" i="30"/>
  <c r="D100" i="30"/>
  <c r="B100" i="30"/>
  <c r="Z99" i="30"/>
  <c r="X99" i="30"/>
  <c r="N99" i="30"/>
  <c r="L99" i="30"/>
  <c r="B99" i="30"/>
  <c r="X98" i="30"/>
  <c r="Z98" i="30" s="1"/>
  <c r="N98" i="30"/>
  <c r="L98" i="30"/>
  <c r="B98" i="30"/>
  <c r="Z97" i="30"/>
  <c r="X97" i="30"/>
  <c r="L97" i="30"/>
  <c r="N97" i="30" s="1"/>
  <c r="B97" i="30"/>
  <c r="X96" i="30"/>
  <c r="Z96" i="30" s="1"/>
  <c r="N96" i="30"/>
  <c r="L96" i="30"/>
  <c r="B96" i="30"/>
  <c r="Z95" i="30"/>
  <c r="X95" i="30"/>
  <c r="N95" i="30"/>
  <c r="L95" i="30"/>
  <c r="B95" i="30"/>
  <c r="T94" i="30"/>
  <c r="P94" i="30"/>
  <c r="X94" i="30" s="1"/>
  <c r="Z94" i="30" s="1"/>
  <c r="L94" i="30"/>
  <c r="N94" i="30" s="1"/>
  <c r="H94" i="30"/>
  <c r="D94" i="30"/>
  <c r="B94" i="30"/>
  <c r="Z93" i="30"/>
  <c r="X93" i="30"/>
  <c r="L93" i="30"/>
  <c r="N93" i="30" s="1"/>
  <c r="B93" i="30"/>
  <c r="X92" i="30"/>
  <c r="Z92" i="30" s="1"/>
  <c r="L92" i="30"/>
  <c r="N92" i="30" s="1"/>
  <c r="B92" i="30"/>
  <c r="Z91" i="30"/>
  <c r="X91" i="30"/>
  <c r="N91" i="30"/>
  <c r="L91" i="30"/>
  <c r="B91" i="30"/>
  <c r="Z90" i="30"/>
  <c r="X90" i="30"/>
  <c r="L90" i="30"/>
  <c r="N90" i="30" s="1"/>
  <c r="B90" i="30"/>
  <c r="X89" i="30"/>
  <c r="Z89" i="30" s="1"/>
  <c r="N89" i="30"/>
  <c r="L89" i="30"/>
  <c r="B89" i="30"/>
  <c r="Z88" i="30"/>
  <c r="X88" i="30"/>
  <c r="L88" i="30"/>
  <c r="N88" i="30" s="1"/>
  <c r="B88" i="30"/>
  <c r="Z87" i="30"/>
  <c r="X87" i="30"/>
  <c r="N87" i="30"/>
  <c r="L87" i="30"/>
  <c r="B87" i="30"/>
  <c r="X86" i="30"/>
  <c r="Z86" i="30" s="1"/>
  <c r="N86" i="30"/>
  <c r="L86" i="30"/>
  <c r="B86" i="30"/>
  <c r="T85" i="30"/>
  <c r="P85" i="30"/>
  <c r="X85" i="30" s="1"/>
  <c r="H85" i="30"/>
  <c r="D85" i="30"/>
  <c r="L85" i="30" s="1"/>
  <c r="N85" i="30" s="1"/>
  <c r="B85" i="30"/>
  <c r="T84" i="30"/>
  <c r="Z84" i="30" s="1"/>
  <c r="P84" i="30"/>
  <c r="X84" i="30" s="1"/>
  <c r="H84" i="30"/>
  <c r="D84" i="30"/>
  <c r="L84" i="30" s="1"/>
  <c r="N84" i="30" s="1"/>
  <c r="X80" i="30"/>
  <c r="Z80" i="30" s="1"/>
  <c r="L80" i="30"/>
  <c r="N80" i="30" s="1"/>
  <c r="B80" i="30"/>
  <c r="Z79" i="30"/>
  <c r="X79" i="30"/>
  <c r="N79" i="30"/>
  <c r="L79" i="30"/>
  <c r="B79" i="30"/>
  <c r="X78" i="30"/>
  <c r="Z78" i="30" s="1"/>
  <c r="N78" i="30"/>
  <c r="L78" i="30"/>
  <c r="B78" i="30"/>
  <c r="Z77" i="30"/>
  <c r="X77" i="30"/>
  <c r="L77" i="30"/>
  <c r="N77" i="30" s="1"/>
  <c r="B77" i="30"/>
  <c r="X76" i="30"/>
  <c r="Z76" i="30" s="1"/>
  <c r="L76" i="30"/>
  <c r="N76" i="30" s="1"/>
  <c r="B76" i="30"/>
  <c r="Z75" i="30"/>
  <c r="X75" i="30"/>
  <c r="N75" i="30"/>
  <c r="L75" i="30"/>
  <c r="B75" i="30"/>
  <c r="Z74" i="30"/>
  <c r="X74" i="30"/>
  <c r="N74" i="30"/>
  <c r="L74" i="30"/>
  <c r="B74" i="30"/>
  <c r="X73" i="30"/>
  <c r="Z73" i="30" s="1"/>
  <c r="N73" i="30"/>
  <c r="L73" i="30"/>
  <c r="B73" i="30"/>
  <c r="X72" i="30"/>
  <c r="Z72" i="30" s="1"/>
  <c r="N72" i="30"/>
  <c r="L72" i="30"/>
  <c r="B72" i="30"/>
  <c r="Z71" i="30"/>
  <c r="X71" i="30"/>
  <c r="N71" i="30"/>
  <c r="L71" i="30"/>
  <c r="B71" i="30"/>
  <c r="X70" i="30"/>
  <c r="Z70" i="30" s="1"/>
  <c r="N70" i="30"/>
  <c r="L70" i="30"/>
  <c r="B70" i="30"/>
  <c r="Z69" i="30"/>
  <c r="X69" i="30"/>
  <c r="L69" i="30"/>
  <c r="N69" i="30" s="1"/>
  <c r="B69" i="30"/>
  <c r="X68" i="30"/>
  <c r="Z68" i="30" s="1"/>
  <c r="L68" i="30"/>
  <c r="N68" i="30" s="1"/>
  <c r="B68" i="30"/>
  <c r="Z67" i="30"/>
  <c r="X67" i="30"/>
  <c r="N67" i="30"/>
  <c r="L67" i="30"/>
  <c r="B67" i="30"/>
  <c r="Z66" i="30"/>
  <c r="X66" i="30"/>
  <c r="L66" i="30"/>
  <c r="N66" i="30" s="1"/>
  <c r="B66" i="30"/>
  <c r="X65" i="30"/>
  <c r="Z65" i="30" s="1"/>
  <c r="N65" i="30"/>
  <c r="L65" i="30"/>
  <c r="B65" i="30"/>
  <c r="X64" i="30"/>
  <c r="Z64" i="30" s="1"/>
  <c r="L64" i="30"/>
  <c r="N64" i="30" s="1"/>
  <c r="B64" i="30"/>
  <c r="Z63" i="30"/>
  <c r="X63" i="30"/>
  <c r="N63" i="30"/>
  <c r="L63" i="30"/>
  <c r="B63" i="30"/>
  <c r="X62" i="30"/>
  <c r="Z62" i="30" s="1"/>
  <c r="N62" i="30"/>
  <c r="L62" i="30"/>
  <c r="B62" i="30"/>
  <c r="Z61" i="30"/>
  <c r="X61" i="30"/>
  <c r="N61" i="30"/>
  <c r="L61" i="30"/>
  <c r="B61" i="30"/>
  <c r="X60" i="30"/>
  <c r="Z60" i="30" s="1"/>
  <c r="N60" i="30"/>
  <c r="L60" i="30"/>
  <c r="B60" i="30"/>
  <c r="Z59" i="30"/>
  <c r="X59" i="30"/>
  <c r="N59" i="30"/>
  <c r="L59" i="30"/>
  <c r="B59" i="30"/>
  <c r="Z58" i="30"/>
  <c r="X58" i="30"/>
  <c r="N58" i="30"/>
  <c r="L58" i="30"/>
  <c r="B58" i="30"/>
  <c r="Z57" i="30"/>
  <c r="X57" i="30"/>
  <c r="N57" i="30"/>
  <c r="L57" i="30"/>
  <c r="B57" i="30"/>
  <c r="T56" i="30"/>
  <c r="Z56" i="30" s="1"/>
  <c r="P56" i="30"/>
  <c r="X56" i="30" s="1"/>
  <c r="H56" i="30"/>
  <c r="D56" i="30"/>
  <c r="L56" i="30" s="1"/>
  <c r="N56" i="30" s="1"/>
  <c r="X54" i="30"/>
  <c r="T54" i="30"/>
  <c r="Z54" i="30" s="1"/>
  <c r="P54" i="30"/>
  <c r="N54" i="30"/>
  <c r="H54" i="30"/>
  <c r="D54" i="30"/>
  <c r="L54" i="30" s="1"/>
  <c r="B54" i="30"/>
  <c r="Z53" i="30"/>
  <c r="X53" i="30"/>
  <c r="T53" i="30"/>
  <c r="P53" i="30"/>
  <c r="H53" i="30"/>
  <c r="N53" i="30" s="1"/>
  <c r="D53" i="30"/>
  <c r="B53" i="30"/>
  <c r="T52" i="30"/>
  <c r="P52" i="30"/>
  <c r="X52" i="30" s="1"/>
  <c r="Z52" i="30" s="1"/>
  <c r="H52" i="30"/>
  <c r="D52" i="30"/>
  <c r="L52" i="30" s="1"/>
  <c r="N52" i="30" s="1"/>
  <c r="B52" i="30"/>
  <c r="T51" i="30"/>
  <c r="P51" i="30"/>
  <c r="X51" i="30" s="1"/>
  <c r="H51" i="30"/>
  <c r="D51" i="30"/>
  <c r="L51" i="30" s="1"/>
  <c r="B51" i="30"/>
  <c r="T50" i="30"/>
  <c r="Z50" i="30" s="1"/>
  <c r="P50" i="30"/>
  <c r="X50" i="30" s="1"/>
  <c r="L50" i="30"/>
  <c r="H50" i="30"/>
  <c r="N50" i="30" s="1"/>
  <c r="D50" i="30"/>
  <c r="B50" i="30"/>
  <c r="T49" i="30"/>
  <c r="P49" i="30"/>
  <c r="N49" i="30"/>
  <c r="L49" i="30"/>
  <c r="H49" i="30"/>
  <c r="D49" i="30"/>
  <c r="B49" i="30"/>
  <c r="T48" i="30"/>
  <c r="P48" i="30"/>
  <c r="X48" i="30" s="1"/>
  <c r="Z48" i="30" s="1"/>
  <c r="H48" i="30"/>
  <c r="D48" i="30"/>
  <c r="L48" i="30" s="1"/>
  <c r="N48" i="30" s="1"/>
  <c r="B48" i="30"/>
  <c r="T47" i="30"/>
  <c r="Z47" i="30" s="1"/>
  <c r="P47" i="30"/>
  <c r="X47" i="30" s="1"/>
  <c r="H47" i="30"/>
  <c r="N47" i="30" s="1"/>
  <c r="D47" i="30"/>
  <c r="L47" i="30" s="1"/>
  <c r="B47" i="30"/>
  <c r="X46" i="30"/>
  <c r="T46" i="30"/>
  <c r="Z46" i="30" s="1"/>
  <c r="P46" i="30"/>
  <c r="H46" i="30"/>
  <c r="N46" i="30" s="1"/>
  <c r="D46" i="30"/>
  <c r="L46" i="30" s="1"/>
  <c r="B46" i="30"/>
  <c r="Z45" i="30"/>
  <c r="X45" i="30"/>
  <c r="T45" i="30"/>
  <c r="P45" i="30"/>
  <c r="H45" i="30"/>
  <c r="D45" i="30"/>
  <c r="B45" i="30"/>
  <c r="T44" i="30"/>
  <c r="P44" i="30"/>
  <c r="X44" i="30" s="1"/>
  <c r="Z44" i="30" s="1"/>
  <c r="H44" i="30"/>
  <c r="D44" i="30"/>
  <c r="L44" i="30" s="1"/>
  <c r="N44" i="30" s="1"/>
  <c r="B44" i="30"/>
  <c r="T43" i="30"/>
  <c r="P43" i="30"/>
  <c r="X43" i="30" s="1"/>
  <c r="H43" i="30"/>
  <c r="D43" i="30"/>
  <c r="L43" i="30" s="1"/>
  <c r="B43" i="30"/>
  <c r="T42" i="30"/>
  <c r="Z42" i="30" s="1"/>
  <c r="P42" i="30"/>
  <c r="X42" i="30" s="1"/>
  <c r="L42" i="30"/>
  <c r="H42" i="30"/>
  <c r="N42" i="30" s="1"/>
  <c r="D42" i="30"/>
  <c r="B42" i="30"/>
  <c r="T41" i="30"/>
  <c r="P41" i="30"/>
  <c r="N41" i="30"/>
  <c r="L41" i="30"/>
  <c r="H41" i="30"/>
  <c r="D41" i="30"/>
  <c r="B41" i="30"/>
  <c r="Z40" i="30"/>
  <c r="T40" i="30"/>
  <c r="P40" i="30"/>
  <c r="X40" i="30" s="1"/>
  <c r="N40" i="30"/>
  <c r="H40" i="30"/>
  <c r="D40" i="30"/>
  <c r="L40" i="30" s="1"/>
  <c r="B40" i="30"/>
  <c r="T39" i="30"/>
  <c r="Z39" i="30" s="1"/>
  <c r="P39" i="30"/>
  <c r="X39" i="30" s="1"/>
  <c r="H39" i="30"/>
  <c r="D39" i="30"/>
  <c r="L39" i="30" s="1"/>
  <c r="B39" i="30"/>
  <c r="X38" i="30"/>
  <c r="T38" i="30"/>
  <c r="Z38" i="30" s="1"/>
  <c r="P38" i="30"/>
  <c r="H38" i="30"/>
  <c r="N38" i="30" s="1"/>
  <c r="D38" i="30"/>
  <c r="L38" i="30" s="1"/>
  <c r="B38" i="30"/>
  <c r="Z37" i="30"/>
  <c r="X37" i="30"/>
  <c r="T37" i="30"/>
  <c r="P37" i="30"/>
  <c r="H37" i="30"/>
  <c r="D37" i="30"/>
  <c r="B37" i="30"/>
  <c r="T36" i="30"/>
  <c r="P36" i="30"/>
  <c r="X36" i="30" s="1"/>
  <c r="Z36" i="30" s="1"/>
  <c r="H36" i="30"/>
  <c r="D36" i="30"/>
  <c r="L36" i="30" s="1"/>
  <c r="N36" i="30" s="1"/>
  <c r="B36" i="30"/>
  <c r="T35" i="30"/>
  <c r="P35" i="30"/>
  <c r="X35" i="30" s="1"/>
  <c r="H35" i="30"/>
  <c r="D35" i="30"/>
  <c r="L35" i="30" s="1"/>
  <c r="B35" i="30"/>
  <c r="T34" i="30"/>
  <c r="Z34" i="30" s="1"/>
  <c r="P34" i="30"/>
  <c r="X34" i="30" s="1"/>
  <c r="L34" i="30"/>
  <c r="H34" i="30"/>
  <c r="N34" i="30" s="1"/>
  <c r="D34" i="30"/>
  <c r="B34" i="30"/>
  <c r="T33" i="30"/>
  <c r="P33" i="30"/>
  <c r="N33" i="30"/>
  <c r="L33" i="30"/>
  <c r="H33" i="30"/>
  <c r="D33" i="30"/>
  <c r="B33" i="30"/>
  <c r="T32" i="30"/>
  <c r="P32" i="30"/>
  <c r="X32" i="30" s="1"/>
  <c r="Z32" i="30" s="1"/>
  <c r="N32" i="30"/>
  <c r="H32" i="30"/>
  <c r="D32" i="30"/>
  <c r="L32" i="30" s="1"/>
  <c r="B32" i="30"/>
  <c r="T31" i="30"/>
  <c r="P31" i="30"/>
  <c r="X31" i="30" s="1"/>
  <c r="H31" i="30"/>
  <c r="N31" i="30" s="1"/>
  <c r="D31" i="30"/>
  <c r="L31" i="30" s="1"/>
  <c r="B31" i="30"/>
  <c r="X30" i="30"/>
  <c r="T30" i="30"/>
  <c r="Z30" i="30" s="1"/>
  <c r="P30" i="30"/>
  <c r="H30" i="30"/>
  <c r="N30" i="30" s="1"/>
  <c r="D30" i="30"/>
  <c r="L30" i="30" s="1"/>
  <c r="B30" i="30"/>
  <c r="Z29" i="30"/>
  <c r="X29" i="30"/>
  <c r="T29" i="30"/>
  <c r="P29" i="30"/>
  <c r="H29" i="30"/>
  <c r="D29" i="30"/>
  <c r="B29" i="30"/>
  <c r="T28" i="30"/>
  <c r="P28" i="30"/>
  <c r="X28" i="30" s="1"/>
  <c r="Z28" i="30" s="1"/>
  <c r="H28" i="30"/>
  <c r="D28" i="30"/>
  <c r="L28" i="30" s="1"/>
  <c r="N28" i="30" s="1"/>
  <c r="B28" i="30"/>
  <c r="T27" i="30"/>
  <c r="P27" i="30"/>
  <c r="X27" i="30" s="1"/>
  <c r="H27" i="30"/>
  <c r="N27" i="30" s="1"/>
  <c r="D27" i="30"/>
  <c r="L27" i="30" s="1"/>
  <c r="B27" i="30"/>
  <c r="T26" i="30"/>
  <c r="P26" i="30"/>
  <c r="X26" i="30" s="1"/>
  <c r="L26" i="30"/>
  <c r="H26" i="30"/>
  <c r="N26" i="30" s="1"/>
  <c r="D26" i="30"/>
  <c r="B26" i="30"/>
  <c r="T25" i="30"/>
  <c r="Z25" i="30" s="1"/>
  <c r="P25" i="30"/>
  <c r="N25" i="30"/>
  <c r="L25" i="30"/>
  <c r="H25" i="30"/>
  <c r="D25" i="30"/>
  <c r="B25" i="30"/>
  <c r="T24" i="30"/>
  <c r="P24" i="30"/>
  <c r="X24" i="30" s="1"/>
  <c r="Z24" i="30" s="1"/>
  <c r="H24" i="30"/>
  <c r="D24" i="30"/>
  <c r="L24" i="30" s="1"/>
  <c r="N24" i="30" s="1"/>
  <c r="B24" i="30"/>
  <c r="T23" i="30"/>
  <c r="Z23" i="30" s="1"/>
  <c r="P23" i="30"/>
  <c r="X23" i="30" s="1"/>
  <c r="H23" i="30"/>
  <c r="D23" i="30"/>
  <c r="L23" i="30" s="1"/>
  <c r="B23" i="30"/>
  <c r="X22" i="30"/>
  <c r="T22" i="30"/>
  <c r="Z22" i="30" s="1"/>
  <c r="P22" i="30"/>
  <c r="H22" i="30"/>
  <c r="N22" i="30" s="1"/>
  <c r="D22" i="30"/>
  <c r="L22" i="30" s="1"/>
  <c r="B22" i="30"/>
  <c r="Z21" i="30"/>
  <c r="X21" i="30"/>
  <c r="T21" i="30"/>
  <c r="P21" i="30"/>
  <c r="H21" i="30"/>
  <c r="D21" i="30"/>
  <c r="B21" i="30"/>
  <c r="T20" i="30"/>
  <c r="P20" i="30"/>
  <c r="X20" i="30" s="1"/>
  <c r="Z20" i="30" s="1"/>
  <c r="H20" i="30"/>
  <c r="D20" i="30"/>
  <c r="L20" i="30" s="1"/>
  <c r="N20" i="30" s="1"/>
  <c r="B20" i="30"/>
  <c r="T19" i="30"/>
  <c r="Z19" i="30" s="1"/>
  <c r="P19" i="30"/>
  <c r="X19" i="30" s="1"/>
  <c r="H19" i="30"/>
  <c r="D19" i="30"/>
  <c r="L19" i="30" s="1"/>
  <c r="B19" i="30"/>
  <c r="T18" i="30"/>
  <c r="P18" i="30"/>
  <c r="X18" i="30" s="1"/>
  <c r="L18" i="30"/>
  <c r="H18" i="30"/>
  <c r="N18" i="30" s="1"/>
  <c r="D18" i="30"/>
  <c r="B18" i="30"/>
  <c r="T17" i="30"/>
  <c r="P17" i="30"/>
  <c r="N17" i="30"/>
  <c r="L17" i="30"/>
  <c r="H17" i="30"/>
  <c r="D17" i="30"/>
  <c r="B17" i="30"/>
  <c r="T16" i="30"/>
  <c r="P16" i="30"/>
  <c r="X16" i="30" s="1"/>
  <c r="Z16" i="30" s="1"/>
  <c r="H16" i="30"/>
  <c r="D16" i="30"/>
  <c r="L16" i="30" s="1"/>
  <c r="N16" i="30" s="1"/>
  <c r="B16" i="30"/>
  <c r="T15" i="30"/>
  <c r="P15" i="30"/>
  <c r="P12" i="30" s="1"/>
  <c r="H15" i="30"/>
  <c r="N15" i="30" s="1"/>
  <c r="D15" i="30"/>
  <c r="L15" i="30" s="1"/>
  <c r="B15" i="30"/>
  <c r="X14" i="30"/>
  <c r="T14" i="30"/>
  <c r="P14" i="30"/>
  <c r="H14" i="30"/>
  <c r="D14" i="30"/>
  <c r="L14" i="30" s="1"/>
  <c r="B14" i="30"/>
  <c r="Z13" i="30"/>
  <c r="X13" i="30"/>
  <c r="T13" i="30"/>
  <c r="P13" i="30"/>
  <c r="H13" i="30"/>
  <c r="D13" i="30"/>
  <c r="B13" i="30"/>
  <c r="D12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D20" i="29"/>
  <c r="T16" i="29"/>
  <c r="Z16" i="29" s="1"/>
  <c r="P16" i="29"/>
  <c r="H16" i="29"/>
  <c r="D16" i="29"/>
  <c r="B16" i="29"/>
  <c r="T15" i="29"/>
  <c r="Z15" i="29" s="1"/>
  <c r="P15" i="29"/>
  <c r="H15" i="29"/>
  <c r="N15" i="29" s="1"/>
  <c r="D15" i="29"/>
  <c r="T13" i="29"/>
  <c r="P13" i="29"/>
  <c r="H13" i="29"/>
  <c r="N13" i="29" s="1"/>
  <c r="D13" i="29"/>
  <c r="B13" i="29"/>
  <c r="T12" i="29"/>
  <c r="V34" i="29" s="1"/>
  <c r="P12" i="29"/>
  <c r="R15" i="29" s="1"/>
  <c r="H12" i="29"/>
  <c r="J21" i="29" s="1"/>
  <c r="D12" i="29"/>
  <c r="F16" i="29" s="1"/>
  <c r="D5" i="29"/>
  <c r="D4" i="29"/>
  <c r="B39" i="28"/>
  <c r="B38" i="28"/>
  <c r="T34" i="28"/>
  <c r="Z34" i="28" s="1"/>
  <c r="P34" i="28"/>
  <c r="H34" i="28"/>
  <c r="N34" i="28" s="1"/>
  <c r="D34" i="28"/>
  <c r="T33" i="28"/>
  <c r="P33" i="28"/>
  <c r="H33" i="28"/>
  <c r="N33" i="28" s="1"/>
  <c r="D33" i="28"/>
  <c r="T29" i="28"/>
  <c r="P29" i="28"/>
  <c r="H29" i="28"/>
  <c r="N29" i="28" s="1"/>
  <c r="D29" i="28"/>
  <c r="T25" i="28"/>
  <c r="P25" i="28"/>
  <c r="H25" i="28"/>
  <c r="N25" i="28" s="1"/>
  <c r="D25" i="28"/>
  <c r="B25" i="28"/>
  <c r="T24" i="28"/>
  <c r="Z24" i="28" s="1"/>
  <c r="P24" i="28"/>
  <c r="H24" i="28"/>
  <c r="N24" i="28" s="1"/>
  <c r="D24" i="28"/>
  <c r="T22" i="28"/>
  <c r="Z22" i="28" s="1"/>
  <c r="P22" i="28"/>
  <c r="H22" i="28"/>
  <c r="N22" i="28" s="1"/>
  <c r="D22" i="28"/>
  <c r="B22" i="28"/>
  <c r="T21" i="28"/>
  <c r="Z21" i="28" s="1"/>
  <c r="P21" i="28"/>
  <c r="H21" i="28"/>
  <c r="N21" i="28" s="1"/>
  <c r="D21" i="28"/>
  <c r="B21" i="28"/>
  <c r="T20" i="28"/>
  <c r="Z20" i="28" s="1"/>
  <c r="P20" i="28"/>
  <c r="H20" i="28"/>
  <c r="N20" i="28" s="1"/>
  <c r="D20" i="28"/>
  <c r="T16" i="28"/>
  <c r="Z16" i="28" s="1"/>
  <c r="P16" i="28"/>
  <c r="H16" i="28"/>
  <c r="N16" i="28" s="1"/>
  <c r="D16" i="28"/>
  <c r="B16" i="28"/>
  <c r="T15" i="28"/>
  <c r="P15" i="28"/>
  <c r="H15" i="28"/>
  <c r="N15" i="28" s="1"/>
  <c r="D15" i="28"/>
  <c r="T13" i="28"/>
  <c r="Z13" i="28" s="1"/>
  <c r="P13" i="28"/>
  <c r="H13" i="28"/>
  <c r="N13" i="28" s="1"/>
  <c r="D13" i="28"/>
  <c r="B13" i="28"/>
  <c r="T12" i="28"/>
  <c r="V20" i="28" s="1"/>
  <c r="P12" i="28"/>
  <c r="H12" i="28"/>
  <c r="J34" i="28" s="1"/>
  <c r="D12" i="28"/>
  <c r="D5" i="28"/>
  <c r="D4" i="28"/>
  <c r="Z114" i="27"/>
  <c r="X114" i="27"/>
  <c r="L114" i="27"/>
  <c r="N114" i="27" s="1"/>
  <c r="X110" i="27"/>
  <c r="Z110" i="27" s="1"/>
  <c r="T110" i="27"/>
  <c r="P110" i="27"/>
  <c r="H110" i="27"/>
  <c r="H107" i="27" s="1"/>
  <c r="D110" i="27"/>
  <c r="B110" i="27"/>
  <c r="T109" i="27"/>
  <c r="P109" i="27"/>
  <c r="N109" i="27"/>
  <c r="H109" i="27"/>
  <c r="D109" i="27"/>
  <c r="L109" i="27" s="1"/>
  <c r="B109" i="27"/>
  <c r="X108" i="27"/>
  <c r="T108" i="27"/>
  <c r="Z108" i="27" s="1"/>
  <c r="P108" i="27"/>
  <c r="L108" i="27"/>
  <c r="N108" i="27" s="1"/>
  <c r="H108" i="27"/>
  <c r="D108" i="27"/>
  <c r="D107" i="27" s="1"/>
  <c r="B108" i="27"/>
  <c r="P107" i="27"/>
  <c r="Z105" i="27"/>
  <c r="X105" i="27"/>
  <c r="N105" i="27"/>
  <c r="L105" i="27"/>
  <c r="B105" i="27"/>
  <c r="T104" i="27"/>
  <c r="P104" i="27"/>
  <c r="X104" i="27" s="1"/>
  <c r="Z104" i="27" s="1"/>
  <c r="L104" i="27"/>
  <c r="H104" i="27"/>
  <c r="N104" i="27" s="1"/>
  <c r="D104" i="27"/>
  <c r="B104" i="27"/>
  <c r="Z103" i="27"/>
  <c r="X103" i="27"/>
  <c r="L103" i="27"/>
  <c r="N103" i="27" s="1"/>
  <c r="B103" i="27"/>
  <c r="X102" i="27"/>
  <c r="Z102" i="27" s="1"/>
  <c r="N102" i="27"/>
  <c r="L102" i="27"/>
  <c r="B102" i="27"/>
  <c r="T101" i="27"/>
  <c r="P101" i="27"/>
  <c r="X101" i="27" s="1"/>
  <c r="Z101" i="27" s="1"/>
  <c r="H101" i="27"/>
  <c r="D101" i="27"/>
  <c r="L101" i="27" s="1"/>
  <c r="N101" i="27" s="1"/>
  <c r="B101" i="27"/>
  <c r="X100" i="27"/>
  <c r="Z100" i="27" s="1"/>
  <c r="N100" i="27"/>
  <c r="L100" i="27"/>
  <c r="B100" i="27"/>
  <c r="Z99" i="27"/>
  <c r="X99" i="27"/>
  <c r="L99" i="27"/>
  <c r="N99" i="27" s="1"/>
  <c r="B99" i="27"/>
  <c r="X98" i="27"/>
  <c r="T98" i="27"/>
  <c r="Z98" i="27" s="1"/>
  <c r="P98" i="27"/>
  <c r="L98" i="27"/>
  <c r="N98" i="27" s="1"/>
  <c r="H98" i="27"/>
  <c r="D98" i="27"/>
  <c r="B98" i="27"/>
  <c r="X97" i="27"/>
  <c r="Z97" i="27" s="1"/>
  <c r="N97" i="27"/>
  <c r="L97" i="27"/>
  <c r="B97" i="27"/>
  <c r="Z96" i="27"/>
  <c r="X96" i="27"/>
  <c r="T96" i="27"/>
  <c r="P96" i="27"/>
  <c r="H96" i="27"/>
  <c r="D96" i="27"/>
  <c r="B96" i="27"/>
  <c r="X95" i="27"/>
  <c r="Z95" i="27" s="1"/>
  <c r="N95" i="27"/>
  <c r="L95" i="27"/>
  <c r="B95" i="27"/>
  <c r="Z94" i="27"/>
  <c r="X94" i="27"/>
  <c r="L94" i="27"/>
  <c r="N94" i="27" s="1"/>
  <c r="B94" i="27"/>
  <c r="Z93" i="27"/>
  <c r="X93" i="27"/>
  <c r="N93" i="27"/>
  <c r="L93" i="27"/>
  <c r="B93" i="27"/>
  <c r="X92" i="27"/>
  <c r="Z92" i="27" s="1"/>
  <c r="T92" i="27"/>
  <c r="P92" i="27"/>
  <c r="H92" i="27"/>
  <c r="D92" i="27"/>
  <c r="L92" i="27" s="1"/>
  <c r="B92" i="27"/>
  <c r="X91" i="27"/>
  <c r="Z91" i="27" s="1"/>
  <c r="N91" i="27"/>
  <c r="L91" i="27"/>
  <c r="B91" i="27"/>
  <c r="T90" i="27"/>
  <c r="P90" i="27"/>
  <c r="X90" i="27" s="1"/>
  <c r="H90" i="27"/>
  <c r="D90" i="27"/>
  <c r="L90" i="27" s="1"/>
  <c r="N90" i="27" s="1"/>
  <c r="B90" i="27"/>
  <c r="Z89" i="27"/>
  <c r="X89" i="27"/>
  <c r="L89" i="27"/>
  <c r="N89" i="27" s="1"/>
  <c r="B89" i="27"/>
  <c r="T88" i="27"/>
  <c r="P88" i="27"/>
  <c r="X88" i="27" s="1"/>
  <c r="Z88" i="27" s="1"/>
  <c r="L88" i="27"/>
  <c r="H88" i="27"/>
  <c r="N88" i="27" s="1"/>
  <c r="D88" i="27"/>
  <c r="B88" i="27"/>
  <c r="Z87" i="27"/>
  <c r="X87" i="27"/>
  <c r="N87" i="27"/>
  <c r="L87" i="27"/>
  <c r="B87" i="27"/>
  <c r="X86" i="27"/>
  <c r="T86" i="27"/>
  <c r="Z86" i="27" s="1"/>
  <c r="P86" i="27"/>
  <c r="N86" i="27"/>
  <c r="L86" i="27"/>
  <c r="H86" i="27"/>
  <c r="D86" i="27"/>
  <c r="B86" i="27"/>
  <c r="X85" i="27"/>
  <c r="Z85" i="27" s="1"/>
  <c r="N85" i="27"/>
  <c r="L85" i="27"/>
  <c r="B85" i="27"/>
  <c r="Z84" i="27"/>
  <c r="X84" i="27"/>
  <c r="T84" i="27"/>
  <c r="P84" i="27"/>
  <c r="H84" i="27"/>
  <c r="D84" i="27"/>
  <c r="L84" i="27" s="1"/>
  <c r="B84" i="27"/>
  <c r="Z83" i="27"/>
  <c r="X83" i="27"/>
  <c r="N83" i="27"/>
  <c r="L83" i="27"/>
  <c r="B83" i="27"/>
  <c r="T82" i="27"/>
  <c r="P82" i="27"/>
  <c r="X82" i="27" s="1"/>
  <c r="N82" i="27"/>
  <c r="H82" i="27"/>
  <c r="D82" i="27"/>
  <c r="L82" i="27" s="1"/>
  <c r="B82" i="27"/>
  <c r="Z81" i="27"/>
  <c r="X81" i="27"/>
  <c r="N81" i="27"/>
  <c r="L81" i="27"/>
  <c r="B81" i="27"/>
  <c r="Z80" i="27"/>
  <c r="T80" i="27"/>
  <c r="P80" i="27"/>
  <c r="X80" i="27" s="1"/>
  <c r="L80" i="27"/>
  <c r="H80" i="27"/>
  <c r="N80" i="27" s="1"/>
  <c r="D80" i="27"/>
  <c r="B80" i="27"/>
  <c r="Z79" i="27"/>
  <c r="X79" i="27"/>
  <c r="N79" i="27"/>
  <c r="L79" i="27"/>
  <c r="B79" i="27"/>
  <c r="X78" i="27"/>
  <c r="T78" i="27"/>
  <c r="Z78" i="27" s="1"/>
  <c r="P78" i="27"/>
  <c r="N78" i="27"/>
  <c r="L78" i="27"/>
  <c r="H78" i="27"/>
  <c r="D78" i="27"/>
  <c r="B78" i="27"/>
  <c r="Z77" i="27"/>
  <c r="X77" i="27"/>
  <c r="N77" i="27"/>
  <c r="L77" i="27"/>
  <c r="B77" i="27"/>
  <c r="Z76" i="27"/>
  <c r="X76" i="27"/>
  <c r="L76" i="27"/>
  <c r="N76" i="27" s="1"/>
  <c r="B76" i="27"/>
  <c r="Z75" i="27"/>
  <c r="X75" i="27"/>
  <c r="N75" i="27"/>
  <c r="L75" i="27"/>
  <c r="B75" i="27"/>
  <c r="X74" i="27"/>
  <c r="Z74" i="27" s="1"/>
  <c r="N74" i="27"/>
  <c r="L74" i="27"/>
  <c r="B74" i="27"/>
  <c r="Z73" i="27"/>
  <c r="X73" i="27"/>
  <c r="L73" i="27"/>
  <c r="N73" i="27" s="1"/>
  <c r="B73" i="27"/>
  <c r="X72" i="27"/>
  <c r="Z72" i="27" s="1"/>
  <c r="N72" i="27"/>
  <c r="L72" i="27"/>
  <c r="B72" i="27"/>
  <c r="Z71" i="27"/>
  <c r="X71" i="27"/>
  <c r="N71" i="27"/>
  <c r="L71" i="27"/>
  <c r="B71" i="27"/>
  <c r="T70" i="27"/>
  <c r="P70" i="27"/>
  <c r="H70" i="27"/>
  <c r="D70" i="27"/>
  <c r="L70" i="27" s="1"/>
  <c r="N70" i="27" s="1"/>
  <c r="B70" i="27"/>
  <c r="Z69" i="27"/>
  <c r="X69" i="27"/>
  <c r="L69" i="27"/>
  <c r="N69" i="27" s="1"/>
  <c r="B69" i="27"/>
  <c r="X68" i="27"/>
  <c r="Z68" i="27" s="1"/>
  <c r="N68" i="27"/>
  <c r="L68" i="27"/>
  <c r="B68" i="27"/>
  <c r="Z67" i="27"/>
  <c r="X67" i="27"/>
  <c r="N67" i="27"/>
  <c r="L67" i="27"/>
  <c r="B67" i="27"/>
  <c r="Z66" i="27"/>
  <c r="X66" i="27"/>
  <c r="L66" i="27"/>
  <c r="N66" i="27" s="1"/>
  <c r="B66" i="27"/>
  <c r="X65" i="27"/>
  <c r="Z65" i="27" s="1"/>
  <c r="N65" i="27"/>
  <c r="L65" i="27"/>
  <c r="B65" i="27"/>
  <c r="Z64" i="27"/>
  <c r="X64" i="27"/>
  <c r="L64" i="27"/>
  <c r="N64" i="27" s="1"/>
  <c r="B64" i="27"/>
  <c r="Z63" i="27"/>
  <c r="X63" i="27"/>
  <c r="N63" i="27"/>
  <c r="L63" i="27"/>
  <c r="B63" i="27"/>
  <c r="X62" i="27"/>
  <c r="Z62" i="27" s="1"/>
  <c r="N62" i="27"/>
  <c r="L62" i="27"/>
  <c r="B62" i="27"/>
  <c r="Z61" i="27"/>
  <c r="X61" i="27"/>
  <c r="L61" i="27"/>
  <c r="N61" i="27" s="1"/>
  <c r="B61" i="27"/>
  <c r="T60" i="27"/>
  <c r="P60" i="27"/>
  <c r="X60" i="27" s="1"/>
  <c r="Z60" i="27" s="1"/>
  <c r="L60" i="27"/>
  <c r="H60" i="27"/>
  <c r="N60" i="27" s="1"/>
  <c r="D60" i="27"/>
  <c r="B60" i="27"/>
  <c r="Z59" i="27"/>
  <c r="T59" i="27"/>
  <c r="P59" i="27"/>
  <c r="X59" i="27" s="1"/>
  <c r="L59" i="27"/>
  <c r="H59" i="27"/>
  <c r="N59" i="27" s="1"/>
  <c r="D59" i="27"/>
  <c r="Z55" i="27"/>
  <c r="X55" i="27"/>
  <c r="N55" i="27"/>
  <c r="L55" i="27"/>
  <c r="B55" i="27"/>
  <c r="X54" i="27"/>
  <c r="Z54" i="27" s="1"/>
  <c r="N54" i="27"/>
  <c r="L54" i="27"/>
  <c r="B54" i="27"/>
  <c r="X53" i="27"/>
  <c r="Z53" i="27" s="1"/>
  <c r="N53" i="27"/>
  <c r="L53" i="27"/>
  <c r="B53" i="27"/>
  <c r="Z52" i="27"/>
  <c r="X52" i="27"/>
  <c r="N52" i="27"/>
  <c r="L52" i="27"/>
  <c r="B52" i="27"/>
  <c r="Z51" i="27"/>
  <c r="X51" i="27"/>
  <c r="N51" i="27"/>
  <c r="L51" i="27"/>
  <c r="B51" i="27"/>
  <c r="Z50" i="27"/>
  <c r="X50" i="27"/>
  <c r="N50" i="27"/>
  <c r="L50" i="27"/>
  <c r="B50" i="27"/>
  <c r="X49" i="27"/>
  <c r="Z49" i="27" s="1"/>
  <c r="L49" i="27"/>
  <c r="N49" i="27" s="1"/>
  <c r="B49" i="27"/>
  <c r="X48" i="27"/>
  <c r="Z48" i="27" s="1"/>
  <c r="N48" i="27"/>
  <c r="L48" i="27"/>
  <c r="B48" i="27"/>
  <c r="Z47" i="27"/>
  <c r="X47" i="27"/>
  <c r="N47" i="27"/>
  <c r="L47" i="27"/>
  <c r="B47" i="27"/>
  <c r="X46" i="27"/>
  <c r="Z46" i="27" s="1"/>
  <c r="N46" i="27"/>
  <c r="L46" i="27"/>
  <c r="B46" i="27"/>
  <c r="X45" i="27"/>
  <c r="Z45" i="27" s="1"/>
  <c r="L45" i="27"/>
  <c r="N45" i="27" s="1"/>
  <c r="B45" i="27"/>
  <c r="Z44" i="27"/>
  <c r="X44" i="27"/>
  <c r="N44" i="27"/>
  <c r="L44" i="27"/>
  <c r="B44" i="27"/>
  <c r="Z43" i="27"/>
  <c r="X43" i="27"/>
  <c r="N43" i="27"/>
  <c r="L43" i="27"/>
  <c r="B43" i="27"/>
  <c r="Z42" i="27"/>
  <c r="X42" i="27"/>
  <c r="L42" i="27"/>
  <c r="N42" i="27" s="1"/>
  <c r="B42" i="27"/>
  <c r="X41" i="27"/>
  <c r="Z41" i="27" s="1"/>
  <c r="L41" i="27"/>
  <c r="N41" i="27" s="1"/>
  <c r="B41" i="27"/>
  <c r="X40" i="27"/>
  <c r="Z40" i="27" s="1"/>
  <c r="N40" i="27"/>
  <c r="L40" i="27"/>
  <c r="B40" i="27"/>
  <c r="Z39" i="27"/>
  <c r="X39" i="27"/>
  <c r="N39" i="27"/>
  <c r="L39" i="27"/>
  <c r="B39" i="27"/>
  <c r="T38" i="27"/>
  <c r="P38" i="27"/>
  <c r="N38" i="27"/>
  <c r="L38" i="27"/>
  <c r="H38" i="27"/>
  <c r="D38" i="27"/>
  <c r="T36" i="27"/>
  <c r="Z36" i="27" s="1"/>
  <c r="P36" i="27"/>
  <c r="H36" i="27"/>
  <c r="N36" i="27" s="1"/>
  <c r="D36" i="27"/>
  <c r="L36" i="27" s="1"/>
  <c r="B36" i="27"/>
  <c r="T35" i="27"/>
  <c r="P35" i="27"/>
  <c r="L35" i="27"/>
  <c r="H35" i="27"/>
  <c r="N35" i="27" s="1"/>
  <c r="D35" i="27"/>
  <c r="B35" i="27"/>
  <c r="Z34" i="27"/>
  <c r="X34" i="27"/>
  <c r="T34" i="27"/>
  <c r="P34" i="27"/>
  <c r="N34" i="27"/>
  <c r="L34" i="27"/>
  <c r="H34" i="27"/>
  <c r="D34" i="27"/>
  <c r="B34" i="27"/>
  <c r="T33" i="27"/>
  <c r="P33" i="27"/>
  <c r="X33" i="27" s="1"/>
  <c r="Z33" i="27" s="1"/>
  <c r="N33" i="27"/>
  <c r="H33" i="27"/>
  <c r="D33" i="27"/>
  <c r="L33" i="27" s="1"/>
  <c r="B33" i="27"/>
  <c r="T32" i="27"/>
  <c r="Z32" i="27" s="1"/>
  <c r="P32" i="27"/>
  <c r="X32" i="27" s="1"/>
  <c r="H32" i="27"/>
  <c r="N32" i="27" s="1"/>
  <c r="D32" i="27"/>
  <c r="L32" i="27" s="1"/>
  <c r="B32" i="27"/>
  <c r="X31" i="27"/>
  <c r="T31" i="27"/>
  <c r="P31" i="27"/>
  <c r="L31" i="27"/>
  <c r="H31" i="27"/>
  <c r="N31" i="27" s="1"/>
  <c r="D31" i="27"/>
  <c r="B31" i="27"/>
  <c r="Z30" i="27"/>
  <c r="X30" i="27"/>
  <c r="T30" i="27"/>
  <c r="P30" i="27"/>
  <c r="N30" i="27"/>
  <c r="L30" i="27"/>
  <c r="H30" i="27"/>
  <c r="D30" i="27"/>
  <c r="B30" i="27"/>
  <c r="T29" i="27"/>
  <c r="P29" i="27"/>
  <c r="X29" i="27" s="1"/>
  <c r="Z29" i="27" s="1"/>
  <c r="N29" i="27"/>
  <c r="H29" i="27"/>
  <c r="D29" i="27"/>
  <c r="L29" i="27" s="1"/>
  <c r="B29" i="27"/>
  <c r="T28" i="27"/>
  <c r="Z28" i="27" s="1"/>
  <c r="P28" i="27"/>
  <c r="X28" i="27" s="1"/>
  <c r="H28" i="27"/>
  <c r="N28" i="27" s="1"/>
  <c r="D28" i="27"/>
  <c r="L28" i="27" s="1"/>
  <c r="B28" i="27"/>
  <c r="T27" i="27"/>
  <c r="P27" i="27"/>
  <c r="N27" i="27"/>
  <c r="L27" i="27"/>
  <c r="H27" i="27"/>
  <c r="D27" i="27"/>
  <c r="B27" i="27"/>
  <c r="T26" i="27"/>
  <c r="P26" i="27"/>
  <c r="X26" i="27" s="1"/>
  <c r="Z26" i="27" s="1"/>
  <c r="N26" i="27"/>
  <c r="L26" i="27"/>
  <c r="H26" i="27"/>
  <c r="D26" i="27"/>
  <c r="B26" i="27"/>
  <c r="T25" i="27"/>
  <c r="Z25" i="27" s="1"/>
  <c r="P25" i="27"/>
  <c r="X25" i="27" s="1"/>
  <c r="H25" i="27"/>
  <c r="D25" i="27"/>
  <c r="L25" i="27" s="1"/>
  <c r="N25" i="27" s="1"/>
  <c r="B25" i="27"/>
  <c r="T24" i="27"/>
  <c r="P24" i="27"/>
  <c r="X24" i="27" s="1"/>
  <c r="N24" i="27"/>
  <c r="H24" i="27"/>
  <c r="D24" i="27"/>
  <c r="B24" i="27"/>
  <c r="T23" i="27"/>
  <c r="P23" i="27"/>
  <c r="X23" i="27" s="1"/>
  <c r="Z23" i="27" s="1"/>
  <c r="L23" i="27"/>
  <c r="H23" i="27"/>
  <c r="D23" i="27"/>
  <c r="B23" i="27"/>
  <c r="T22" i="27"/>
  <c r="X22" i="27" s="1"/>
  <c r="Z22" i="27" s="1"/>
  <c r="P22" i="27"/>
  <c r="H22" i="27"/>
  <c r="D22" i="27"/>
  <c r="L22" i="27" s="1"/>
  <c r="N22" i="27" s="1"/>
  <c r="B22" i="27"/>
  <c r="T21" i="27"/>
  <c r="P21" i="27"/>
  <c r="X21" i="27" s="1"/>
  <c r="Z21" i="27" s="1"/>
  <c r="H21" i="27"/>
  <c r="D21" i="27"/>
  <c r="L21" i="27" s="1"/>
  <c r="N21" i="27" s="1"/>
  <c r="B21" i="27"/>
  <c r="T20" i="27"/>
  <c r="P20" i="27"/>
  <c r="X20" i="27" s="1"/>
  <c r="H20" i="27"/>
  <c r="N20" i="27" s="1"/>
  <c r="D20" i="27"/>
  <c r="L20" i="27" s="1"/>
  <c r="B20" i="27"/>
  <c r="T19" i="27"/>
  <c r="Z19" i="27" s="1"/>
  <c r="P19" i="27"/>
  <c r="X19" i="27" s="1"/>
  <c r="H19" i="27"/>
  <c r="N19" i="27" s="1"/>
  <c r="D19" i="27"/>
  <c r="B19" i="27"/>
  <c r="X18" i="27"/>
  <c r="T18" i="27"/>
  <c r="Z18" i="27" s="1"/>
  <c r="P18" i="27"/>
  <c r="L18" i="27"/>
  <c r="N18" i="27" s="1"/>
  <c r="H18" i="27"/>
  <c r="D18" i="27"/>
  <c r="B18" i="27"/>
  <c r="T17" i="27"/>
  <c r="P17" i="27"/>
  <c r="X17" i="27" s="1"/>
  <c r="Z17" i="27" s="1"/>
  <c r="N17" i="27"/>
  <c r="H17" i="27"/>
  <c r="D17" i="27"/>
  <c r="L17" i="27" s="1"/>
  <c r="B17" i="27"/>
  <c r="T16" i="27"/>
  <c r="P16" i="27"/>
  <c r="X16" i="27" s="1"/>
  <c r="H16" i="27"/>
  <c r="N16" i="27" s="1"/>
  <c r="D16" i="27"/>
  <c r="L16" i="27" s="1"/>
  <c r="B16" i="27"/>
  <c r="T15" i="27"/>
  <c r="P15" i="27"/>
  <c r="H15" i="27"/>
  <c r="H12" i="27" s="1"/>
  <c r="D15" i="27"/>
  <c r="L15" i="27" s="1"/>
  <c r="B15" i="27"/>
  <c r="X14" i="27"/>
  <c r="Z14" i="27" s="1"/>
  <c r="T14" i="27"/>
  <c r="P14" i="27"/>
  <c r="L14" i="27"/>
  <c r="H14" i="27"/>
  <c r="N14" i="27" s="1"/>
  <c r="D14" i="27"/>
  <c r="B14" i="27"/>
  <c r="T13" i="27"/>
  <c r="P13" i="27"/>
  <c r="X13" i="27" s="1"/>
  <c r="Z13" i="27" s="1"/>
  <c r="H13" i="27"/>
  <c r="D13" i="27"/>
  <c r="L13" i="27" s="1"/>
  <c r="N13" i="27" s="1"/>
  <c r="B13" i="27"/>
  <c r="P12" i="27"/>
  <c r="D12" i="27"/>
  <c r="F102" i="27" s="1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N24" i="26" s="1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Z20" i="26" s="1"/>
  <c r="P20" i="26"/>
  <c r="H20" i="26"/>
  <c r="N20" i="26" s="1"/>
  <c r="D20" i="26"/>
  <c r="T16" i="26"/>
  <c r="Z16" i="26" s="1"/>
  <c r="P16" i="26"/>
  <c r="H16" i="26"/>
  <c r="N16" i="26" s="1"/>
  <c r="D16" i="26"/>
  <c r="B16" i="26"/>
  <c r="T15" i="26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18" i="26" s="1"/>
  <c r="P12" i="26"/>
  <c r="H12" i="26"/>
  <c r="J36" i="26" s="1"/>
  <c r="D12" i="26"/>
  <c r="F21" i="26" s="1"/>
  <c r="D5" i="26"/>
  <c r="D4" i="26"/>
  <c r="B39" i="25"/>
  <c r="B38" i="25"/>
  <c r="T34" i="25"/>
  <c r="Z34" i="25" s="1"/>
  <c r="P34" i="25"/>
  <c r="H34" i="25"/>
  <c r="N34" i="25" s="1"/>
  <c r="D34" i="25"/>
  <c r="T33" i="25"/>
  <c r="Z33" i="25" s="1"/>
  <c r="P33" i="25"/>
  <c r="H33" i="25"/>
  <c r="N33" i="25" s="1"/>
  <c r="D33" i="25"/>
  <c r="T29" i="25"/>
  <c r="Z29" i="25" s="1"/>
  <c r="P29" i="25"/>
  <c r="H29" i="25"/>
  <c r="N29" i="25" s="1"/>
  <c r="D29" i="25"/>
  <c r="T25" i="25"/>
  <c r="Z25" i="25" s="1"/>
  <c r="P25" i="25"/>
  <c r="H25" i="25"/>
  <c r="N25" i="25" s="1"/>
  <c r="D25" i="25"/>
  <c r="B25" i="25"/>
  <c r="T24" i="25"/>
  <c r="Z24" i="25" s="1"/>
  <c r="P24" i="25"/>
  <c r="H24" i="25"/>
  <c r="N24" i="25" s="1"/>
  <c r="D24" i="25"/>
  <c r="T22" i="25"/>
  <c r="P22" i="25"/>
  <c r="H22" i="25"/>
  <c r="N22" i="25" s="1"/>
  <c r="D22" i="25"/>
  <c r="B22" i="25"/>
  <c r="T21" i="25"/>
  <c r="Z21" i="25" s="1"/>
  <c r="P21" i="25"/>
  <c r="H21" i="25"/>
  <c r="N21" i="25" s="1"/>
  <c r="D21" i="25"/>
  <c r="B21" i="25"/>
  <c r="T20" i="25"/>
  <c r="Z20" i="25" s="1"/>
  <c r="P20" i="25"/>
  <c r="H20" i="25"/>
  <c r="N20" i="25" s="1"/>
  <c r="D20" i="25"/>
  <c r="T16" i="25"/>
  <c r="Z16" i="25" s="1"/>
  <c r="P16" i="25"/>
  <c r="H16" i="25"/>
  <c r="N16" i="25" s="1"/>
  <c r="D16" i="25"/>
  <c r="B16" i="25"/>
  <c r="T15" i="25"/>
  <c r="Z15" i="25" s="1"/>
  <c r="P15" i="25"/>
  <c r="H15" i="25"/>
  <c r="N15" i="25" s="1"/>
  <c r="D15" i="25"/>
  <c r="T13" i="25"/>
  <c r="Z13" i="25" s="1"/>
  <c r="P13" i="25"/>
  <c r="H13" i="25"/>
  <c r="N13" i="25" s="1"/>
  <c r="D13" i="25"/>
  <c r="B13" i="25"/>
  <c r="T12" i="25"/>
  <c r="V24" i="25" s="1"/>
  <c r="P12" i="25"/>
  <c r="R34" i="25" s="1"/>
  <c r="H12" i="25"/>
  <c r="J18" i="25" s="1"/>
  <c r="D12" i="25"/>
  <c r="F18" i="25" s="1"/>
  <c r="D5" i="25"/>
  <c r="D4" i="25"/>
  <c r="Z88" i="24"/>
  <c r="X88" i="24"/>
  <c r="N88" i="24"/>
  <c r="L88" i="24"/>
  <c r="Z84" i="24"/>
  <c r="T84" i="24"/>
  <c r="P84" i="24"/>
  <c r="X84" i="24" s="1"/>
  <c r="L84" i="24"/>
  <c r="H84" i="24"/>
  <c r="N84" i="24" s="1"/>
  <c r="D84" i="24"/>
  <c r="Z82" i="24"/>
  <c r="X82" i="24"/>
  <c r="N82" i="24"/>
  <c r="L82" i="24"/>
  <c r="B82" i="24"/>
  <c r="T81" i="24"/>
  <c r="Z81" i="24" s="1"/>
  <c r="P81" i="24"/>
  <c r="X81" i="24" s="1"/>
  <c r="N81" i="24"/>
  <c r="H81" i="24"/>
  <c r="D81" i="24"/>
  <c r="L81" i="24" s="1"/>
  <c r="B81" i="24"/>
  <c r="X80" i="24"/>
  <c r="Z80" i="24" s="1"/>
  <c r="L80" i="24"/>
  <c r="N80" i="24" s="1"/>
  <c r="B80" i="24"/>
  <c r="T79" i="24"/>
  <c r="P79" i="24"/>
  <c r="X79" i="24" s="1"/>
  <c r="Z79" i="24" s="1"/>
  <c r="H79" i="24"/>
  <c r="D79" i="24"/>
  <c r="B79" i="24"/>
  <c r="Z78" i="24"/>
  <c r="X78" i="24"/>
  <c r="N78" i="24"/>
  <c r="L78" i="24"/>
  <c r="B78" i="24"/>
  <c r="X77" i="24"/>
  <c r="Z77" i="24" s="1"/>
  <c r="N77" i="24"/>
  <c r="L77" i="24"/>
  <c r="B77" i="24"/>
  <c r="X76" i="24"/>
  <c r="Z76" i="24" s="1"/>
  <c r="N76" i="24"/>
  <c r="L76" i="24"/>
  <c r="B76" i="24"/>
  <c r="Z75" i="24"/>
  <c r="X75" i="24"/>
  <c r="N75" i="24"/>
  <c r="L75" i="24"/>
  <c r="B75" i="24"/>
  <c r="T74" i="24"/>
  <c r="X74" i="24" s="1"/>
  <c r="Z74" i="24" s="1"/>
  <c r="P74" i="24"/>
  <c r="N74" i="24"/>
  <c r="H74" i="24"/>
  <c r="D74" i="24"/>
  <c r="L74" i="24" s="1"/>
  <c r="B74" i="24"/>
  <c r="X73" i="24"/>
  <c r="Z73" i="24" s="1"/>
  <c r="N73" i="24"/>
  <c r="L73" i="24"/>
  <c r="B73" i="24"/>
  <c r="X72" i="24"/>
  <c r="Z72" i="24" s="1"/>
  <c r="L72" i="24"/>
  <c r="N72" i="24" s="1"/>
  <c r="B72" i="24"/>
  <c r="T71" i="24"/>
  <c r="P71" i="24"/>
  <c r="X71" i="24" s="1"/>
  <c r="Z71" i="24" s="1"/>
  <c r="H71" i="24"/>
  <c r="D71" i="24"/>
  <c r="B71" i="24"/>
  <c r="Z70" i="24"/>
  <c r="X70" i="24"/>
  <c r="N70" i="24"/>
  <c r="L70" i="24"/>
  <c r="B70" i="24"/>
  <c r="X69" i="24"/>
  <c r="Z69" i="24" s="1"/>
  <c r="N69" i="24"/>
  <c r="L69" i="24"/>
  <c r="B69" i="24"/>
  <c r="T68" i="24"/>
  <c r="P68" i="24"/>
  <c r="X68" i="24" s="1"/>
  <c r="Z68" i="24" s="1"/>
  <c r="N68" i="24"/>
  <c r="H68" i="24"/>
  <c r="D68" i="24"/>
  <c r="L68" i="24" s="1"/>
  <c r="B68" i="24"/>
  <c r="Z67" i="24"/>
  <c r="X67" i="24"/>
  <c r="N67" i="24"/>
  <c r="L67" i="24"/>
  <c r="B67" i="24"/>
  <c r="Z66" i="24"/>
  <c r="T66" i="24"/>
  <c r="P66" i="24"/>
  <c r="X66" i="24" s="1"/>
  <c r="L66" i="24"/>
  <c r="H66" i="24"/>
  <c r="N66" i="24" s="1"/>
  <c r="D66" i="24"/>
  <c r="B66" i="24"/>
  <c r="Z65" i="24"/>
  <c r="X65" i="24"/>
  <c r="N65" i="24"/>
  <c r="L65" i="24"/>
  <c r="B65" i="24"/>
  <c r="X64" i="24"/>
  <c r="T64" i="24"/>
  <c r="Z64" i="24" s="1"/>
  <c r="P64" i="24"/>
  <c r="N64" i="24"/>
  <c r="H64" i="24"/>
  <c r="L64" i="24" s="1"/>
  <c r="D64" i="24"/>
  <c r="B64" i="24"/>
  <c r="Z63" i="24"/>
  <c r="X63" i="24"/>
  <c r="N63" i="24"/>
  <c r="L63" i="24"/>
  <c r="B63" i="24"/>
  <c r="Z62" i="24"/>
  <c r="X62" i="24"/>
  <c r="N62" i="24"/>
  <c r="L62" i="24"/>
  <c r="B62" i="24"/>
  <c r="T61" i="24"/>
  <c r="Z61" i="24" s="1"/>
  <c r="P61" i="24"/>
  <c r="X61" i="24" s="1"/>
  <c r="N61" i="24"/>
  <c r="H61" i="24"/>
  <c r="D61" i="24"/>
  <c r="L61" i="24" s="1"/>
  <c r="B61" i="24"/>
  <c r="Z60" i="24"/>
  <c r="X60" i="24"/>
  <c r="L60" i="24"/>
  <c r="N60" i="24" s="1"/>
  <c r="B60" i="24"/>
  <c r="Z59" i="24"/>
  <c r="X59" i="24"/>
  <c r="N59" i="24"/>
  <c r="L59" i="24"/>
  <c r="B59" i="24"/>
  <c r="Z58" i="24"/>
  <c r="T58" i="24"/>
  <c r="X58" i="24" s="1"/>
  <c r="P58" i="24"/>
  <c r="H58" i="24"/>
  <c r="D58" i="24"/>
  <c r="L58" i="24" s="1"/>
  <c r="N58" i="24" s="1"/>
  <c r="B58" i="24"/>
  <c r="X57" i="24"/>
  <c r="Z57" i="24" s="1"/>
  <c r="N57" i="24"/>
  <c r="L57" i="24"/>
  <c r="B57" i="24"/>
  <c r="T56" i="24"/>
  <c r="P56" i="24"/>
  <c r="X56" i="24" s="1"/>
  <c r="Z56" i="24" s="1"/>
  <c r="N56" i="24"/>
  <c r="H56" i="24"/>
  <c r="D56" i="24"/>
  <c r="L56" i="24" s="1"/>
  <c r="B56" i="24"/>
  <c r="X55" i="24"/>
  <c r="Z55" i="24" s="1"/>
  <c r="N55" i="24"/>
  <c r="L55" i="24"/>
  <c r="B55" i="24"/>
  <c r="T54" i="24"/>
  <c r="P54" i="24"/>
  <c r="X54" i="24" s="1"/>
  <c r="Z54" i="24" s="1"/>
  <c r="L54" i="24"/>
  <c r="H54" i="24"/>
  <c r="N54" i="24" s="1"/>
  <c r="D54" i="24"/>
  <c r="B54" i="24"/>
  <c r="Z53" i="24"/>
  <c r="X53" i="24"/>
  <c r="N53" i="24"/>
  <c r="L53" i="24"/>
  <c r="B53" i="24"/>
  <c r="X52" i="24"/>
  <c r="Z52" i="24" s="1"/>
  <c r="N52" i="24"/>
  <c r="L52" i="24"/>
  <c r="B52" i="24"/>
  <c r="X51" i="24"/>
  <c r="Z51" i="24" s="1"/>
  <c r="L51" i="24"/>
  <c r="N51" i="24" s="1"/>
  <c r="B51" i="24"/>
  <c r="T50" i="24"/>
  <c r="P50" i="24"/>
  <c r="X50" i="24" s="1"/>
  <c r="Z50" i="24" s="1"/>
  <c r="L50" i="24"/>
  <c r="H50" i="24"/>
  <c r="N50" i="24" s="1"/>
  <c r="D50" i="24"/>
  <c r="B50" i="24"/>
  <c r="Z49" i="24"/>
  <c r="X49" i="24"/>
  <c r="N49" i="24"/>
  <c r="L49" i="24"/>
  <c r="B49" i="24"/>
  <c r="Z48" i="24"/>
  <c r="X48" i="24"/>
  <c r="N48" i="24"/>
  <c r="L48" i="24"/>
  <c r="B48" i="24"/>
  <c r="X47" i="24"/>
  <c r="Z47" i="24" s="1"/>
  <c r="N47" i="24"/>
  <c r="L47" i="24"/>
  <c r="B47" i="24"/>
  <c r="Z46" i="24"/>
  <c r="X46" i="24"/>
  <c r="N46" i="24"/>
  <c r="L46" i="24"/>
  <c r="B46" i="24"/>
  <c r="T45" i="24"/>
  <c r="P45" i="24"/>
  <c r="L45" i="24"/>
  <c r="N45" i="24" s="1"/>
  <c r="H45" i="24"/>
  <c r="D45" i="24"/>
  <c r="B45" i="24"/>
  <c r="X44" i="24"/>
  <c r="T44" i="24"/>
  <c r="Z44" i="24" s="1"/>
  <c r="P44" i="24"/>
  <c r="H44" i="24"/>
  <c r="D44" i="24"/>
  <c r="L44" i="24" s="1"/>
  <c r="N44" i="24" s="1"/>
  <c r="X40" i="24"/>
  <c r="Z40" i="24" s="1"/>
  <c r="L40" i="24"/>
  <c r="N40" i="24" s="1"/>
  <c r="B40" i="24"/>
  <c r="Z39" i="24"/>
  <c r="X39" i="24"/>
  <c r="N39" i="24"/>
  <c r="L39" i="24"/>
  <c r="B39" i="24"/>
  <c r="Z38" i="24"/>
  <c r="X38" i="24"/>
  <c r="N38" i="24"/>
  <c r="L38" i="24"/>
  <c r="B38" i="24"/>
  <c r="Z37" i="24"/>
  <c r="X37" i="24"/>
  <c r="N37" i="24"/>
  <c r="L37" i="24"/>
  <c r="B37" i="24"/>
  <c r="Z36" i="24"/>
  <c r="X36" i="24"/>
  <c r="N36" i="24"/>
  <c r="L36" i="24"/>
  <c r="B36" i="24"/>
  <c r="X35" i="24"/>
  <c r="Z35" i="24" s="1"/>
  <c r="N35" i="24"/>
  <c r="L35" i="24"/>
  <c r="B35" i="24"/>
  <c r="Z34" i="24"/>
  <c r="X34" i="24"/>
  <c r="N34" i="24"/>
  <c r="L34" i="24"/>
  <c r="B34" i="24"/>
  <c r="Z33" i="24"/>
  <c r="X33" i="24"/>
  <c r="N33" i="24"/>
  <c r="L33" i="24"/>
  <c r="B33" i="24"/>
  <c r="X32" i="24"/>
  <c r="Z32" i="24" s="1"/>
  <c r="N32" i="24"/>
  <c r="L32" i="24"/>
  <c r="B32" i="24"/>
  <c r="Z31" i="24"/>
  <c r="X31" i="24"/>
  <c r="N31" i="24"/>
  <c r="L31" i="24"/>
  <c r="B31" i="24"/>
  <c r="T30" i="24"/>
  <c r="X30" i="24" s="1"/>
  <c r="Z30" i="24" s="1"/>
  <c r="P30" i="24"/>
  <c r="L30" i="24"/>
  <c r="H30" i="24"/>
  <c r="N30" i="24" s="1"/>
  <c r="D30" i="24"/>
  <c r="Z28" i="24"/>
  <c r="T28" i="24"/>
  <c r="P28" i="24"/>
  <c r="X28" i="24" s="1"/>
  <c r="N28" i="24"/>
  <c r="H28" i="24"/>
  <c r="D28" i="24"/>
  <c r="L28" i="24" s="1"/>
  <c r="B28" i="24"/>
  <c r="T27" i="24"/>
  <c r="P27" i="24"/>
  <c r="X27" i="24" s="1"/>
  <c r="H27" i="24"/>
  <c r="N27" i="24" s="1"/>
  <c r="D27" i="24"/>
  <c r="L27" i="24" s="1"/>
  <c r="B27" i="24"/>
  <c r="T26" i="24"/>
  <c r="P26" i="24"/>
  <c r="H26" i="24"/>
  <c r="N26" i="24" s="1"/>
  <c r="D26" i="24"/>
  <c r="B26" i="24"/>
  <c r="Z25" i="24"/>
  <c r="X25" i="24"/>
  <c r="T25" i="24"/>
  <c r="P25" i="24"/>
  <c r="N25" i="24"/>
  <c r="L25" i="24"/>
  <c r="H25" i="24"/>
  <c r="D25" i="24"/>
  <c r="B25" i="24"/>
  <c r="Z24" i="24"/>
  <c r="T24" i="24"/>
  <c r="P24" i="24"/>
  <c r="X24" i="24" s="1"/>
  <c r="N24" i="24"/>
  <c r="H24" i="24"/>
  <c r="D24" i="24"/>
  <c r="L24" i="24" s="1"/>
  <c r="B24" i="24"/>
  <c r="T23" i="24"/>
  <c r="Z23" i="24" s="1"/>
  <c r="P23" i="24"/>
  <c r="X23" i="24" s="1"/>
  <c r="H23" i="24"/>
  <c r="N23" i="24" s="1"/>
  <c r="D23" i="24"/>
  <c r="L23" i="24" s="1"/>
  <c r="B23" i="24"/>
  <c r="T22" i="24"/>
  <c r="P22" i="24"/>
  <c r="H22" i="24"/>
  <c r="N22" i="24" s="1"/>
  <c r="D22" i="24"/>
  <c r="B22" i="24"/>
  <c r="Z21" i="24"/>
  <c r="X21" i="24"/>
  <c r="T21" i="24"/>
  <c r="P21" i="24"/>
  <c r="N21" i="24"/>
  <c r="L21" i="24"/>
  <c r="H21" i="24"/>
  <c r="D21" i="24"/>
  <c r="B21" i="24"/>
  <c r="Z20" i="24"/>
  <c r="T20" i="24"/>
  <c r="P20" i="24"/>
  <c r="X20" i="24" s="1"/>
  <c r="N20" i="24"/>
  <c r="H20" i="24"/>
  <c r="D20" i="24"/>
  <c r="L20" i="24" s="1"/>
  <c r="B20" i="24"/>
  <c r="T19" i="24"/>
  <c r="P19" i="24"/>
  <c r="X19" i="24" s="1"/>
  <c r="H19" i="24"/>
  <c r="N19" i="24" s="1"/>
  <c r="D19" i="24"/>
  <c r="L19" i="24" s="1"/>
  <c r="B19" i="24"/>
  <c r="T18" i="24"/>
  <c r="P18" i="24"/>
  <c r="H18" i="24"/>
  <c r="N18" i="24" s="1"/>
  <c r="D18" i="24"/>
  <c r="B18" i="24"/>
  <c r="X17" i="24"/>
  <c r="Z17" i="24" s="1"/>
  <c r="T17" i="24"/>
  <c r="P17" i="24"/>
  <c r="N17" i="24"/>
  <c r="L17" i="24"/>
  <c r="H17" i="24"/>
  <c r="D17" i="24"/>
  <c r="B17" i="24"/>
  <c r="T16" i="24"/>
  <c r="P16" i="24"/>
  <c r="X16" i="24" s="1"/>
  <c r="Z16" i="24" s="1"/>
  <c r="N16" i="24"/>
  <c r="H16" i="24"/>
  <c r="D16" i="24"/>
  <c r="L16" i="24" s="1"/>
  <c r="B16" i="24"/>
  <c r="T15" i="24"/>
  <c r="P15" i="24"/>
  <c r="P12" i="24" s="1"/>
  <c r="H15" i="24"/>
  <c r="N15" i="24" s="1"/>
  <c r="D15" i="24"/>
  <c r="L15" i="24" s="1"/>
  <c r="B15" i="24"/>
  <c r="T14" i="24"/>
  <c r="P14" i="24"/>
  <c r="H14" i="24"/>
  <c r="N14" i="24" s="1"/>
  <c r="D14" i="24"/>
  <c r="B14" i="24"/>
  <c r="X13" i="24"/>
  <c r="Z13" i="24" s="1"/>
  <c r="T13" i="24"/>
  <c r="T12" i="24" s="1"/>
  <c r="P13" i="24"/>
  <c r="N13" i="24"/>
  <c r="L13" i="24"/>
  <c r="H13" i="24"/>
  <c r="H12" i="24" s="1"/>
  <c r="D13" i="24"/>
  <c r="B13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15" i="23" s="1"/>
  <c r="P12" i="23"/>
  <c r="R24" i="23" s="1"/>
  <c r="H12" i="23"/>
  <c r="J21" i="23" s="1"/>
  <c r="D12" i="23"/>
  <c r="F34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Z15" i="22" s="1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20" i="22" s="1"/>
  <c r="P12" i="22"/>
  <c r="R36" i="22" s="1"/>
  <c r="H12" i="22"/>
  <c r="J24" i="22" s="1"/>
  <c r="D12" i="22"/>
  <c r="F20" i="22" s="1"/>
  <c r="D5" i="22"/>
  <c r="D4" i="22"/>
  <c r="X86" i="21"/>
  <c r="Z86" i="21" s="1"/>
  <c r="L86" i="21"/>
  <c r="N86" i="21" s="1"/>
  <c r="Z82" i="21"/>
  <c r="X82" i="21"/>
  <c r="T82" i="21"/>
  <c r="P82" i="21"/>
  <c r="H82" i="21"/>
  <c r="N82" i="21" s="1"/>
  <c r="D82" i="21"/>
  <c r="X80" i="21"/>
  <c r="Z80" i="21" s="1"/>
  <c r="L80" i="21"/>
  <c r="N80" i="21" s="1"/>
  <c r="B80" i="21"/>
  <c r="T79" i="21"/>
  <c r="P79" i="21"/>
  <c r="X79" i="21" s="1"/>
  <c r="Z79" i="21" s="1"/>
  <c r="L79" i="21"/>
  <c r="N79" i="21" s="1"/>
  <c r="H79" i="21"/>
  <c r="D79" i="21"/>
  <c r="B79" i="21"/>
  <c r="Z78" i="21"/>
  <c r="X78" i="21"/>
  <c r="L78" i="21"/>
  <c r="N78" i="21" s="1"/>
  <c r="B78" i="21"/>
  <c r="X77" i="21"/>
  <c r="T77" i="21"/>
  <c r="Z77" i="21" s="1"/>
  <c r="P77" i="21"/>
  <c r="H77" i="21"/>
  <c r="L77" i="21" s="1"/>
  <c r="N77" i="21" s="1"/>
  <c r="D77" i="21"/>
  <c r="B77" i="21"/>
  <c r="X76" i="21"/>
  <c r="Z76" i="21" s="1"/>
  <c r="N76" i="21"/>
  <c r="L76" i="21"/>
  <c r="B76" i="21"/>
  <c r="Z75" i="21"/>
  <c r="X75" i="21"/>
  <c r="N75" i="21"/>
  <c r="L75" i="21"/>
  <c r="B75" i="21"/>
  <c r="Z74" i="21"/>
  <c r="X74" i="21"/>
  <c r="N74" i="21"/>
  <c r="L74" i="21"/>
  <c r="B74" i="21"/>
  <c r="X73" i="21"/>
  <c r="Z73" i="21" s="1"/>
  <c r="N73" i="21"/>
  <c r="L73" i="21"/>
  <c r="B73" i="21"/>
  <c r="X72" i="21"/>
  <c r="Z72" i="21" s="1"/>
  <c r="N72" i="21"/>
  <c r="L72" i="21"/>
  <c r="B72" i="21"/>
  <c r="T71" i="21"/>
  <c r="P71" i="21"/>
  <c r="X71" i="21" s="1"/>
  <c r="Z71" i="21" s="1"/>
  <c r="N71" i="21"/>
  <c r="L71" i="21"/>
  <c r="H71" i="21"/>
  <c r="D71" i="21"/>
  <c r="B71" i="21"/>
  <c r="Z70" i="21"/>
  <c r="X70" i="21"/>
  <c r="N70" i="21"/>
  <c r="L70" i="21"/>
  <c r="B70" i="21"/>
  <c r="X69" i="21"/>
  <c r="Z69" i="21" s="1"/>
  <c r="N69" i="21"/>
  <c r="L69" i="21"/>
  <c r="B69" i="21"/>
  <c r="X68" i="21"/>
  <c r="Z68" i="21" s="1"/>
  <c r="L68" i="21"/>
  <c r="N68" i="21" s="1"/>
  <c r="B68" i="21"/>
  <c r="Z67" i="21"/>
  <c r="X67" i="21"/>
  <c r="N67" i="21"/>
  <c r="L67" i="21"/>
  <c r="B67" i="21"/>
  <c r="T66" i="21"/>
  <c r="Z66" i="21" s="1"/>
  <c r="P66" i="21"/>
  <c r="X66" i="21" s="1"/>
  <c r="H66" i="21"/>
  <c r="D66" i="21"/>
  <c r="L66" i="21" s="1"/>
  <c r="N66" i="21" s="1"/>
  <c r="B66" i="21"/>
  <c r="X65" i="21"/>
  <c r="Z65" i="21" s="1"/>
  <c r="N65" i="21"/>
  <c r="L65" i="21"/>
  <c r="B65" i="21"/>
  <c r="T64" i="21"/>
  <c r="P64" i="21"/>
  <c r="X64" i="21" s="1"/>
  <c r="Z64" i="21" s="1"/>
  <c r="H64" i="21"/>
  <c r="N64" i="21" s="1"/>
  <c r="D64" i="21"/>
  <c r="B64" i="21"/>
  <c r="Z63" i="21"/>
  <c r="X63" i="21"/>
  <c r="N63" i="21"/>
  <c r="L63" i="21"/>
  <c r="B63" i="21"/>
  <c r="Z62" i="21"/>
  <c r="X62" i="21"/>
  <c r="N62" i="21"/>
  <c r="L62" i="21"/>
  <c r="B62" i="21"/>
  <c r="X61" i="21"/>
  <c r="Z61" i="21" s="1"/>
  <c r="T61" i="21"/>
  <c r="P61" i="21"/>
  <c r="H61" i="21"/>
  <c r="L61" i="21" s="1"/>
  <c r="N61" i="21" s="1"/>
  <c r="D61" i="21"/>
  <c r="B61" i="21"/>
  <c r="X60" i="21"/>
  <c r="Z60" i="21" s="1"/>
  <c r="L60" i="21"/>
  <c r="N60" i="21" s="1"/>
  <c r="B60" i="21"/>
  <c r="T59" i="21"/>
  <c r="X59" i="21" s="1"/>
  <c r="Z59" i="21" s="1"/>
  <c r="P59" i="21"/>
  <c r="H59" i="21"/>
  <c r="N59" i="21" s="1"/>
  <c r="D59" i="21"/>
  <c r="L59" i="21" s="1"/>
  <c r="B59" i="21"/>
  <c r="X58" i="21"/>
  <c r="Z58" i="21" s="1"/>
  <c r="N58" i="21"/>
  <c r="L58" i="21"/>
  <c r="B58" i="21"/>
  <c r="T57" i="21"/>
  <c r="P57" i="21"/>
  <c r="X57" i="21" s="1"/>
  <c r="H57" i="21"/>
  <c r="D57" i="21"/>
  <c r="L57" i="21" s="1"/>
  <c r="N57" i="21" s="1"/>
  <c r="B57" i="21"/>
  <c r="X56" i="21"/>
  <c r="Z56" i="21" s="1"/>
  <c r="L56" i="21"/>
  <c r="N56" i="21" s="1"/>
  <c r="B56" i="21"/>
  <c r="T55" i="21"/>
  <c r="P55" i="21"/>
  <c r="X55" i="21" s="1"/>
  <c r="Z55" i="21" s="1"/>
  <c r="L55" i="21"/>
  <c r="N55" i="21" s="1"/>
  <c r="H55" i="21"/>
  <c r="D55" i="21"/>
  <c r="B55" i="21"/>
  <c r="Z54" i="21"/>
  <c r="X54" i="21"/>
  <c r="L54" i="21"/>
  <c r="N54" i="21" s="1"/>
  <c r="B54" i="21"/>
  <c r="X53" i="21"/>
  <c r="Z53" i="21" s="1"/>
  <c r="T53" i="21"/>
  <c r="P53" i="21"/>
  <c r="H53" i="21"/>
  <c r="L53" i="21" s="1"/>
  <c r="N53" i="21" s="1"/>
  <c r="D53" i="21"/>
  <c r="B53" i="21"/>
  <c r="X52" i="21"/>
  <c r="Z52" i="21" s="1"/>
  <c r="L52" i="21"/>
  <c r="N52" i="21" s="1"/>
  <c r="B52" i="21"/>
  <c r="Z51" i="21"/>
  <c r="X51" i="21"/>
  <c r="N51" i="21"/>
  <c r="L51" i="21"/>
  <c r="B51" i="21"/>
  <c r="T50" i="21"/>
  <c r="P50" i="21"/>
  <c r="X50" i="21" s="1"/>
  <c r="L50" i="21"/>
  <c r="N50" i="21" s="1"/>
  <c r="H50" i="21"/>
  <c r="D50" i="21"/>
  <c r="B50" i="21"/>
  <c r="X49" i="21"/>
  <c r="Z49" i="21" s="1"/>
  <c r="L49" i="21"/>
  <c r="N49" i="21" s="1"/>
  <c r="B49" i="21"/>
  <c r="X48" i="21"/>
  <c r="Z48" i="21" s="1"/>
  <c r="T48" i="21"/>
  <c r="P48" i="21"/>
  <c r="H48" i="21"/>
  <c r="D48" i="21"/>
  <c r="B48" i="21"/>
  <c r="Z47" i="21"/>
  <c r="X47" i="21"/>
  <c r="N47" i="21"/>
  <c r="L47" i="21"/>
  <c r="B47" i="21"/>
  <c r="T46" i="21"/>
  <c r="P46" i="21"/>
  <c r="N46" i="21"/>
  <c r="H46" i="21"/>
  <c r="D46" i="21"/>
  <c r="L46" i="21" s="1"/>
  <c r="B46" i="21"/>
  <c r="Z45" i="21"/>
  <c r="X45" i="21"/>
  <c r="N45" i="21"/>
  <c r="L45" i="21"/>
  <c r="B45" i="21"/>
  <c r="Z44" i="21"/>
  <c r="T44" i="21"/>
  <c r="P44" i="21"/>
  <c r="X44" i="21" s="1"/>
  <c r="H44" i="21"/>
  <c r="N44" i="21" s="1"/>
  <c r="D44" i="21"/>
  <c r="L44" i="21" s="1"/>
  <c r="B44" i="21"/>
  <c r="Z43" i="21"/>
  <c r="X43" i="21"/>
  <c r="N43" i="21"/>
  <c r="L43" i="21"/>
  <c r="B43" i="21"/>
  <c r="X42" i="21"/>
  <c r="Z42" i="21" s="1"/>
  <c r="N42" i="21"/>
  <c r="L42" i="21"/>
  <c r="B42" i="21"/>
  <c r="Z41" i="21"/>
  <c r="X41" i="21"/>
  <c r="N41" i="21"/>
  <c r="L41" i="21"/>
  <c r="B41" i="21"/>
  <c r="X40" i="21"/>
  <c r="Z40" i="21" s="1"/>
  <c r="L40" i="21"/>
  <c r="N40" i="21" s="1"/>
  <c r="B40" i="21"/>
  <c r="T39" i="21"/>
  <c r="P39" i="21"/>
  <c r="X39" i="21" s="1"/>
  <c r="Z39" i="21" s="1"/>
  <c r="L39" i="21"/>
  <c r="N39" i="21" s="1"/>
  <c r="H39" i="21"/>
  <c r="D39" i="21"/>
  <c r="B39" i="21"/>
  <c r="Z38" i="21"/>
  <c r="X38" i="21"/>
  <c r="N38" i="21"/>
  <c r="L38" i="21"/>
  <c r="B38" i="21"/>
  <c r="X37" i="21"/>
  <c r="Z37" i="21" s="1"/>
  <c r="L37" i="21"/>
  <c r="N37" i="21" s="1"/>
  <c r="B37" i="21"/>
  <c r="X36" i="21"/>
  <c r="Z36" i="21" s="1"/>
  <c r="L36" i="21"/>
  <c r="N36" i="21" s="1"/>
  <c r="B36" i="21"/>
  <c r="Z35" i="21"/>
  <c r="X35" i="21"/>
  <c r="N35" i="21"/>
  <c r="L35" i="21"/>
  <c r="B35" i="21"/>
  <c r="X34" i="21"/>
  <c r="Z34" i="21" s="1"/>
  <c r="L34" i="21"/>
  <c r="N34" i="21" s="1"/>
  <c r="B34" i="21"/>
  <c r="X33" i="21"/>
  <c r="Z33" i="21" s="1"/>
  <c r="L33" i="21"/>
  <c r="N33" i="21" s="1"/>
  <c r="B33" i="21"/>
  <c r="X32" i="21"/>
  <c r="Z32" i="21" s="1"/>
  <c r="L32" i="21"/>
  <c r="N32" i="21" s="1"/>
  <c r="B32" i="21"/>
  <c r="Z31" i="21"/>
  <c r="X31" i="21"/>
  <c r="N31" i="21"/>
  <c r="L31" i="21"/>
  <c r="B31" i="21"/>
  <c r="T30" i="21"/>
  <c r="P30" i="21"/>
  <c r="L30" i="21"/>
  <c r="N30" i="21" s="1"/>
  <c r="H30" i="21"/>
  <c r="D30" i="21"/>
  <c r="B30" i="21"/>
  <c r="T29" i="21"/>
  <c r="P29" i="21"/>
  <c r="X29" i="21" s="1"/>
  <c r="H29" i="21"/>
  <c r="D29" i="21"/>
  <c r="L29" i="21" s="1"/>
  <c r="N29" i="21" s="1"/>
  <c r="X25" i="21"/>
  <c r="Z25" i="21" s="1"/>
  <c r="N25" i="21"/>
  <c r="L25" i="21"/>
  <c r="B25" i="21"/>
  <c r="X24" i="21"/>
  <c r="Z24" i="21" s="1"/>
  <c r="N24" i="21"/>
  <c r="L24" i="21"/>
  <c r="B24" i="21"/>
  <c r="T23" i="21"/>
  <c r="X23" i="21" s="1"/>
  <c r="Z23" i="21" s="1"/>
  <c r="P23" i="21"/>
  <c r="H23" i="21"/>
  <c r="N23" i="21" s="1"/>
  <c r="D23" i="21"/>
  <c r="L23" i="21" s="1"/>
  <c r="T21" i="21"/>
  <c r="P21" i="21"/>
  <c r="X21" i="21" s="1"/>
  <c r="Z21" i="21" s="1"/>
  <c r="N21" i="21"/>
  <c r="H21" i="21"/>
  <c r="D21" i="21"/>
  <c r="L21" i="21" s="1"/>
  <c r="B21" i="21"/>
  <c r="T20" i="21"/>
  <c r="Z20" i="21" s="1"/>
  <c r="P20" i="21"/>
  <c r="X20" i="21" s="1"/>
  <c r="H20" i="21"/>
  <c r="N20" i="21" s="1"/>
  <c r="D20" i="21"/>
  <c r="L20" i="21" s="1"/>
  <c r="B20" i="21"/>
  <c r="T19" i="21"/>
  <c r="Z19" i="21" s="1"/>
  <c r="P19" i="21"/>
  <c r="H19" i="21"/>
  <c r="N19" i="21" s="1"/>
  <c r="D19" i="21"/>
  <c r="B19" i="21"/>
  <c r="X18" i="21"/>
  <c r="Z18" i="21" s="1"/>
  <c r="T18" i="21"/>
  <c r="P18" i="21"/>
  <c r="N18" i="21"/>
  <c r="L18" i="21"/>
  <c r="H18" i="21"/>
  <c r="D18" i="21"/>
  <c r="B18" i="21"/>
  <c r="Z17" i="21"/>
  <c r="T17" i="21"/>
  <c r="P17" i="21"/>
  <c r="X17" i="21" s="1"/>
  <c r="N17" i="21"/>
  <c r="H17" i="21"/>
  <c r="D17" i="21"/>
  <c r="L17" i="21" s="1"/>
  <c r="B17" i="21"/>
  <c r="T16" i="21"/>
  <c r="Z16" i="21" s="1"/>
  <c r="P16" i="21"/>
  <c r="X16" i="21" s="1"/>
  <c r="H16" i="21"/>
  <c r="N16" i="21" s="1"/>
  <c r="D16" i="21"/>
  <c r="D12" i="21" s="1"/>
  <c r="B16" i="21"/>
  <c r="T15" i="21"/>
  <c r="Z15" i="21" s="1"/>
  <c r="P15" i="21"/>
  <c r="H15" i="21"/>
  <c r="H12" i="21" s="1"/>
  <c r="D15" i="21"/>
  <c r="B15" i="21"/>
  <c r="X14" i="21"/>
  <c r="Z14" i="21" s="1"/>
  <c r="T14" i="21"/>
  <c r="P14" i="21"/>
  <c r="N14" i="21"/>
  <c r="L14" i="21"/>
  <c r="H14" i="21"/>
  <c r="D14" i="21"/>
  <c r="B14" i="21"/>
  <c r="Z13" i="21"/>
  <c r="T13" i="21"/>
  <c r="P13" i="21"/>
  <c r="X13" i="21" s="1"/>
  <c r="N13" i="21"/>
  <c r="H13" i="21"/>
  <c r="D13" i="21"/>
  <c r="L13" i="21" s="1"/>
  <c r="B13" i="21"/>
  <c r="P12" i="21"/>
  <c r="R79" i="21" s="1"/>
  <c r="D4" i="21"/>
  <c r="B39" i="20"/>
  <c r="B38" i="20"/>
  <c r="T34" i="20"/>
  <c r="Z34" i="20" s="1"/>
  <c r="P34" i="20"/>
  <c r="H34" i="20"/>
  <c r="D34" i="20"/>
  <c r="T33" i="20"/>
  <c r="P33" i="20"/>
  <c r="H33" i="20"/>
  <c r="N33" i="20" s="1"/>
  <c r="D33" i="20"/>
  <c r="T29" i="20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N24" i="20" s="1"/>
  <c r="D24" i="20"/>
  <c r="T22" i="20"/>
  <c r="Z22" i="20" s="1"/>
  <c r="P22" i="20"/>
  <c r="H22" i="20"/>
  <c r="D22" i="20"/>
  <c r="B22" i="20"/>
  <c r="T21" i="20"/>
  <c r="Z21" i="20" s="1"/>
  <c r="P21" i="20"/>
  <c r="H21" i="20"/>
  <c r="N21" i="20" s="1"/>
  <c r="D21" i="20"/>
  <c r="B21" i="20"/>
  <c r="T20" i="20"/>
  <c r="Z20" i="20" s="1"/>
  <c r="P20" i="20"/>
  <c r="H20" i="20"/>
  <c r="N20" i="20" s="1"/>
  <c r="D20" i="20"/>
  <c r="T16" i="20"/>
  <c r="Z16" i="20" s="1"/>
  <c r="P16" i="20"/>
  <c r="H16" i="20"/>
  <c r="N16" i="20" s="1"/>
  <c r="D16" i="20"/>
  <c r="B16" i="20"/>
  <c r="T15" i="20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18" i="20" s="1"/>
  <c r="P12" i="20"/>
  <c r="R34" i="20" s="1"/>
  <c r="H12" i="20"/>
  <c r="D12" i="20"/>
  <c r="F21" i="20" s="1"/>
  <c r="D5" i="20"/>
  <c r="D4" i="20"/>
  <c r="B39" i="19"/>
  <c r="B38" i="19"/>
  <c r="T34" i="19"/>
  <c r="Z34" i="19" s="1"/>
  <c r="P34" i="19"/>
  <c r="H34" i="19"/>
  <c r="N34" i="19" s="1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N16" i="19" s="1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4" i="19" s="1"/>
  <c r="P12" i="19"/>
  <c r="R34" i="19" s="1"/>
  <c r="H12" i="19"/>
  <c r="J18" i="19" s="1"/>
  <c r="D12" i="19"/>
  <c r="F21" i="19" s="1"/>
  <c r="D5" i="19"/>
  <c r="D4" i="19"/>
  <c r="Z243" i="18"/>
  <c r="X243" i="18"/>
  <c r="N243" i="18"/>
  <c r="L243" i="18"/>
  <c r="T239" i="18"/>
  <c r="P239" i="18"/>
  <c r="X239" i="18" s="1"/>
  <c r="Z239" i="18" s="1"/>
  <c r="L239" i="18"/>
  <c r="H239" i="18"/>
  <c r="N239" i="18" s="1"/>
  <c r="D239" i="18"/>
  <c r="B239" i="18"/>
  <c r="T238" i="18"/>
  <c r="Z238" i="18" s="1"/>
  <c r="P238" i="18"/>
  <c r="X238" i="18" s="1"/>
  <c r="L238" i="18"/>
  <c r="N238" i="18" s="1"/>
  <c r="H238" i="18"/>
  <c r="D238" i="18"/>
  <c r="B238" i="18"/>
  <c r="T237" i="18"/>
  <c r="Z237" i="18" s="1"/>
  <c r="P237" i="18"/>
  <c r="X237" i="18" s="1"/>
  <c r="N237" i="18"/>
  <c r="H237" i="18"/>
  <c r="L237" i="18" s="1"/>
  <c r="D237" i="18"/>
  <c r="B237" i="18"/>
  <c r="T236" i="18"/>
  <c r="P236" i="18"/>
  <c r="X236" i="18" s="1"/>
  <c r="Z236" i="18" s="1"/>
  <c r="H236" i="18"/>
  <c r="D236" i="18"/>
  <c r="B236" i="18"/>
  <c r="Z235" i="18"/>
  <c r="T235" i="18"/>
  <c r="P235" i="18"/>
  <c r="X235" i="18" s="1"/>
  <c r="H235" i="18"/>
  <c r="N235" i="18" s="1"/>
  <c r="D235" i="18"/>
  <c r="L235" i="18" s="1"/>
  <c r="B235" i="18"/>
  <c r="T234" i="18"/>
  <c r="P234" i="18"/>
  <c r="X234" i="18" s="1"/>
  <c r="H234" i="18"/>
  <c r="D234" i="18"/>
  <c r="L234" i="18" s="1"/>
  <c r="N234" i="18" s="1"/>
  <c r="B234" i="18"/>
  <c r="X231" i="18"/>
  <c r="Z231" i="18" s="1"/>
  <c r="L231" i="18"/>
  <c r="N231" i="18" s="1"/>
  <c r="B231" i="18"/>
  <c r="X230" i="18"/>
  <c r="Z230" i="18" s="1"/>
  <c r="T230" i="18"/>
  <c r="P230" i="18"/>
  <c r="H230" i="18"/>
  <c r="D230" i="18"/>
  <c r="B230" i="18"/>
  <c r="Z229" i="18"/>
  <c r="X229" i="18"/>
  <c r="N229" i="18"/>
  <c r="L229" i="18"/>
  <c r="B229" i="18"/>
  <c r="Z228" i="18"/>
  <c r="X228" i="18"/>
  <c r="N228" i="18"/>
  <c r="L228" i="18"/>
  <c r="B228" i="18"/>
  <c r="X227" i="18"/>
  <c r="Z227" i="18" s="1"/>
  <c r="L227" i="18"/>
  <c r="N227" i="18" s="1"/>
  <c r="B227" i="18"/>
  <c r="T226" i="18"/>
  <c r="P226" i="18"/>
  <c r="X226" i="18" s="1"/>
  <c r="Z226" i="18" s="1"/>
  <c r="H226" i="18"/>
  <c r="N226" i="18" s="1"/>
  <c r="D226" i="18"/>
  <c r="L226" i="18" s="1"/>
  <c r="B226" i="18"/>
  <c r="Z225" i="18"/>
  <c r="X225" i="18"/>
  <c r="N225" i="18"/>
  <c r="L225" i="18"/>
  <c r="B225" i="18"/>
  <c r="T224" i="18"/>
  <c r="Z224" i="18" s="1"/>
  <c r="P224" i="18"/>
  <c r="X224" i="18" s="1"/>
  <c r="N224" i="18"/>
  <c r="L224" i="18"/>
  <c r="H224" i="18"/>
  <c r="D224" i="18"/>
  <c r="B224" i="18"/>
  <c r="X223" i="18"/>
  <c r="Z223" i="18" s="1"/>
  <c r="L223" i="18"/>
  <c r="N223" i="18" s="1"/>
  <c r="B223" i="18"/>
  <c r="X222" i="18"/>
  <c r="Z222" i="18" s="1"/>
  <c r="L222" i="18"/>
  <c r="N222" i="18" s="1"/>
  <c r="B222" i="18"/>
  <c r="T221" i="18"/>
  <c r="P221" i="18"/>
  <c r="X221" i="18" s="1"/>
  <c r="Z221" i="18" s="1"/>
  <c r="L221" i="18"/>
  <c r="N221" i="18" s="1"/>
  <c r="H221" i="18"/>
  <c r="D221" i="18"/>
  <c r="B221" i="18"/>
  <c r="X220" i="18"/>
  <c r="Z220" i="18" s="1"/>
  <c r="N220" i="18"/>
  <c r="L220" i="18"/>
  <c r="B220" i="18"/>
  <c r="X219" i="18"/>
  <c r="Z219" i="18" s="1"/>
  <c r="L219" i="18"/>
  <c r="N219" i="18" s="1"/>
  <c r="B219" i="18"/>
  <c r="X218" i="18"/>
  <c r="Z218" i="18" s="1"/>
  <c r="L218" i="18"/>
  <c r="N218" i="18" s="1"/>
  <c r="B218" i="18"/>
  <c r="Z217" i="18"/>
  <c r="X217" i="18"/>
  <c r="N217" i="18"/>
  <c r="L217" i="18"/>
  <c r="B217" i="18"/>
  <c r="Z216" i="18"/>
  <c r="X216" i="18"/>
  <c r="L216" i="18"/>
  <c r="N216" i="18" s="1"/>
  <c r="B216" i="18"/>
  <c r="X215" i="18"/>
  <c r="Z215" i="18" s="1"/>
  <c r="L215" i="18"/>
  <c r="N215" i="18" s="1"/>
  <c r="B215" i="18"/>
  <c r="X214" i="18"/>
  <c r="Z214" i="18" s="1"/>
  <c r="L214" i="18"/>
  <c r="N214" i="18" s="1"/>
  <c r="B214" i="18"/>
  <c r="T213" i="18"/>
  <c r="P213" i="18"/>
  <c r="X213" i="18" s="1"/>
  <c r="Z213" i="18" s="1"/>
  <c r="H213" i="18"/>
  <c r="D213" i="18"/>
  <c r="L213" i="18" s="1"/>
  <c r="B213" i="18"/>
  <c r="Z212" i="18"/>
  <c r="X212" i="18"/>
  <c r="N212" i="18"/>
  <c r="L212" i="18"/>
  <c r="B212" i="18"/>
  <c r="X211" i="18"/>
  <c r="Z211" i="18" s="1"/>
  <c r="L211" i="18"/>
  <c r="N211" i="18" s="1"/>
  <c r="B211" i="18"/>
  <c r="T210" i="18"/>
  <c r="P210" i="18"/>
  <c r="X210" i="18" s="1"/>
  <c r="Z210" i="18" s="1"/>
  <c r="H210" i="18"/>
  <c r="D210" i="18"/>
  <c r="L210" i="18" s="1"/>
  <c r="B210" i="18"/>
  <c r="Z209" i="18"/>
  <c r="X209" i="18"/>
  <c r="N209" i="18"/>
  <c r="L209" i="18"/>
  <c r="B209" i="18"/>
  <c r="Z208" i="18"/>
  <c r="X208" i="18"/>
  <c r="N208" i="18"/>
  <c r="L208" i="18"/>
  <c r="B208" i="18"/>
  <c r="X207" i="18"/>
  <c r="Z207" i="18" s="1"/>
  <c r="L207" i="18"/>
  <c r="N207" i="18" s="1"/>
  <c r="B207" i="18"/>
  <c r="X206" i="18"/>
  <c r="Z206" i="18" s="1"/>
  <c r="L206" i="18"/>
  <c r="N206" i="18" s="1"/>
  <c r="B206" i="18"/>
  <c r="T205" i="18"/>
  <c r="P205" i="18"/>
  <c r="X205" i="18" s="1"/>
  <c r="Z205" i="18" s="1"/>
  <c r="H205" i="18"/>
  <c r="D205" i="18"/>
  <c r="L205" i="18" s="1"/>
  <c r="N205" i="18" s="1"/>
  <c r="B205" i="18"/>
  <c r="Z204" i="18"/>
  <c r="X204" i="18"/>
  <c r="L204" i="18"/>
  <c r="N204" i="18" s="1"/>
  <c r="B204" i="18"/>
  <c r="Z203" i="18"/>
  <c r="X203" i="18"/>
  <c r="N203" i="18"/>
  <c r="L203" i="18"/>
  <c r="B203" i="18"/>
  <c r="X202" i="18"/>
  <c r="Z202" i="18" s="1"/>
  <c r="N202" i="18"/>
  <c r="L202" i="18"/>
  <c r="B202" i="18"/>
  <c r="T201" i="18"/>
  <c r="P201" i="18"/>
  <c r="X201" i="18" s="1"/>
  <c r="Z201" i="18" s="1"/>
  <c r="H201" i="18"/>
  <c r="D201" i="18"/>
  <c r="L201" i="18" s="1"/>
  <c r="N201" i="18" s="1"/>
  <c r="B201" i="18"/>
  <c r="Z200" i="18"/>
  <c r="X200" i="18"/>
  <c r="L200" i="18"/>
  <c r="N200" i="18" s="1"/>
  <c r="B200" i="18"/>
  <c r="X199" i="18"/>
  <c r="Z199" i="18" s="1"/>
  <c r="L199" i="18"/>
  <c r="N199" i="18" s="1"/>
  <c r="B199" i="18"/>
  <c r="Z198" i="18"/>
  <c r="X198" i="18"/>
  <c r="N198" i="18"/>
  <c r="L198" i="18"/>
  <c r="B198" i="18"/>
  <c r="Z197" i="18"/>
  <c r="X197" i="18"/>
  <c r="N197" i="18"/>
  <c r="L197" i="18"/>
  <c r="B197" i="18"/>
  <c r="T196" i="18"/>
  <c r="P196" i="18"/>
  <c r="X196" i="18" s="1"/>
  <c r="H196" i="18"/>
  <c r="D196" i="18"/>
  <c r="L196" i="18" s="1"/>
  <c r="N196" i="18" s="1"/>
  <c r="B196" i="18"/>
  <c r="X195" i="18"/>
  <c r="Z195" i="18" s="1"/>
  <c r="L195" i="18"/>
  <c r="N195" i="18" s="1"/>
  <c r="B195" i="18"/>
  <c r="T194" i="18"/>
  <c r="P194" i="18"/>
  <c r="X194" i="18" s="1"/>
  <c r="Z194" i="18" s="1"/>
  <c r="H194" i="18"/>
  <c r="D194" i="18"/>
  <c r="B194" i="18"/>
  <c r="Z193" i="18"/>
  <c r="X193" i="18"/>
  <c r="N193" i="18"/>
  <c r="L193" i="18"/>
  <c r="B193" i="18"/>
  <c r="T192" i="18"/>
  <c r="Z192" i="18" s="1"/>
  <c r="P192" i="18"/>
  <c r="N192" i="18"/>
  <c r="L192" i="18"/>
  <c r="H192" i="18"/>
  <c r="D192" i="18"/>
  <c r="B192" i="18"/>
  <c r="Z191" i="18"/>
  <c r="X191" i="18"/>
  <c r="N191" i="18"/>
  <c r="L191" i="18"/>
  <c r="B191" i="18"/>
  <c r="X190" i="18"/>
  <c r="Z190" i="18" s="1"/>
  <c r="L190" i="18"/>
  <c r="N190" i="18" s="1"/>
  <c r="B190" i="18"/>
  <c r="T189" i="18"/>
  <c r="X189" i="18" s="1"/>
  <c r="Z189" i="18" s="1"/>
  <c r="P189" i="18"/>
  <c r="L189" i="18"/>
  <c r="H189" i="18"/>
  <c r="N189" i="18" s="1"/>
  <c r="D189" i="18"/>
  <c r="B189" i="18"/>
  <c r="X188" i="18"/>
  <c r="Z188" i="18" s="1"/>
  <c r="N188" i="18"/>
  <c r="L188" i="18"/>
  <c r="B188" i="18"/>
  <c r="X187" i="18"/>
  <c r="T187" i="18"/>
  <c r="Z187" i="18" s="1"/>
  <c r="P187" i="18"/>
  <c r="H187" i="18"/>
  <c r="D187" i="18"/>
  <c r="L187" i="18" s="1"/>
  <c r="N187" i="18" s="1"/>
  <c r="B187" i="18"/>
  <c r="X186" i="18"/>
  <c r="Z186" i="18" s="1"/>
  <c r="L186" i="18"/>
  <c r="N186" i="18" s="1"/>
  <c r="B186" i="18"/>
  <c r="T185" i="18"/>
  <c r="P185" i="18"/>
  <c r="X185" i="18" s="1"/>
  <c r="Z185" i="18" s="1"/>
  <c r="H185" i="18"/>
  <c r="D185" i="18"/>
  <c r="L185" i="18" s="1"/>
  <c r="N185" i="18" s="1"/>
  <c r="B185" i="18"/>
  <c r="X184" i="18"/>
  <c r="Z184" i="18" s="1"/>
  <c r="N184" i="18"/>
  <c r="L184" i="18"/>
  <c r="B184" i="18"/>
  <c r="X183" i="18"/>
  <c r="Z183" i="18" s="1"/>
  <c r="L183" i="18"/>
  <c r="N183" i="18" s="1"/>
  <c r="B183" i="18"/>
  <c r="X182" i="18"/>
  <c r="Z182" i="18" s="1"/>
  <c r="T182" i="18"/>
  <c r="P182" i="18"/>
  <c r="H182" i="18"/>
  <c r="D182" i="18"/>
  <c r="B182" i="18"/>
  <c r="Z181" i="18"/>
  <c r="X181" i="18"/>
  <c r="N181" i="18"/>
  <c r="L181" i="18"/>
  <c r="B181" i="18"/>
  <c r="T180" i="18"/>
  <c r="P180" i="18"/>
  <c r="L180" i="18"/>
  <c r="N180" i="18" s="1"/>
  <c r="H180" i="18"/>
  <c r="D180" i="18"/>
  <c r="B180" i="18"/>
  <c r="X179" i="18"/>
  <c r="Z179" i="18" s="1"/>
  <c r="N179" i="18"/>
  <c r="L179" i="18"/>
  <c r="B179" i="18"/>
  <c r="T178" i="18"/>
  <c r="P178" i="18"/>
  <c r="X178" i="18" s="1"/>
  <c r="Z178" i="18" s="1"/>
  <c r="H178" i="18"/>
  <c r="N178" i="18" s="1"/>
  <c r="D178" i="18"/>
  <c r="B178" i="18"/>
  <c r="Z177" i="18"/>
  <c r="X177" i="18"/>
  <c r="N177" i="18"/>
  <c r="L177" i="18"/>
  <c r="B177" i="18"/>
  <c r="T176" i="18"/>
  <c r="Z176" i="18" s="1"/>
  <c r="P176" i="18"/>
  <c r="N176" i="18"/>
  <c r="L176" i="18"/>
  <c r="H176" i="18"/>
  <c r="D176" i="18"/>
  <c r="B176" i="18"/>
  <c r="Z175" i="18"/>
  <c r="X175" i="18"/>
  <c r="L175" i="18"/>
  <c r="N175" i="18" s="1"/>
  <c r="B175" i="18"/>
  <c r="Z174" i="18"/>
  <c r="X174" i="18"/>
  <c r="N174" i="18"/>
  <c r="L174" i="18"/>
  <c r="B174" i="18"/>
  <c r="Z173" i="18"/>
  <c r="T173" i="18"/>
  <c r="P173" i="18"/>
  <c r="X173" i="18" s="1"/>
  <c r="H173" i="18"/>
  <c r="D173" i="18"/>
  <c r="L173" i="18" s="1"/>
  <c r="N173" i="18" s="1"/>
  <c r="B173" i="18"/>
  <c r="X172" i="18"/>
  <c r="Z172" i="18" s="1"/>
  <c r="N172" i="18"/>
  <c r="L172" i="18"/>
  <c r="B172" i="18"/>
  <c r="X171" i="18"/>
  <c r="Z171" i="18" s="1"/>
  <c r="L171" i="18"/>
  <c r="N171" i="18" s="1"/>
  <c r="B171" i="18"/>
  <c r="T170" i="18"/>
  <c r="P170" i="18"/>
  <c r="X170" i="18" s="1"/>
  <c r="Z170" i="18" s="1"/>
  <c r="H170" i="18"/>
  <c r="D170" i="18"/>
  <c r="B170" i="18"/>
  <c r="Z169" i="18"/>
  <c r="X169" i="18"/>
  <c r="N169" i="18"/>
  <c r="L169" i="18"/>
  <c r="B169" i="18"/>
  <c r="T168" i="18"/>
  <c r="P168" i="18"/>
  <c r="L168" i="18"/>
  <c r="N168" i="18" s="1"/>
  <c r="H168" i="18"/>
  <c r="D168" i="18"/>
  <c r="B168" i="18"/>
  <c r="X167" i="18"/>
  <c r="Z167" i="18" s="1"/>
  <c r="L167" i="18"/>
  <c r="N167" i="18" s="1"/>
  <c r="B167" i="18"/>
  <c r="X166" i="18"/>
  <c r="Z166" i="18" s="1"/>
  <c r="T166" i="18"/>
  <c r="P166" i="18"/>
  <c r="H166" i="18"/>
  <c r="D166" i="18"/>
  <c r="L166" i="18" s="1"/>
  <c r="B166" i="18"/>
  <c r="Z165" i="18"/>
  <c r="X165" i="18"/>
  <c r="N165" i="18"/>
  <c r="L165" i="18"/>
  <c r="B165" i="18"/>
  <c r="T164" i="18"/>
  <c r="P164" i="18"/>
  <c r="L164" i="18"/>
  <c r="N164" i="18" s="1"/>
  <c r="H164" i="18"/>
  <c r="D164" i="18"/>
  <c r="B164" i="18"/>
  <c r="X163" i="18"/>
  <c r="Z163" i="18" s="1"/>
  <c r="L163" i="18"/>
  <c r="N163" i="18" s="1"/>
  <c r="B163" i="18"/>
  <c r="X162" i="18"/>
  <c r="Z162" i="18" s="1"/>
  <c r="L162" i="18"/>
  <c r="N162" i="18" s="1"/>
  <c r="B162" i="18"/>
  <c r="Z161" i="18"/>
  <c r="X161" i="18"/>
  <c r="N161" i="18"/>
  <c r="L161" i="18"/>
  <c r="B161" i="18"/>
  <c r="X160" i="18"/>
  <c r="Z160" i="18" s="1"/>
  <c r="L160" i="18"/>
  <c r="N160" i="18" s="1"/>
  <c r="B160" i="18"/>
  <c r="X159" i="18"/>
  <c r="Z159" i="18" s="1"/>
  <c r="L159" i="18"/>
  <c r="N159" i="18" s="1"/>
  <c r="B159" i="18"/>
  <c r="X158" i="18"/>
  <c r="Z158" i="18" s="1"/>
  <c r="L158" i="18"/>
  <c r="N158" i="18" s="1"/>
  <c r="B158" i="18"/>
  <c r="Z157" i="18"/>
  <c r="X157" i="18"/>
  <c r="N157" i="18"/>
  <c r="L157" i="18"/>
  <c r="B157" i="18"/>
  <c r="T156" i="18"/>
  <c r="P156" i="18"/>
  <c r="H156" i="18"/>
  <c r="D156" i="18"/>
  <c r="L156" i="18" s="1"/>
  <c r="N156" i="18" s="1"/>
  <c r="B156" i="18"/>
  <c r="X155" i="18"/>
  <c r="Z155" i="18" s="1"/>
  <c r="L155" i="18"/>
  <c r="N155" i="18" s="1"/>
  <c r="B155" i="18"/>
  <c r="X154" i="18"/>
  <c r="Z154" i="18" s="1"/>
  <c r="L154" i="18"/>
  <c r="N154" i="18" s="1"/>
  <c r="B154" i="18"/>
  <c r="Z153" i="18"/>
  <c r="X153" i="18"/>
  <c r="N153" i="18"/>
  <c r="L153" i="18"/>
  <c r="B153" i="18"/>
  <c r="X152" i="18"/>
  <c r="Z152" i="18" s="1"/>
  <c r="L152" i="18"/>
  <c r="N152" i="18" s="1"/>
  <c r="B152" i="18"/>
  <c r="Z151" i="18"/>
  <c r="X151" i="18"/>
  <c r="N151" i="18"/>
  <c r="L151" i="18"/>
  <c r="B151" i="18"/>
  <c r="X150" i="18"/>
  <c r="Z150" i="18" s="1"/>
  <c r="L150" i="18"/>
  <c r="N150" i="18" s="1"/>
  <c r="B150" i="18"/>
  <c r="Z149" i="18"/>
  <c r="X149" i="18"/>
  <c r="N149" i="18"/>
  <c r="L149" i="18"/>
  <c r="B149" i="18"/>
  <c r="X148" i="18"/>
  <c r="Z148" i="18" s="1"/>
  <c r="L148" i="18"/>
  <c r="N148" i="18" s="1"/>
  <c r="B148" i="18"/>
  <c r="X147" i="18"/>
  <c r="Z147" i="18" s="1"/>
  <c r="L147" i="18"/>
  <c r="N147" i="18" s="1"/>
  <c r="B147" i="18"/>
  <c r="Z146" i="18"/>
  <c r="X146" i="18"/>
  <c r="L146" i="18"/>
  <c r="N146" i="18" s="1"/>
  <c r="B146" i="18"/>
  <c r="Z145" i="18"/>
  <c r="T145" i="18"/>
  <c r="P145" i="18"/>
  <c r="X145" i="18" s="1"/>
  <c r="L145" i="18"/>
  <c r="H145" i="18"/>
  <c r="D145" i="18"/>
  <c r="B145" i="18"/>
  <c r="T144" i="18"/>
  <c r="P144" i="18"/>
  <c r="X144" i="18" s="1"/>
  <c r="H144" i="18"/>
  <c r="D144" i="18"/>
  <c r="L144" i="18" s="1"/>
  <c r="Z140" i="18"/>
  <c r="X140" i="18"/>
  <c r="N140" i="18"/>
  <c r="L140" i="18"/>
  <c r="B140" i="18"/>
  <c r="X139" i="18"/>
  <c r="Z139" i="18" s="1"/>
  <c r="N139" i="18"/>
  <c r="L139" i="18"/>
  <c r="B139" i="18"/>
  <c r="X138" i="18"/>
  <c r="Z138" i="18" s="1"/>
  <c r="N138" i="18"/>
  <c r="L138" i="18"/>
  <c r="B138" i="18"/>
  <c r="Z137" i="18"/>
  <c r="X137" i="18"/>
  <c r="N137" i="18"/>
  <c r="L137" i="18"/>
  <c r="B137" i="18"/>
  <c r="X136" i="18"/>
  <c r="Z136" i="18" s="1"/>
  <c r="L136" i="18"/>
  <c r="N136" i="18" s="1"/>
  <c r="B136" i="18"/>
  <c r="Z135" i="18"/>
  <c r="X135" i="18"/>
  <c r="N135" i="18"/>
  <c r="L135" i="18"/>
  <c r="B135" i="18"/>
  <c r="X134" i="18"/>
  <c r="Z134" i="18" s="1"/>
  <c r="N134" i="18"/>
  <c r="L134" i="18"/>
  <c r="B134" i="18"/>
  <c r="Z133" i="18"/>
  <c r="X133" i="18"/>
  <c r="N133" i="18"/>
  <c r="L133" i="18"/>
  <c r="B133" i="18"/>
  <c r="X132" i="18"/>
  <c r="Z132" i="18" s="1"/>
  <c r="L132" i="18"/>
  <c r="N132" i="18" s="1"/>
  <c r="B132" i="18"/>
  <c r="Z131" i="18"/>
  <c r="X131" i="18"/>
  <c r="L131" i="18"/>
  <c r="N131" i="18" s="1"/>
  <c r="B131" i="18"/>
  <c r="Z130" i="18"/>
  <c r="X130" i="18"/>
  <c r="N130" i="18"/>
  <c r="L130" i="18"/>
  <c r="B130" i="18"/>
  <c r="Z129" i="18"/>
  <c r="X129" i="18"/>
  <c r="N129" i="18"/>
  <c r="L129" i="18"/>
  <c r="B129" i="18"/>
  <c r="X128" i="18"/>
  <c r="Z128" i="18" s="1"/>
  <c r="N128" i="18"/>
  <c r="L128" i="18"/>
  <c r="B128" i="18"/>
  <c r="Z127" i="18"/>
  <c r="X127" i="18"/>
  <c r="N127" i="18"/>
  <c r="L127" i="18"/>
  <c r="B127" i="18"/>
  <c r="X126" i="18"/>
  <c r="Z126" i="18" s="1"/>
  <c r="L126" i="18"/>
  <c r="N126" i="18" s="1"/>
  <c r="B126" i="18"/>
  <c r="Z125" i="18"/>
  <c r="X125" i="18"/>
  <c r="N125" i="18"/>
  <c r="L125" i="18"/>
  <c r="B125" i="18"/>
  <c r="X124" i="18"/>
  <c r="Z124" i="18" s="1"/>
  <c r="L124" i="18"/>
  <c r="N124" i="18" s="1"/>
  <c r="B124" i="18"/>
  <c r="X123" i="18"/>
  <c r="Z123" i="18" s="1"/>
  <c r="N123" i="18"/>
  <c r="L123" i="18"/>
  <c r="B123" i="18"/>
  <c r="Z122" i="18"/>
  <c r="X122" i="18"/>
  <c r="N122" i="18"/>
  <c r="L122" i="18"/>
  <c r="B122" i="18"/>
  <c r="Z121" i="18"/>
  <c r="X121" i="18"/>
  <c r="N121" i="18"/>
  <c r="L121" i="18"/>
  <c r="B121" i="18"/>
  <c r="X120" i="18"/>
  <c r="Z120" i="18" s="1"/>
  <c r="L120" i="18"/>
  <c r="N120" i="18" s="1"/>
  <c r="B120" i="18"/>
  <c r="Z119" i="18"/>
  <c r="X119" i="18"/>
  <c r="N119" i="18"/>
  <c r="L119" i="18"/>
  <c r="B119" i="18"/>
  <c r="X118" i="18"/>
  <c r="Z118" i="18" s="1"/>
  <c r="N118" i="18"/>
  <c r="L118" i="18"/>
  <c r="B118" i="18"/>
  <c r="Z117" i="18"/>
  <c r="X117" i="18"/>
  <c r="N117" i="18"/>
  <c r="L117" i="18"/>
  <c r="B117" i="18"/>
  <c r="X116" i="18"/>
  <c r="Z116" i="18" s="1"/>
  <c r="L116" i="18"/>
  <c r="N116" i="18" s="1"/>
  <c r="B116" i="18"/>
  <c r="X115" i="18"/>
  <c r="Z115" i="18" s="1"/>
  <c r="N115" i="18"/>
  <c r="L115" i="18"/>
  <c r="B115" i="18"/>
  <c r="Z114" i="18"/>
  <c r="X114" i="18"/>
  <c r="L114" i="18"/>
  <c r="N114" i="18" s="1"/>
  <c r="B114" i="18"/>
  <c r="Z113" i="18"/>
  <c r="X113" i="18"/>
  <c r="N113" i="18"/>
  <c r="L113" i="18"/>
  <c r="B113" i="18"/>
  <c r="X112" i="18"/>
  <c r="Z112" i="18" s="1"/>
  <c r="L112" i="18"/>
  <c r="N112" i="18" s="1"/>
  <c r="B112" i="18"/>
  <c r="Z111" i="18"/>
  <c r="X111" i="18"/>
  <c r="L111" i="18"/>
  <c r="N111" i="18" s="1"/>
  <c r="B111" i="18"/>
  <c r="X110" i="18"/>
  <c r="Z110" i="18" s="1"/>
  <c r="N110" i="18"/>
  <c r="L110" i="18"/>
  <c r="B110" i="18"/>
  <c r="Z109" i="18"/>
  <c r="X109" i="18"/>
  <c r="N109" i="18"/>
  <c r="L109" i="18"/>
  <c r="B109" i="18"/>
  <c r="X108" i="18"/>
  <c r="Z108" i="18" s="1"/>
  <c r="L108" i="18"/>
  <c r="N108" i="18" s="1"/>
  <c r="B108" i="18"/>
  <c r="X107" i="18"/>
  <c r="Z107" i="18" s="1"/>
  <c r="N107" i="18"/>
  <c r="L107" i="18"/>
  <c r="B107" i="18"/>
  <c r="Z106" i="18"/>
  <c r="X106" i="18"/>
  <c r="L106" i="18"/>
  <c r="N106" i="18" s="1"/>
  <c r="B106" i="18"/>
  <c r="Z105" i="18"/>
  <c r="X105" i="18"/>
  <c r="N105" i="18"/>
  <c r="L105" i="18"/>
  <c r="B105" i="18"/>
  <c r="X104" i="18"/>
  <c r="Z104" i="18" s="1"/>
  <c r="N104" i="18"/>
  <c r="L104" i="18"/>
  <c r="B104" i="18"/>
  <c r="Z103" i="18"/>
  <c r="X103" i="18"/>
  <c r="N103" i="18"/>
  <c r="L103" i="18"/>
  <c r="B103" i="18"/>
  <c r="X102" i="18"/>
  <c r="Z102" i="18" s="1"/>
  <c r="N102" i="18"/>
  <c r="L102" i="18"/>
  <c r="B102" i="18"/>
  <c r="Z101" i="18"/>
  <c r="X101" i="18"/>
  <c r="N101" i="18"/>
  <c r="L101" i="18"/>
  <c r="B101" i="18"/>
  <c r="X100" i="18"/>
  <c r="Z100" i="18" s="1"/>
  <c r="L100" i="18"/>
  <c r="N100" i="18" s="1"/>
  <c r="B100" i="18"/>
  <c r="X99" i="18"/>
  <c r="Z99" i="18" s="1"/>
  <c r="N99" i="18"/>
  <c r="L99" i="18"/>
  <c r="B99" i="18"/>
  <c r="Z98" i="18"/>
  <c r="X98" i="18"/>
  <c r="L98" i="18"/>
  <c r="N98" i="18" s="1"/>
  <c r="B98" i="18"/>
  <c r="Z97" i="18"/>
  <c r="X97" i="18"/>
  <c r="N97" i="18"/>
  <c r="L97" i="18"/>
  <c r="B97" i="18"/>
  <c r="X96" i="18"/>
  <c r="Z96" i="18" s="1"/>
  <c r="L96" i="18"/>
  <c r="N96" i="18" s="1"/>
  <c r="B96" i="18"/>
  <c r="Z95" i="18"/>
  <c r="X95" i="18"/>
  <c r="L95" i="18"/>
  <c r="N95" i="18" s="1"/>
  <c r="B95" i="18"/>
  <c r="Z94" i="18"/>
  <c r="X94" i="18"/>
  <c r="N94" i="18"/>
  <c r="L94" i="18"/>
  <c r="B94" i="18"/>
  <c r="T93" i="18"/>
  <c r="P93" i="18"/>
  <c r="X93" i="18" s="1"/>
  <c r="H93" i="18"/>
  <c r="D93" i="18"/>
  <c r="L93" i="18" s="1"/>
  <c r="N93" i="18" s="1"/>
  <c r="T91" i="18"/>
  <c r="Z91" i="18" s="1"/>
  <c r="P91" i="18"/>
  <c r="N91" i="18"/>
  <c r="H91" i="18"/>
  <c r="D91" i="18"/>
  <c r="L91" i="18" s="1"/>
  <c r="B91" i="18"/>
  <c r="T90" i="18"/>
  <c r="P90" i="18"/>
  <c r="X90" i="18" s="1"/>
  <c r="Z90" i="18" s="1"/>
  <c r="H90" i="18"/>
  <c r="N90" i="18" s="1"/>
  <c r="D90" i="18"/>
  <c r="L90" i="18" s="1"/>
  <c r="B90" i="18"/>
  <c r="T89" i="18"/>
  <c r="Z89" i="18" s="1"/>
  <c r="P89" i="18"/>
  <c r="X89" i="18" s="1"/>
  <c r="L89" i="18"/>
  <c r="H89" i="18"/>
  <c r="N89" i="18" s="1"/>
  <c r="D89" i="18"/>
  <c r="B89" i="18"/>
  <c r="X88" i="18"/>
  <c r="T88" i="18"/>
  <c r="Z88" i="18" s="1"/>
  <c r="P88" i="18"/>
  <c r="H88" i="18"/>
  <c r="D88" i="18"/>
  <c r="L88" i="18" s="1"/>
  <c r="N88" i="18" s="1"/>
  <c r="B88" i="18"/>
  <c r="T87" i="18"/>
  <c r="P87" i="18"/>
  <c r="X87" i="18" s="1"/>
  <c r="Z87" i="18" s="1"/>
  <c r="H87" i="18"/>
  <c r="D87" i="18"/>
  <c r="B87" i="18"/>
  <c r="T86" i="18"/>
  <c r="P86" i="18"/>
  <c r="X86" i="18" s="1"/>
  <c r="H86" i="18"/>
  <c r="D86" i="18"/>
  <c r="L86" i="18" s="1"/>
  <c r="N86" i="18" s="1"/>
  <c r="B86" i="18"/>
  <c r="X85" i="18"/>
  <c r="T85" i="18"/>
  <c r="Z85" i="18" s="1"/>
  <c r="P85" i="18"/>
  <c r="H85" i="18"/>
  <c r="D85" i="18"/>
  <c r="L85" i="18" s="1"/>
  <c r="B85" i="18"/>
  <c r="T84" i="18"/>
  <c r="P84" i="18"/>
  <c r="X84" i="18" s="1"/>
  <c r="Z84" i="18" s="1"/>
  <c r="L84" i="18"/>
  <c r="H84" i="18"/>
  <c r="N84" i="18" s="1"/>
  <c r="D84" i="18"/>
  <c r="B84" i="18"/>
  <c r="T83" i="18"/>
  <c r="Z83" i="18" s="1"/>
  <c r="P83" i="18"/>
  <c r="N83" i="18"/>
  <c r="H83" i="18"/>
  <c r="D83" i="18"/>
  <c r="L83" i="18" s="1"/>
  <c r="B83" i="18"/>
  <c r="T82" i="18"/>
  <c r="P82" i="18"/>
  <c r="X82" i="18" s="1"/>
  <c r="Z82" i="18" s="1"/>
  <c r="H82" i="18"/>
  <c r="N82" i="18" s="1"/>
  <c r="D82" i="18"/>
  <c r="L82" i="18" s="1"/>
  <c r="B82" i="18"/>
  <c r="T81" i="18"/>
  <c r="Z81" i="18" s="1"/>
  <c r="P81" i="18"/>
  <c r="X81" i="18" s="1"/>
  <c r="L81" i="18"/>
  <c r="H81" i="18"/>
  <c r="N81" i="18" s="1"/>
  <c r="D81" i="18"/>
  <c r="B81" i="18"/>
  <c r="X80" i="18"/>
  <c r="T80" i="18"/>
  <c r="Z80" i="18" s="1"/>
  <c r="P80" i="18"/>
  <c r="H80" i="18"/>
  <c r="D80" i="18"/>
  <c r="L80" i="18" s="1"/>
  <c r="N80" i="18" s="1"/>
  <c r="B80" i="18"/>
  <c r="T79" i="18"/>
  <c r="P79" i="18"/>
  <c r="X79" i="18" s="1"/>
  <c r="Z79" i="18" s="1"/>
  <c r="H79" i="18"/>
  <c r="D79" i="18"/>
  <c r="B79" i="18"/>
  <c r="T78" i="18"/>
  <c r="P78" i="18"/>
  <c r="X78" i="18" s="1"/>
  <c r="N78" i="18"/>
  <c r="H78" i="18"/>
  <c r="D78" i="18"/>
  <c r="L78" i="18" s="1"/>
  <c r="B78" i="18"/>
  <c r="X77" i="18"/>
  <c r="T77" i="18"/>
  <c r="Z77" i="18" s="1"/>
  <c r="P77" i="18"/>
  <c r="H77" i="18"/>
  <c r="N77" i="18" s="1"/>
  <c r="D77" i="18"/>
  <c r="L77" i="18" s="1"/>
  <c r="B77" i="18"/>
  <c r="T76" i="18"/>
  <c r="P76" i="18"/>
  <c r="X76" i="18" s="1"/>
  <c r="Z76" i="18" s="1"/>
  <c r="L76" i="18"/>
  <c r="H76" i="18"/>
  <c r="N76" i="18" s="1"/>
  <c r="D76" i="18"/>
  <c r="B76" i="18"/>
  <c r="T75" i="18"/>
  <c r="P75" i="18"/>
  <c r="H75" i="18"/>
  <c r="D75" i="18"/>
  <c r="L75" i="18" s="1"/>
  <c r="N75" i="18" s="1"/>
  <c r="B75" i="18"/>
  <c r="T74" i="18"/>
  <c r="P74" i="18"/>
  <c r="X74" i="18" s="1"/>
  <c r="Z74" i="18" s="1"/>
  <c r="H74" i="18"/>
  <c r="D74" i="18"/>
  <c r="L74" i="18" s="1"/>
  <c r="B74" i="18"/>
  <c r="T73" i="18"/>
  <c r="P73" i="18"/>
  <c r="X73" i="18" s="1"/>
  <c r="L73" i="18"/>
  <c r="H73" i="18"/>
  <c r="N73" i="18" s="1"/>
  <c r="D73" i="18"/>
  <c r="B73" i="18"/>
  <c r="X72" i="18"/>
  <c r="T72" i="18"/>
  <c r="Z72" i="18" s="1"/>
  <c r="P72" i="18"/>
  <c r="H72" i="18"/>
  <c r="D72" i="18"/>
  <c r="L72" i="18" s="1"/>
  <c r="N72" i="18" s="1"/>
  <c r="B72" i="18"/>
  <c r="T71" i="18"/>
  <c r="P71" i="18"/>
  <c r="X71" i="18" s="1"/>
  <c r="Z71" i="18" s="1"/>
  <c r="H71" i="18"/>
  <c r="D71" i="18"/>
  <c r="B71" i="18"/>
  <c r="T70" i="18"/>
  <c r="Z70" i="18" s="1"/>
  <c r="P70" i="18"/>
  <c r="X70" i="18" s="1"/>
  <c r="H70" i="18"/>
  <c r="D70" i="18"/>
  <c r="L70" i="18" s="1"/>
  <c r="N70" i="18" s="1"/>
  <c r="B70" i="18"/>
  <c r="X69" i="18"/>
  <c r="T69" i="18"/>
  <c r="Z69" i="18" s="1"/>
  <c r="P69" i="18"/>
  <c r="H69" i="18"/>
  <c r="N69" i="18" s="1"/>
  <c r="D69" i="18"/>
  <c r="L69" i="18" s="1"/>
  <c r="B69" i="18"/>
  <c r="T68" i="18"/>
  <c r="P68" i="18"/>
  <c r="X68" i="18" s="1"/>
  <c r="Z68" i="18" s="1"/>
  <c r="L68" i="18"/>
  <c r="H68" i="18"/>
  <c r="N68" i="18" s="1"/>
  <c r="D68" i="18"/>
  <c r="B68" i="18"/>
  <c r="T67" i="18"/>
  <c r="P67" i="18"/>
  <c r="H67" i="18"/>
  <c r="D67" i="18"/>
  <c r="L67" i="18" s="1"/>
  <c r="N67" i="18" s="1"/>
  <c r="B67" i="18"/>
  <c r="T66" i="18"/>
  <c r="P66" i="18"/>
  <c r="X66" i="18" s="1"/>
  <c r="Z66" i="18" s="1"/>
  <c r="H66" i="18"/>
  <c r="N66" i="18" s="1"/>
  <c r="D66" i="18"/>
  <c r="L66" i="18" s="1"/>
  <c r="B66" i="18"/>
  <c r="T65" i="18"/>
  <c r="Z65" i="18" s="1"/>
  <c r="P65" i="18"/>
  <c r="X65" i="18" s="1"/>
  <c r="L65" i="18"/>
  <c r="H65" i="18"/>
  <c r="N65" i="18" s="1"/>
  <c r="D65" i="18"/>
  <c r="B65" i="18"/>
  <c r="X64" i="18"/>
  <c r="T64" i="18"/>
  <c r="Z64" i="18" s="1"/>
  <c r="P64" i="18"/>
  <c r="H64" i="18"/>
  <c r="D64" i="18"/>
  <c r="L64" i="18" s="1"/>
  <c r="N64" i="18" s="1"/>
  <c r="B64" i="18"/>
  <c r="T63" i="18"/>
  <c r="P63" i="18"/>
  <c r="X63" i="18" s="1"/>
  <c r="Z63" i="18" s="1"/>
  <c r="H63" i="18"/>
  <c r="D63" i="18"/>
  <c r="B63" i="18"/>
  <c r="T62" i="18"/>
  <c r="Z62" i="18" s="1"/>
  <c r="P62" i="18"/>
  <c r="X62" i="18" s="1"/>
  <c r="H62" i="18"/>
  <c r="D62" i="18"/>
  <c r="L62" i="18" s="1"/>
  <c r="N62" i="18" s="1"/>
  <c r="B62" i="18"/>
  <c r="X61" i="18"/>
  <c r="T61" i="18"/>
  <c r="Z61" i="18" s="1"/>
  <c r="P61" i="18"/>
  <c r="H61" i="18"/>
  <c r="N61" i="18" s="1"/>
  <c r="D61" i="18"/>
  <c r="L61" i="18" s="1"/>
  <c r="B61" i="18"/>
  <c r="T60" i="18"/>
  <c r="P60" i="18"/>
  <c r="X60" i="18" s="1"/>
  <c r="Z60" i="18" s="1"/>
  <c r="L60" i="18"/>
  <c r="H60" i="18"/>
  <c r="N60" i="18" s="1"/>
  <c r="D60" i="18"/>
  <c r="B60" i="18"/>
  <c r="T59" i="18"/>
  <c r="P59" i="18"/>
  <c r="H59" i="18"/>
  <c r="D59" i="18"/>
  <c r="L59" i="18" s="1"/>
  <c r="N59" i="18" s="1"/>
  <c r="B59" i="18"/>
  <c r="T58" i="18"/>
  <c r="P58" i="18"/>
  <c r="X58" i="18" s="1"/>
  <c r="Z58" i="18" s="1"/>
  <c r="H58" i="18"/>
  <c r="D58" i="18"/>
  <c r="L58" i="18" s="1"/>
  <c r="B58" i="18"/>
  <c r="T57" i="18"/>
  <c r="P57" i="18"/>
  <c r="L57" i="18"/>
  <c r="H57" i="18"/>
  <c r="N57" i="18" s="1"/>
  <c r="D57" i="18"/>
  <c r="B57" i="18"/>
  <c r="X56" i="18"/>
  <c r="Z56" i="18" s="1"/>
  <c r="T56" i="18"/>
  <c r="P56" i="18"/>
  <c r="H56" i="18"/>
  <c r="D56" i="18"/>
  <c r="L56" i="18" s="1"/>
  <c r="N56" i="18" s="1"/>
  <c r="B56" i="18"/>
  <c r="T55" i="18"/>
  <c r="P55" i="18"/>
  <c r="X55" i="18" s="1"/>
  <c r="Z55" i="18" s="1"/>
  <c r="H55" i="18"/>
  <c r="N55" i="18" s="1"/>
  <c r="D55" i="18"/>
  <c r="L55" i="18" s="1"/>
  <c r="B55" i="18"/>
  <c r="T54" i="18"/>
  <c r="Z54" i="18" s="1"/>
  <c r="P54" i="18"/>
  <c r="X54" i="18" s="1"/>
  <c r="H54" i="18"/>
  <c r="N54" i="18" s="1"/>
  <c r="D54" i="18"/>
  <c r="L54" i="18" s="1"/>
  <c r="B54" i="18"/>
  <c r="X53" i="18"/>
  <c r="T53" i="18"/>
  <c r="Z53" i="18" s="1"/>
  <c r="P53" i="18"/>
  <c r="H53" i="18"/>
  <c r="D53" i="18"/>
  <c r="B53" i="18"/>
  <c r="T52" i="18"/>
  <c r="P52" i="18"/>
  <c r="X52" i="18" s="1"/>
  <c r="Z52" i="18" s="1"/>
  <c r="L52" i="18"/>
  <c r="N52" i="18" s="1"/>
  <c r="H52" i="18"/>
  <c r="D52" i="18"/>
  <c r="B52" i="18"/>
  <c r="T51" i="18"/>
  <c r="Z51" i="18" s="1"/>
  <c r="P51" i="18"/>
  <c r="X51" i="18" s="1"/>
  <c r="N51" i="18"/>
  <c r="H51" i="18"/>
  <c r="D51" i="18"/>
  <c r="L51" i="18" s="1"/>
  <c r="B51" i="18"/>
  <c r="T50" i="18"/>
  <c r="P50" i="18"/>
  <c r="X50" i="18" s="1"/>
  <c r="H50" i="18"/>
  <c r="N50" i="18" s="1"/>
  <c r="D50" i="18"/>
  <c r="L50" i="18" s="1"/>
  <c r="B50" i="18"/>
  <c r="T49" i="18"/>
  <c r="P49" i="18"/>
  <c r="L49" i="18"/>
  <c r="H49" i="18"/>
  <c r="N49" i="18" s="1"/>
  <c r="D49" i="18"/>
  <c r="B49" i="18"/>
  <c r="X48" i="18"/>
  <c r="Z48" i="18" s="1"/>
  <c r="T48" i="18"/>
  <c r="P48" i="18"/>
  <c r="N48" i="18"/>
  <c r="H48" i="18"/>
  <c r="D48" i="18"/>
  <c r="L48" i="18" s="1"/>
  <c r="B48" i="18"/>
  <c r="T47" i="18"/>
  <c r="P47" i="18"/>
  <c r="X47" i="18" s="1"/>
  <c r="Z47" i="18" s="1"/>
  <c r="H47" i="18"/>
  <c r="D47" i="18"/>
  <c r="B47" i="18"/>
  <c r="T46" i="18"/>
  <c r="P46" i="18"/>
  <c r="X46" i="18" s="1"/>
  <c r="H46" i="18"/>
  <c r="D46" i="18"/>
  <c r="L46" i="18" s="1"/>
  <c r="N46" i="18" s="1"/>
  <c r="B46" i="18"/>
  <c r="X45" i="18"/>
  <c r="T45" i="18"/>
  <c r="Z45" i="18" s="1"/>
  <c r="P45" i="18"/>
  <c r="H45" i="18"/>
  <c r="D45" i="18"/>
  <c r="B45" i="18"/>
  <c r="T44" i="18"/>
  <c r="P44" i="18"/>
  <c r="X44" i="18" s="1"/>
  <c r="Z44" i="18" s="1"/>
  <c r="N44" i="18"/>
  <c r="L44" i="18"/>
  <c r="H44" i="18"/>
  <c r="D44" i="18"/>
  <c r="B44" i="18"/>
  <c r="T43" i="18"/>
  <c r="P43" i="18"/>
  <c r="H43" i="18"/>
  <c r="D43" i="18"/>
  <c r="L43" i="18" s="1"/>
  <c r="N43" i="18" s="1"/>
  <c r="B43" i="18"/>
  <c r="T42" i="18"/>
  <c r="P42" i="18"/>
  <c r="X42" i="18" s="1"/>
  <c r="Z42" i="18" s="1"/>
  <c r="H42" i="18"/>
  <c r="D42" i="18"/>
  <c r="L42" i="18" s="1"/>
  <c r="B42" i="18"/>
  <c r="T41" i="18"/>
  <c r="P41" i="18"/>
  <c r="L41" i="18"/>
  <c r="H41" i="18"/>
  <c r="N41" i="18" s="1"/>
  <c r="D41" i="18"/>
  <c r="B41" i="18"/>
  <c r="X40" i="18"/>
  <c r="Z40" i="18" s="1"/>
  <c r="T40" i="18"/>
  <c r="P40" i="18"/>
  <c r="N40" i="18"/>
  <c r="H40" i="18"/>
  <c r="D40" i="18"/>
  <c r="L40" i="18" s="1"/>
  <c r="B40" i="18"/>
  <c r="T39" i="18"/>
  <c r="P39" i="18"/>
  <c r="X39" i="18" s="1"/>
  <c r="Z39" i="18" s="1"/>
  <c r="H39" i="18"/>
  <c r="D39" i="18"/>
  <c r="B39" i="18"/>
  <c r="T38" i="18"/>
  <c r="P38" i="18"/>
  <c r="X38" i="18" s="1"/>
  <c r="H38" i="18"/>
  <c r="D38" i="18"/>
  <c r="L38" i="18" s="1"/>
  <c r="N38" i="18" s="1"/>
  <c r="B38" i="18"/>
  <c r="X37" i="18"/>
  <c r="T37" i="18"/>
  <c r="Z37" i="18" s="1"/>
  <c r="P37" i="18"/>
  <c r="H37" i="18"/>
  <c r="D37" i="18"/>
  <c r="B37" i="18"/>
  <c r="T36" i="18"/>
  <c r="P36" i="18"/>
  <c r="X36" i="18" s="1"/>
  <c r="Z36" i="18" s="1"/>
  <c r="L36" i="18"/>
  <c r="N36" i="18" s="1"/>
  <c r="H36" i="18"/>
  <c r="D36" i="18"/>
  <c r="B36" i="18"/>
  <c r="T35" i="18"/>
  <c r="P35" i="18"/>
  <c r="H35" i="18"/>
  <c r="D35" i="18"/>
  <c r="L35" i="18" s="1"/>
  <c r="N35" i="18" s="1"/>
  <c r="B35" i="18"/>
  <c r="T34" i="18"/>
  <c r="P34" i="18"/>
  <c r="X34" i="18" s="1"/>
  <c r="Z34" i="18" s="1"/>
  <c r="H34" i="18"/>
  <c r="D34" i="18"/>
  <c r="L34" i="18" s="1"/>
  <c r="B34" i="18"/>
  <c r="T33" i="18"/>
  <c r="P33" i="18"/>
  <c r="L33" i="18"/>
  <c r="H33" i="18"/>
  <c r="N33" i="18" s="1"/>
  <c r="D33" i="18"/>
  <c r="B33" i="18"/>
  <c r="X32" i="18"/>
  <c r="Z32" i="18" s="1"/>
  <c r="T32" i="18"/>
  <c r="P32" i="18"/>
  <c r="H32" i="18"/>
  <c r="D32" i="18"/>
  <c r="L32" i="18" s="1"/>
  <c r="N32" i="18" s="1"/>
  <c r="B32" i="18"/>
  <c r="T31" i="18"/>
  <c r="P31" i="18"/>
  <c r="X31" i="18" s="1"/>
  <c r="Z31" i="18" s="1"/>
  <c r="H31" i="18"/>
  <c r="N31" i="18" s="1"/>
  <c r="D31" i="18"/>
  <c r="L31" i="18" s="1"/>
  <c r="B31" i="18"/>
  <c r="T30" i="18"/>
  <c r="Z30" i="18" s="1"/>
  <c r="P30" i="18"/>
  <c r="X30" i="18" s="1"/>
  <c r="H30" i="18"/>
  <c r="N30" i="18" s="1"/>
  <c r="D30" i="18"/>
  <c r="L30" i="18" s="1"/>
  <c r="B30" i="18"/>
  <c r="X29" i="18"/>
  <c r="T29" i="18"/>
  <c r="Z29" i="18" s="1"/>
  <c r="P29" i="18"/>
  <c r="H29" i="18"/>
  <c r="D29" i="18"/>
  <c r="B29" i="18"/>
  <c r="T28" i="18"/>
  <c r="P28" i="18"/>
  <c r="X28" i="18" s="1"/>
  <c r="Z28" i="18" s="1"/>
  <c r="L28" i="18"/>
  <c r="N28" i="18" s="1"/>
  <c r="H28" i="18"/>
  <c r="D28" i="18"/>
  <c r="B28" i="18"/>
  <c r="T27" i="18"/>
  <c r="P27" i="18"/>
  <c r="X27" i="18" s="1"/>
  <c r="H27" i="18"/>
  <c r="D27" i="18"/>
  <c r="L27" i="18" s="1"/>
  <c r="N27" i="18" s="1"/>
  <c r="B27" i="18"/>
  <c r="T26" i="18"/>
  <c r="P26" i="18"/>
  <c r="X26" i="18" s="1"/>
  <c r="Z26" i="18" s="1"/>
  <c r="H26" i="18"/>
  <c r="N26" i="18" s="1"/>
  <c r="D26" i="18"/>
  <c r="L26" i="18" s="1"/>
  <c r="B26" i="18"/>
  <c r="T25" i="18"/>
  <c r="P25" i="18"/>
  <c r="L25" i="18"/>
  <c r="H25" i="18"/>
  <c r="N25" i="18" s="1"/>
  <c r="D25" i="18"/>
  <c r="B25" i="18"/>
  <c r="X24" i="18"/>
  <c r="Z24" i="18" s="1"/>
  <c r="T24" i="18"/>
  <c r="P24" i="18"/>
  <c r="H24" i="18"/>
  <c r="D24" i="18"/>
  <c r="L24" i="18" s="1"/>
  <c r="N24" i="18" s="1"/>
  <c r="B24" i="18"/>
  <c r="T23" i="18"/>
  <c r="P23" i="18"/>
  <c r="X23" i="18" s="1"/>
  <c r="Z23" i="18" s="1"/>
  <c r="H23" i="18"/>
  <c r="N23" i="18" s="1"/>
  <c r="D23" i="18"/>
  <c r="L23" i="18" s="1"/>
  <c r="B23" i="18"/>
  <c r="T22" i="18"/>
  <c r="P22" i="18"/>
  <c r="X22" i="18" s="1"/>
  <c r="H22" i="18"/>
  <c r="D22" i="18"/>
  <c r="L22" i="18" s="1"/>
  <c r="B22" i="18"/>
  <c r="X21" i="18"/>
  <c r="T21" i="18"/>
  <c r="Z21" i="18" s="1"/>
  <c r="P21" i="18"/>
  <c r="H21" i="18"/>
  <c r="D21" i="18"/>
  <c r="B21" i="18"/>
  <c r="T20" i="18"/>
  <c r="P20" i="18"/>
  <c r="X20" i="18" s="1"/>
  <c r="Z20" i="18" s="1"/>
  <c r="N20" i="18"/>
  <c r="L20" i="18"/>
  <c r="H20" i="18"/>
  <c r="D20" i="18"/>
  <c r="B20" i="18"/>
  <c r="T19" i="18"/>
  <c r="P19" i="18"/>
  <c r="X19" i="18" s="1"/>
  <c r="N19" i="18"/>
  <c r="H19" i="18"/>
  <c r="D19" i="18"/>
  <c r="L19" i="18" s="1"/>
  <c r="B19" i="18"/>
  <c r="T18" i="18"/>
  <c r="P18" i="18"/>
  <c r="X18" i="18" s="1"/>
  <c r="H18" i="18"/>
  <c r="D18" i="18"/>
  <c r="L18" i="18" s="1"/>
  <c r="B18" i="18"/>
  <c r="T17" i="18"/>
  <c r="P17" i="18"/>
  <c r="L17" i="18"/>
  <c r="H17" i="18"/>
  <c r="N17" i="18" s="1"/>
  <c r="D17" i="18"/>
  <c r="B17" i="18"/>
  <c r="X16" i="18"/>
  <c r="Z16" i="18" s="1"/>
  <c r="T16" i="18"/>
  <c r="P16" i="18"/>
  <c r="N16" i="18"/>
  <c r="H16" i="18"/>
  <c r="D16" i="18"/>
  <c r="L16" i="18" s="1"/>
  <c r="B16" i="18"/>
  <c r="T15" i="18"/>
  <c r="P15" i="18"/>
  <c r="P12" i="18" s="1"/>
  <c r="H15" i="18"/>
  <c r="N15" i="18" s="1"/>
  <c r="D15" i="18"/>
  <c r="L15" i="18" s="1"/>
  <c r="B15" i="18"/>
  <c r="T14" i="18"/>
  <c r="T12" i="18" s="1"/>
  <c r="P14" i="18"/>
  <c r="X14" i="18" s="1"/>
  <c r="H14" i="18"/>
  <c r="D14" i="18"/>
  <c r="L14" i="18" s="1"/>
  <c r="N14" i="18" s="1"/>
  <c r="B14" i="18"/>
  <c r="X13" i="18"/>
  <c r="T13" i="18"/>
  <c r="Z13" i="18" s="1"/>
  <c r="P13" i="18"/>
  <c r="H13" i="18"/>
  <c r="D13" i="18"/>
  <c r="B13" i="18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P12" i="17"/>
  <c r="R22" i="17" s="1"/>
  <c r="H12" i="17"/>
  <c r="D12" i="17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B13" i="16"/>
  <c r="T12" i="16"/>
  <c r="V20" i="16" s="1"/>
  <c r="P12" i="16"/>
  <c r="R22" i="16" s="1"/>
  <c r="H12" i="16"/>
  <c r="J24" i="16" s="1"/>
  <c r="D12" i="16"/>
  <c r="F20" i="16" s="1"/>
  <c r="D5" i="16"/>
  <c r="D4" i="16"/>
  <c r="Z219" i="15"/>
  <c r="X219" i="15"/>
  <c r="L219" i="15"/>
  <c r="N219" i="15" s="1"/>
  <c r="X215" i="15"/>
  <c r="Z215" i="15" s="1"/>
  <c r="T215" i="15"/>
  <c r="P215" i="15"/>
  <c r="H215" i="15"/>
  <c r="D215" i="15"/>
  <c r="L215" i="15" s="1"/>
  <c r="B215" i="15"/>
  <c r="X214" i="15"/>
  <c r="T214" i="15"/>
  <c r="Z214" i="15" s="1"/>
  <c r="P214" i="15"/>
  <c r="H214" i="15"/>
  <c r="N214" i="15" s="1"/>
  <c r="D214" i="15"/>
  <c r="L214" i="15" s="1"/>
  <c r="B214" i="15"/>
  <c r="T213" i="15"/>
  <c r="P213" i="15"/>
  <c r="X213" i="15" s="1"/>
  <c r="Z213" i="15" s="1"/>
  <c r="N213" i="15"/>
  <c r="L213" i="15"/>
  <c r="H213" i="15"/>
  <c r="D213" i="15"/>
  <c r="B213" i="15"/>
  <c r="T212" i="15"/>
  <c r="P212" i="15"/>
  <c r="X212" i="15" s="1"/>
  <c r="L212" i="15"/>
  <c r="H212" i="15"/>
  <c r="N212" i="15" s="1"/>
  <c r="D212" i="15"/>
  <c r="B212" i="15"/>
  <c r="T211" i="15"/>
  <c r="P211" i="15"/>
  <c r="X211" i="15" s="1"/>
  <c r="Z211" i="15" s="1"/>
  <c r="D211" i="15"/>
  <c r="X209" i="15"/>
  <c r="Z209" i="15" s="1"/>
  <c r="N209" i="15"/>
  <c r="L209" i="15"/>
  <c r="B209" i="15"/>
  <c r="T208" i="15"/>
  <c r="P208" i="15"/>
  <c r="X208" i="15" s="1"/>
  <c r="Z208" i="15" s="1"/>
  <c r="L208" i="15"/>
  <c r="H208" i="15"/>
  <c r="N208" i="15" s="1"/>
  <c r="D208" i="15"/>
  <c r="B208" i="15"/>
  <c r="Z207" i="15"/>
  <c r="X207" i="15"/>
  <c r="N207" i="15"/>
  <c r="L207" i="15"/>
  <c r="B207" i="15"/>
  <c r="X206" i="15"/>
  <c r="Z206" i="15" s="1"/>
  <c r="N206" i="15"/>
  <c r="L206" i="15"/>
  <c r="B206" i="15"/>
  <c r="X205" i="15"/>
  <c r="Z205" i="15" s="1"/>
  <c r="N205" i="15"/>
  <c r="L205" i="15"/>
  <c r="B205" i="15"/>
  <c r="T204" i="15"/>
  <c r="P204" i="15"/>
  <c r="X204" i="15" s="1"/>
  <c r="Z204" i="15" s="1"/>
  <c r="L204" i="15"/>
  <c r="N204" i="15" s="1"/>
  <c r="H204" i="15"/>
  <c r="D204" i="15"/>
  <c r="B204" i="15"/>
  <c r="Z203" i="15"/>
  <c r="X203" i="15"/>
  <c r="N203" i="15"/>
  <c r="L203" i="15"/>
  <c r="B203" i="15"/>
  <c r="X202" i="15"/>
  <c r="Z202" i="15" s="1"/>
  <c r="T202" i="15"/>
  <c r="P202" i="15"/>
  <c r="L202" i="15"/>
  <c r="H202" i="15"/>
  <c r="N202" i="15" s="1"/>
  <c r="D202" i="15"/>
  <c r="B202" i="15"/>
  <c r="Z201" i="15"/>
  <c r="X201" i="15"/>
  <c r="L201" i="15"/>
  <c r="N201" i="15" s="1"/>
  <c r="B201" i="15"/>
  <c r="X200" i="15"/>
  <c r="Z200" i="15" s="1"/>
  <c r="N200" i="15"/>
  <c r="L200" i="15"/>
  <c r="B200" i="15"/>
  <c r="T199" i="15"/>
  <c r="P199" i="15"/>
  <c r="H199" i="15"/>
  <c r="D199" i="15"/>
  <c r="L199" i="15" s="1"/>
  <c r="B199" i="15"/>
  <c r="X198" i="15"/>
  <c r="Z198" i="15" s="1"/>
  <c r="L198" i="15"/>
  <c r="N198" i="15" s="1"/>
  <c r="B198" i="15"/>
  <c r="X197" i="15"/>
  <c r="Z197" i="15" s="1"/>
  <c r="L197" i="15"/>
  <c r="N197" i="15" s="1"/>
  <c r="B197" i="15"/>
  <c r="X196" i="15"/>
  <c r="Z196" i="15" s="1"/>
  <c r="N196" i="15"/>
  <c r="L196" i="15"/>
  <c r="B196" i="15"/>
  <c r="Z195" i="15"/>
  <c r="X195" i="15"/>
  <c r="L195" i="15"/>
  <c r="N195" i="15" s="1"/>
  <c r="B195" i="15"/>
  <c r="X194" i="15"/>
  <c r="Z194" i="15" s="1"/>
  <c r="L194" i="15"/>
  <c r="N194" i="15" s="1"/>
  <c r="B194" i="15"/>
  <c r="X193" i="15"/>
  <c r="Z193" i="15" s="1"/>
  <c r="L193" i="15"/>
  <c r="N193" i="15" s="1"/>
  <c r="B193" i="15"/>
  <c r="Z192" i="15"/>
  <c r="X192" i="15"/>
  <c r="L192" i="15"/>
  <c r="N192" i="15" s="1"/>
  <c r="B192" i="15"/>
  <c r="T191" i="15"/>
  <c r="P191" i="15"/>
  <c r="X191" i="15" s="1"/>
  <c r="L191" i="15"/>
  <c r="H191" i="15"/>
  <c r="N191" i="15" s="1"/>
  <c r="D191" i="15"/>
  <c r="B191" i="15"/>
  <c r="Z190" i="15"/>
  <c r="X190" i="15"/>
  <c r="N190" i="15"/>
  <c r="L190" i="15"/>
  <c r="B190" i="15"/>
  <c r="X189" i="15"/>
  <c r="Z189" i="15" s="1"/>
  <c r="L189" i="15"/>
  <c r="N189" i="15" s="1"/>
  <c r="B189" i="15"/>
  <c r="T188" i="15"/>
  <c r="P188" i="15"/>
  <c r="X188" i="15" s="1"/>
  <c r="Z188" i="15" s="1"/>
  <c r="N188" i="15"/>
  <c r="L188" i="15"/>
  <c r="H188" i="15"/>
  <c r="D188" i="15"/>
  <c r="B188" i="15"/>
  <c r="Z187" i="15"/>
  <c r="X187" i="15"/>
  <c r="L187" i="15"/>
  <c r="N187" i="15" s="1"/>
  <c r="B187" i="15"/>
  <c r="Z186" i="15"/>
  <c r="X186" i="15"/>
  <c r="N186" i="15"/>
  <c r="L186" i="15"/>
  <c r="B186" i="15"/>
  <c r="X185" i="15"/>
  <c r="Z185" i="15" s="1"/>
  <c r="L185" i="15"/>
  <c r="N185" i="15" s="1"/>
  <c r="B185" i="15"/>
  <c r="Z184" i="15"/>
  <c r="X184" i="15"/>
  <c r="L184" i="15"/>
  <c r="N184" i="15" s="1"/>
  <c r="B184" i="15"/>
  <c r="T183" i="15"/>
  <c r="P183" i="15"/>
  <c r="X183" i="15" s="1"/>
  <c r="L183" i="15"/>
  <c r="N183" i="15" s="1"/>
  <c r="H183" i="15"/>
  <c r="D183" i="15"/>
  <c r="B183" i="15"/>
  <c r="X182" i="15"/>
  <c r="Z182" i="15" s="1"/>
  <c r="L182" i="15"/>
  <c r="N182" i="15" s="1"/>
  <c r="B182" i="15"/>
  <c r="Z181" i="15"/>
  <c r="X181" i="15"/>
  <c r="N181" i="15"/>
  <c r="L181" i="15"/>
  <c r="B181" i="15"/>
  <c r="Z180" i="15"/>
  <c r="X180" i="15"/>
  <c r="N180" i="15"/>
  <c r="L180" i="15"/>
  <c r="B180" i="15"/>
  <c r="T179" i="15"/>
  <c r="P179" i="15"/>
  <c r="X179" i="15" s="1"/>
  <c r="L179" i="15"/>
  <c r="N179" i="15" s="1"/>
  <c r="H179" i="15"/>
  <c r="D179" i="15"/>
  <c r="B179" i="15"/>
  <c r="Z178" i="15"/>
  <c r="X178" i="15"/>
  <c r="L178" i="15"/>
  <c r="N178" i="15" s="1"/>
  <c r="B178" i="15"/>
  <c r="X177" i="15"/>
  <c r="Z177" i="15" s="1"/>
  <c r="L177" i="15"/>
  <c r="N177" i="15" s="1"/>
  <c r="B177" i="15"/>
  <c r="Z176" i="15"/>
  <c r="X176" i="15"/>
  <c r="N176" i="15"/>
  <c r="L176" i="15"/>
  <c r="B176" i="15"/>
  <c r="X175" i="15"/>
  <c r="Z175" i="15" s="1"/>
  <c r="N175" i="15"/>
  <c r="L175" i="15"/>
  <c r="B175" i="15"/>
  <c r="T174" i="15"/>
  <c r="P174" i="15"/>
  <c r="X174" i="15" s="1"/>
  <c r="H174" i="15"/>
  <c r="D174" i="15"/>
  <c r="L174" i="15" s="1"/>
  <c r="N174" i="15" s="1"/>
  <c r="B174" i="15"/>
  <c r="X173" i="15"/>
  <c r="Z173" i="15" s="1"/>
  <c r="L173" i="15"/>
  <c r="N173" i="15" s="1"/>
  <c r="B173" i="15"/>
  <c r="T172" i="15"/>
  <c r="P172" i="15"/>
  <c r="X172" i="15" s="1"/>
  <c r="Z172" i="15" s="1"/>
  <c r="L172" i="15"/>
  <c r="N172" i="15" s="1"/>
  <c r="H172" i="15"/>
  <c r="D172" i="15"/>
  <c r="B172" i="15"/>
  <c r="Z171" i="15"/>
  <c r="X171" i="15"/>
  <c r="N171" i="15"/>
  <c r="L171" i="15"/>
  <c r="B171" i="15"/>
  <c r="Z170" i="15"/>
  <c r="X170" i="15"/>
  <c r="T170" i="15"/>
  <c r="P170" i="15"/>
  <c r="L170" i="15"/>
  <c r="H170" i="15"/>
  <c r="N170" i="15" s="1"/>
  <c r="D170" i="15"/>
  <c r="B170" i="15"/>
  <c r="Z169" i="15"/>
  <c r="X169" i="15"/>
  <c r="N169" i="15"/>
  <c r="L169" i="15"/>
  <c r="B169" i="15"/>
  <c r="X168" i="15"/>
  <c r="Z168" i="15" s="1"/>
  <c r="N168" i="15"/>
  <c r="L168" i="15"/>
  <c r="B168" i="15"/>
  <c r="T167" i="15"/>
  <c r="P167" i="15"/>
  <c r="H167" i="15"/>
  <c r="N167" i="15" s="1"/>
  <c r="D167" i="15"/>
  <c r="L167" i="15" s="1"/>
  <c r="B167" i="15"/>
  <c r="X166" i="15"/>
  <c r="Z166" i="15" s="1"/>
  <c r="L166" i="15"/>
  <c r="N166" i="15" s="1"/>
  <c r="B166" i="15"/>
  <c r="T165" i="15"/>
  <c r="Z165" i="15" s="1"/>
  <c r="P165" i="15"/>
  <c r="X165" i="15" s="1"/>
  <c r="H165" i="15"/>
  <c r="N165" i="15" s="1"/>
  <c r="D165" i="15"/>
  <c r="L165" i="15" s="1"/>
  <c r="B165" i="15"/>
  <c r="Z164" i="15"/>
  <c r="X164" i="15"/>
  <c r="L164" i="15"/>
  <c r="N164" i="15" s="1"/>
  <c r="B164" i="15"/>
  <c r="T163" i="15"/>
  <c r="P163" i="15"/>
  <c r="X163" i="15" s="1"/>
  <c r="L163" i="15"/>
  <c r="N163" i="15" s="1"/>
  <c r="H163" i="15"/>
  <c r="D163" i="15"/>
  <c r="B163" i="15"/>
  <c r="X162" i="15"/>
  <c r="Z162" i="15" s="1"/>
  <c r="N162" i="15"/>
  <c r="L162" i="15"/>
  <c r="B162" i="15"/>
  <c r="X161" i="15"/>
  <c r="Z161" i="15" s="1"/>
  <c r="L161" i="15"/>
  <c r="N161" i="15" s="1"/>
  <c r="B161" i="15"/>
  <c r="T160" i="15"/>
  <c r="P160" i="15"/>
  <c r="X160" i="15" s="1"/>
  <c r="Z160" i="15" s="1"/>
  <c r="L160" i="15"/>
  <c r="N160" i="15" s="1"/>
  <c r="H160" i="15"/>
  <c r="D160" i="15"/>
  <c r="B160" i="15"/>
  <c r="Z159" i="15"/>
  <c r="X159" i="15"/>
  <c r="L159" i="15"/>
  <c r="N159" i="15" s="1"/>
  <c r="B159" i="15"/>
  <c r="X158" i="15"/>
  <c r="Z158" i="15" s="1"/>
  <c r="T158" i="15"/>
  <c r="P158" i="15"/>
  <c r="L158" i="15"/>
  <c r="H158" i="15"/>
  <c r="N158" i="15" s="1"/>
  <c r="D158" i="15"/>
  <c r="B158" i="15"/>
  <c r="X157" i="15"/>
  <c r="Z157" i="15" s="1"/>
  <c r="N157" i="15"/>
  <c r="L157" i="15"/>
  <c r="B157" i="15"/>
  <c r="X156" i="15"/>
  <c r="T156" i="15"/>
  <c r="Z156" i="15" s="1"/>
  <c r="P156" i="15"/>
  <c r="H156" i="15"/>
  <c r="N156" i="15" s="1"/>
  <c r="D156" i="15"/>
  <c r="L156" i="15" s="1"/>
  <c r="B156" i="15"/>
  <c r="Z155" i="15"/>
  <c r="X155" i="15"/>
  <c r="N155" i="15"/>
  <c r="L155" i="15"/>
  <c r="B155" i="15"/>
  <c r="T154" i="15"/>
  <c r="Z154" i="15" s="1"/>
  <c r="P154" i="15"/>
  <c r="X154" i="15" s="1"/>
  <c r="N154" i="15"/>
  <c r="H154" i="15"/>
  <c r="D154" i="15"/>
  <c r="L154" i="15" s="1"/>
  <c r="B154" i="15"/>
  <c r="Z153" i="15"/>
  <c r="X153" i="15"/>
  <c r="N153" i="15"/>
  <c r="L153" i="15"/>
  <c r="B153" i="15"/>
  <c r="Z152" i="15"/>
  <c r="X152" i="15"/>
  <c r="N152" i="15"/>
  <c r="L152" i="15"/>
  <c r="B152" i="15"/>
  <c r="Z151" i="15"/>
  <c r="T151" i="15"/>
  <c r="P151" i="15"/>
  <c r="X151" i="15" s="1"/>
  <c r="L151" i="15"/>
  <c r="N151" i="15" s="1"/>
  <c r="H151" i="15"/>
  <c r="D151" i="15"/>
  <c r="B151" i="15"/>
  <c r="X150" i="15"/>
  <c r="Z150" i="15" s="1"/>
  <c r="L150" i="15"/>
  <c r="N150" i="15" s="1"/>
  <c r="B150" i="15"/>
  <c r="X149" i="15"/>
  <c r="Z149" i="15" s="1"/>
  <c r="N149" i="15"/>
  <c r="L149" i="15"/>
  <c r="B149" i="15"/>
  <c r="T148" i="15"/>
  <c r="P148" i="15"/>
  <c r="X148" i="15" s="1"/>
  <c r="Z148" i="15" s="1"/>
  <c r="L148" i="15"/>
  <c r="N148" i="15" s="1"/>
  <c r="H148" i="15"/>
  <c r="D148" i="15"/>
  <c r="B148" i="15"/>
  <c r="Z147" i="15"/>
  <c r="X147" i="15"/>
  <c r="N147" i="15"/>
  <c r="L147" i="15"/>
  <c r="B147" i="15"/>
  <c r="X146" i="15"/>
  <c r="Z146" i="15" s="1"/>
  <c r="T146" i="15"/>
  <c r="P146" i="15"/>
  <c r="L146" i="15"/>
  <c r="H146" i="15"/>
  <c r="N146" i="15" s="1"/>
  <c r="D146" i="15"/>
  <c r="B146" i="15"/>
  <c r="X145" i="15"/>
  <c r="Z145" i="15" s="1"/>
  <c r="L145" i="15"/>
  <c r="N145" i="15" s="1"/>
  <c r="B145" i="15"/>
  <c r="X144" i="15"/>
  <c r="T144" i="15"/>
  <c r="Z144" i="15" s="1"/>
  <c r="P144" i="15"/>
  <c r="H144" i="15"/>
  <c r="D144" i="15"/>
  <c r="L144" i="15" s="1"/>
  <c r="B144" i="15"/>
  <c r="Z143" i="15"/>
  <c r="X143" i="15"/>
  <c r="N143" i="15"/>
  <c r="L143" i="15"/>
  <c r="B143" i="15"/>
  <c r="T142" i="15"/>
  <c r="P142" i="15"/>
  <c r="X142" i="15" s="1"/>
  <c r="H142" i="15"/>
  <c r="D142" i="15"/>
  <c r="L142" i="15" s="1"/>
  <c r="N142" i="15" s="1"/>
  <c r="B142" i="15"/>
  <c r="X141" i="15"/>
  <c r="Z141" i="15" s="1"/>
  <c r="N141" i="15"/>
  <c r="L141" i="15"/>
  <c r="B141" i="15"/>
  <c r="Z140" i="15"/>
  <c r="X140" i="15"/>
  <c r="L140" i="15"/>
  <c r="N140" i="15" s="1"/>
  <c r="B140" i="15"/>
  <c r="Z139" i="15"/>
  <c r="X139" i="15"/>
  <c r="N139" i="15"/>
  <c r="L139" i="15"/>
  <c r="B139" i="15"/>
  <c r="X138" i="15"/>
  <c r="Z138" i="15" s="1"/>
  <c r="L138" i="15"/>
  <c r="N138" i="15" s="1"/>
  <c r="B138" i="15"/>
  <c r="Z137" i="15"/>
  <c r="X137" i="15"/>
  <c r="L137" i="15"/>
  <c r="N137" i="15" s="1"/>
  <c r="B137" i="15"/>
  <c r="X136" i="15"/>
  <c r="Z136" i="15" s="1"/>
  <c r="N136" i="15"/>
  <c r="L136" i="15"/>
  <c r="B136" i="15"/>
  <c r="Z135" i="15"/>
  <c r="X135" i="15"/>
  <c r="N135" i="15"/>
  <c r="L135" i="15"/>
  <c r="B135" i="15"/>
  <c r="X134" i="15"/>
  <c r="T134" i="15"/>
  <c r="Z134" i="15" s="1"/>
  <c r="P134" i="15"/>
  <c r="L134" i="15"/>
  <c r="H134" i="15"/>
  <c r="N134" i="15" s="1"/>
  <c r="D134" i="15"/>
  <c r="B134" i="15"/>
  <c r="Z133" i="15"/>
  <c r="X133" i="15"/>
  <c r="L133" i="15"/>
  <c r="N133" i="15" s="1"/>
  <c r="B133" i="15"/>
  <c r="X132" i="15"/>
  <c r="Z132" i="15" s="1"/>
  <c r="N132" i="15"/>
  <c r="L132" i="15"/>
  <c r="B132" i="15"/>
  <c r="Z131" i="15"/>
  <c r="X131" i="15"/>
  <c r="N131" i="15"/>
  <c r="L131" i="15"/>
  <c r="B131" i="15"/>
  <c r="X130" i="15"/>
  <c r="Z130" i="15" s="1"/>
  <c r="L130" i="15"/>
  <c r="N130" i="15" s="1"/>
  <c r="B130" i="15"/>
  <c r="Z129" i="15"/>
  <c r="X129" i="15"/>
  <c r="N129" i="15"/>
  <c r="L129" i="15"/>
  <c r="B129" i="15"/>
  <c r="Z128" i="15"/>
  <c r="X128" i="15"/>
  <c r="L128" i="15"/>
  <c r="N128" i="15" s="1"/>
  <c r="B128" i="15"/>
  <c r="Z127" i="15"/>
  <c r="X127" i="15"/>
  <c r="N127" i="15"/>
  <c r="L127" i="15"/>
  <c r="B127" i="15"/>
  <c r="X126" i="15"/>
  <c r="Z126" i="15" s="1"/>
  <c r="L126" i="15"/>
  <c r="N126" i="15" s="1"/>
  <c r="B126" i="15"/>
  <c r="Z125" i="15"/>
  <c r="X125" i="15"/>
  <c r="L125" i="15"/>
  <c r="N125" i="15" s="1"/>
  <c r="B125" i="15"/>
  <c r="X124" i="15"/>
  <c r="Z124" i="15" s="1"/>
  <c r="N124" i="15"/>
  <c r="L124" i="15"/>
  <c r="B124" i="15"/>
  <c r="T123" i="15"/>
  <c r="X123" i="15" s="1"/>
  <c r="Z123" i="15" s="1"/>
  <c r="P123" i="15"/>
  <c r="H123" i="15"/>
  <c r="D123" i="15"/>
  <c r="L123" i="15" s="1"/>
  <c r="N123" i="15" s="1"/>
  <c r="B123" i="15"/>
  <c r="T122" i="15"/>
  <c r="P122" i="15"/>
  <c r="X122" i="15" s="1"/>
  <c r="H122" i="15"/>
  <c r="D122" i="15"/>
  <c r="L122" i="15" s="1"/>
  <c r="N122" i="15" s="1"/>
  <c r="Z118" i="15"/>
  <c r="X118" i="15"/>
  <c r="N118" i="15"/>
  <c r="L118" i="15"/>
  <c r="B118" i="15"/>
  <c r="Z117" i="15"/>
  <c r="X117" i="15"/>
  <c r="L117" i="15"/>
  <c r="N117" i="15" s="1"/>
  <c r="B117" i="15"/>
  <c r="Z116" i="15"/>
  <c r="X116" i="15"/>
  <c r="N116" i="15"/>
  <c r="L116" i="15"/>
  <c r="B116" i="15"/>
  <c r="Z115" i="15"/>
  <c r="X115" i="15"/>
  <c r="N115" i="15"/>
  <c r="L115" i="15"/>
  <c r="B115" i="15"/>
  <c r="X114" i="15"/>
  <c r="Z114" i="15" s="1"/>
  <c r="L114" i="15"/>
  <c r="N114" i="15" s="1"/>
  <c r="B114" i="15"/>
  <c r="X113" i="15"/>
  <c r="Z113" i="15" s="1"/>
  <c r="N113" i="15"/>
  <c r="L113" i="15"/>
  <c r="B113" i="15"/>
  <c r="Z112" i="15"/>
  <c r="X112" i="15"/>
  <c r="L112" i="15"/>
  <c r="N112" i="15" s="1"/>
  <c r="B112" i="15"/>
  <c r="Z111" i="15"/>
  <c r="X111" i="15"/>
  <c r="N111" i="15"/>
  <c r="L111" i="15"/>
  <c r="B111" i="15"/>
  <c r="X110" i="15"/>
  <c r="Z110" i="15" s="1"/>
  <c r="N110" i="15"/>
  <c r="L110" i="15"/>
  <c r="B110" i="15"/>
  <c r="Z109" i="15"/>
  <c r="X109" i="15"/>
  <c r="N109" i="15"/>
  <c r="L109" i="15"/>
  <c r="B109" i="15"/>
  <c r="Z108" i="15"/>
  <c r="X108" i="15"/>
  <c r="N108" i="15"/>
  <c r="L108" i="15"/>
  <c r="B108" i="15"/>
  <c r="Z107" i="15"/>
  <c r="X107" i="15"/>
  <c r="N107" i="15"/>
  <c r="L107" i="15"/>
  <c r="B107" i="15"/>
  <c r="X106" i="15"/>
  <c r="Z106" i="15" s="1"/>
  <c r="N106" i="15"/>
  <c r="L106" i="15"/>
  <c r="B106" i="15"/>
  <c r="X105" i="15"/>
  <c r="Z105" i="15" s="1"/>
  <c r="N105" i="15"/>
  <c r="L105" i="15"/>
  <c r="B105" i="15"/>
  <c r="Z104" i="15"/>
  <c r="X104" i="15"/>
  <c r="L104" i="15"/>
  <c r="N104" i="15" s="1"/>
  <c r="B104" i="15"/>
  <c r="Z103" i="15"/>
  <c r="X103" i="15"/>
  <c r="N103" i="15"/>
  <c r="L103" i="15"/>
  <c r="B103" i="15"/>
  <c r="X102" i="15"/>
  <c r="Z102" i="15" s="1"/>
  <c r="L102" i="15"/>
  <c r="N102" i="15" s="1"/>
  <c r="B102" i="15"/>
  <c r="Z101" i="15"/>
  <c r="X101" i="15"/>
  <c r="L101" i="15"/>
  <c r="N101" i="15" s="1"/>
  <c r="B101" i="15"/>
  <c r="Z100" i="15"/>
  <c r="X100" i="15"/>
  <c r="N100" i="15"/>
  <c r="L100" i="15"/>
  <c r="B100" i="15"/>
  <c r="Z99" i="15"/>
  <c r="X99" i="15"/>
  <c r="N99" i="15"/>
  <c r="L99" i="15"/>
  <c r="B99" i="15"/>
  <c r="X98" i="15"/>
  <c r="Z98" i="15" s="1"/>
  <c r="L98" i="15"/>
  <c r="N98" i="15" s="1"/>
  <c r="B98" i="15"/>
  <c r="X97" i="15"/>
  <c r="Z97" i="15" s="1"/>
  <c r="N97" i="15"/>
  <c r="L97" i="15"/>
  <c r="B97" i="15"/>
  <c r="Z96" i="15"/>
  <c r="X96" i="15"/>
  <c r="N96" i="15"/>
  <c r="L96" i="15"/>
  <c r="B96" i="15"/>
  <c r="Z95" i="15"/>
  <c r="X95" i="15"/>
  <c r="N95" i="15"/>
  <c r="L95" i="15"/>
  <c r="B95" i="15"/>
  <c r="X94" i="15"/>
  <c r="Z94" i="15" s="1"/>
  <c r="L94" i="15"/>
  <c r="N94" i="15" s="1"/>
  <c r="B94" i="15"/>
  <c r="Z93" i="15"/>
  <c r="X93" i="15"/>
  <c r="N93" i="15"/>
  <c r="L93" i="15"/>
  <c r="B93" i="15"/>
  <c r="X92" i="15"/>
  <c r="Z92" i="15" s="1"/>
  <c r="N92" i="15"/>
  <c r="L92" i="15"/>
  <c r="B92" i="15"/>
  <c r="Z91" i="15"/>
  <c r="X91" i="15"/>
  <c r="N91" i="15"/>
  <c r="L91" i="15"/>
  <c r="B91" i="15"/>
  <c r="X90" i="15"/>
  <c r="Z90" i="15" s="1"/>
  <c r="N90" i="15"/>
  <c r="L90" i="15"/>
  <c r="B90" i="15"/>
  <c r="X89" i="15"/>
  <c r="Z89" i="15" s="1"/>
  <c r="N89" i="15"/>
  <c r="L89" i="15"/>
  <c r="B89" i="15"/>
  <c r="Z88" i="15"/>
  <c r="X88" i="15"/>
  <c r="L88" i="15"/>
  <c r="N88" i="15" s="1"/>
  <c r="B88" i="15"/>
  <c r="X87" i="15"/>
  <c r="Z87" i="15" s="1"/>
  <c r="N87" i="15"/>
  <c r="L87" i="15"/>
  <c r="B87" i="15"/>
  <c r="X86" i="15"/>
  <c r="Z86" i="15" s="1"/>
  <c r="L86" i="15"/>
  <c r="N86" i="15" s="1"/>
  <c r="B86" i="15"/>
  <c r="Z85" i="15"/>
  <c r="X85" i="15"/>
  <c r="N85" i="15"/>
  <c r="L85" i="15"/>
  <c r="B85" i="15"/>
  <c r="X84" i="15"/>
  <c r="Z84" i="15" s="1"/>
  <c r="N84" i="15"/>
  <c r="L84" i="15"/>
  <c r="B84" i="15"/>
  <c r="Z83" i="15"/>
  <c r="X83" i="15"/>
  <c r="L83" i="15"/>
  <c r="N83" i="15" s="1"/>
  <c r="B83" i="15"/>
  <c r="X82" i="15"/>
  <c r="Z82" i="15" s="1"/>
  <c r="L82" i="15"/>
  <c r="N82" i="15" s="1"/>
  <c r="B82" i="15"/>
  <c r="X81" i="15"/>
  <c r="Z81" i="15" s="1"/>
  <c r="N81" i="15"/>
  <c r="L81" i="15"/>
  <c r="B81" i="15"/>
  <c r="Z80" i="15"/>
  <c r="X80" i="15"/>
  <c r="N80" i="15"/>
  <c r="L80" i="15"/>
  <c r="B80" i="15"/>
  <c r="T79" i="15"/>
  <c r="P79" i="15"/>
  <c r="X79" i="15" s="1"/>
  <c r="Z79" i="15" s="1"/>
  <c r="L79" i="15"/>
  <c r="N79" i="15" s="1"/>
  <c r="H79" i="15"/>
  <c r="D79" i="15"/>
  <c r="Z77" i="15"/>
  <c r="T77" i="15"/>
  <c r="P77" i="15"/>
  <c r="X77" i="15" s="1"/>
  <c r="H77" i="15"/>
  <c r="N77" i="15" s="1"/>
  <c r="D77" i="15"/>
  <c r="B77" i="15"/>
  <c r="T76" i="15"/>
  <c r="P76" i="15"/>
  <c r="N76" i="15"/>
  <c r="H76" i="15"/>
  <c r="D76" i="15"/>
  <c r="L76" i="15" s="1"/>
  <c r="B76" i="15"/>
  <c r="X75" i="15"/>
  <c r="Z75" i="15" s="1"/>
  <c r="T75" i="15"/>
  <c r="P75" i="15"/>
  <c r="H75" i="15"/>
  <c r="N75" i="15" s="1"/>
  <c r="D75" i="15"/>
  <c r="L75" i="15" s="1"/>
  <c r="B75" i="15"/>
  <c r="T74" i="15"/>
  <c r="P74" i="15"/>
  <c r="X74" i="15" s="1"/>
  <c r="Z74" i="15" s="1"/>
  <c r="L74" i="15"/>
  <c r="H74" i="15"/>
  <c r="N74" i="15" s="1"/>
  <c r="D74" i="15"/>
  <c r="B74" i="15"/>
  <c r="T73" i="15"/>
  <c r="P73" i="15"/>
  <c r="H73" i="15"/>
  <c r="D73" i="15"/>
  <c r="L73" i="15" s="1"/>
  <c r="N73" i="15" s="1"/>
  <c r="B73" i="15"/>
  <c r="T72" i="15"/>
  <c r="P72" i="15"/>
  <c r="X72" i="15" s="1"/>
  <c r="Z72" i="15" s="1"/>
  <c r="H72" i="15"/>
  <c r="D72" i="15"/>
  <c r="B72" i="15"/>
  <c r="T71" i="15"/>
  <c r="P71" i="15"/>
  <c r="X71" i="15" s="1"/>
  <c r="N71" i="15"/>
  <c r="L71" i="15"/>
  <c r="H71" i="15"/>
  <c r="D71" i="15"/>
  <c r="B71" i="15"/>
  <c r="X70" i="15"/>
  <c r="T70" i="15"/>
  <c r="Z70" i="15" s="1"/>
  <c r="P70" i="15"/>
  <c r="N70" i="15"/>
  <c r="H70" i="15"/>
  <c r="D70" i="15"/>
  <c r="L70" i="15" s="1"/>
  <c r="B70" i="15"/>
  <c r="T69" i="15"/>
  <c r="P69" i="15"/>
  <c r="X69" i="15" s="1"/>
  <c r="Z69" i="15" s="1"/>
  <c r="H69" i="15"/>
  <c r="D69" i="15"/>
  <c r="B69" i="15"/>
  <c r="T68" i="15"/>
  <c r="P68" i="15"/>
  <c r="H68" i="15"/>
  <c r="D68" i="15"/>
  <c r="L68" i="15" s="1"/>
  <c r="N68" i="15" s="1"/>
  <c r="B68" i="15"/>
  <c r="X67" i="15"/>
  <c r="Z67" i="15" s="1"/>
  <c r="T67" i="15"/>
  <c r="P67" i="15"/>
  <c r="H67" i="15"/>
  <c r="D67" i="15"/>
  <c r="L67" i="15" s="1"/>
  <c r="B67" i="15"/>
  <c r="T66" i="15"/>
  <c r="P66" i="15"/>
  <c r="X66" i="15" s="1"/>
  <c r="Z66" i="15" s="1"/>
  <c r="L66" i="15"/>
  <c r="H66" i="15"/>
  <c r="N66" i="15" s="1"/>
  <c r="D66" i="15"/>
  <c r="B66" i="15"/>
  <c r="T65" i="15"/>
  <c r="P65" i="15"/>
  <c r="H65" i="15"/>
  <c r="D65" i="15"/>
  <c r="L65" i="15" s="1"/>
  <c r="N65" i="15" s="1"/>
  <c r="B65" i="15"/>
  <c r="T64" i="15"/>
  <c r="P64" i="15"/>
  <c r="X64" i="15" s="1"/>
  <c r="Z64" i="15" s="1"/>
  <c r="H64" i="15"/>
  <c r="D64" i="15"/>
  <c r="B64" i="15"/>
  <c r="T63" i="15"/>
  <c r="Z63" i="15" s="1"/>
  <c r="P63" i="15"/>
  <c r="X63" i="15" s="1"/>
  <c r="L63" i="15"/>
  <c r="N63" i="15" s="1"/>
  <c r="H63" i="15"/>
  <c r="D63" i="15"/>
  <c r="B63" i="15"/>
  <c r="X62" i="15"/>
  <c r="T62" i="15"/>
  <c r="Z62" i="15" s="1"/>
  <c r="P62" i="15"/>
  <c r="H62" i="15"/>
  <c r="D62" i="15"/>
  <c r="L62" i="15" s="1"/>
  <c r="N62" i="15" s="1"/>
  <c r="B62" i="15"/>
  <c r="T61" i="15"/>
  <c r="P61" i="15"/>
  <c r="X61" i="15" s="1"/>
  <c r="Z61" i="15" s="1"/>
  <c r="H61" i="15"/>
  <c r="N61" i="15" s="1"/>
  <c r="D61" i="15"/>
  <c r="B61" i="15"/>
  <c r="T60" i="15"/>
  <c r="P60" i="15"/>
  <c r="N60" i="15"/>
  <c r="H60" i="15"/>
  <c r="D60" i="15"/>
  <c r="L60" i="15" s="1"/>
  <c r="B60" i="15"/>
  <c r="X59" i="15"/>
  <c r="Z59" i="15" s="1"/>
  <c r="T59" i="15"/>
  <c r="P59" i="15"/>
  <c r="H59" i="15"/>
  <c r="D59" i="15"/>
  <c r="L59" i="15" s="1"/>
  <c r="B59" i="15"/>
  <c r="T58" i="15"/>
  <c r="P58" i="15"/>
  <c r="X58" i="15" s="1"/>
  <c r="Z58" i="15" s="1"/>
  <c r="L58" i="15"/>
  <c r="H58" i="15"/>
  <c r="N58" i="15" s="1"/>
  <c r="D58" i="15"/>
  <c r="B58" i="15"/>
  <c r="T57" i="15"/>
  <c r="Z57" i="15" s="1"/>
  <c r="P57" i="15"/>
  <c r="N57" i="15"/>
  <c r="H57" i="15"/>
  <c r="D57" i="15"/>
  <c r="L57" i="15" s="1"/>
  <c r="B57" i="15"/>
  <c r="T56" i="15"/>
  <c r="P56" i="15"/>
  <c r="X56" i="15" s="1"/>
  <c r="Z56" i="15" s="1"/>
  <c r="H56" i="15"/>
  <c r="D56" i="15"/>
  <c r="B56" i="15"/>
  <c r="T55" i="15"/>
  <c r="Z55" i="15" s="1"/>
  <c r="P55" i="15"/>
  <c r="X55" i="15" s="1"/>
  <c r="L55" i="15"/>
  <c r="N55" i="15" s="1"/>
  <c r="H55" i="15"/>
  <c r="D55" i="15"/>
  <c r="B55" i="15"/>
  <c r="X54" i="15"/>
  <c r="T54" i="15"/>
  <c r="Z54" i="15" s="1"/>
  <c r="P54" i="15"/>
  <c r="H54" i="15"/>
  <c r="D54" i="15"/>
  <c r="L54" i="15" s="1"/>
  <c r="N54" i="15" s="1"/>
  <c r="B54" i="15"/>
  <c r="T53" i="15"/>
  <c r="P53" i="15"/>
  <c r="X53" i="15" s="1"/>
  <c r="Z53" i="15" s="1"/>
  <c r="H53" i="15"/>
  <c r="D53" i="15"/>
  <c r="B53" i="15"/>
  <c r="T52" i="15"/>
  <c r="P52" i="15"/>
  <c r="H52" i="15"/>
  <c r="D52" i="15"/>
  <c r="L52" i="15" s="1"/>
  <c r="N52" i="15" s="1"/>
  <c r="B52" i="15"/>
  <c r="X51" i="15"/>
  <c r="Z51" i="15" s="1"/>
  <c r="T51" i="15"/>
  <c r="P51" i="15"/>
  <c r="H51" i="15"/>
  <c r="N51" i="15" s="1"/>
  <c r="D51" i="15"/>
  <c r="L51" i="15" s="1"/>
  <c r="B51" i="15"/>
  <c r="T50" i="15"/>
  <c r="P50" i="15"/>
  <c r="X50" i="15" s="1"/>
  <c r="Z50" i="15" s="1"/>
  <c r="L50" i="15"/>
  <c r="H50" i="15"/>
  <c r="N50" i="15" s="1"/>
  <c r="D50" i="15"/>
  <c r="B50" i="15"/>
  <c r="T49" i="15"/>
  <c r="P49" i="15"/>
  <c r="H49" i="15"/>
  <c r="D49" i="15"/>
  <c r="L49" i="15" s="1"/>
  <c r="N49" i="15" s="1"/>
  <c r="B49" i="15"/>
  <c r="T48" i="15"/>
  <c r="P48" i="15"/>
  <c r="X48" i="15" s="1"/>
  <c r="Z48" i="15" s="1"/>
  <c r="H48" i="15"/>
  <c r="N48" i="15" s="1"/>
  <c r="D48" i="15"/>
  <c r="B48" i="15"/>
  <c r="T47" i="15"/>
  <c r="P47" i="15"/>
  <c r="X47" i="15" s="1"/>
  <c r="N47" i="15"/>
  <c r="L47" i="15"/>
  <c r="H47" i="15"/>
  <c r="D47" i="15"/>
  <c r="B47" i="15"/>
  <c r="X46" i="15"/>
  <c r="T46" i="15"/>
  <c r="Z46" i="15" s="1"/>
  <c r="P46" i="15"/>
  <c r="N46" i="15"/>
  <c r="H46" i="15"/>
  <c r="D46" i="15"/>
  <c r="L46" i="15" s="1"/>
  <c r="B46" i="15"/>
  <c r="T45" i="15"/>
  <c r="P45" i="15"/>
  <c r="X45" i="15" s="1"/>
  <c r="Z45" i="15" s="1"/>
  <c r="H45" i="15"/>
  <c r="N45" i="15" s="1"/>
  <c r="D45" i="15"/>
  <c r="B45" i="15"/>
  <c r="T44" i="15"/>
  <c r="P44" i="15"/>
  <c r="H44" i="15"/>
  <c r="D44" i="15"/>
  <c r="L44" i="15" s="1"/>
  <c r="N44" i="15" s="1"/>
  <c r="B44" i="15"/>
  <c r="X43" i="15"/>
  <c r="Z43" i="15" s="1"/>
  <c r="T43" i="15"/>
  <c r="P43" i="15"/>
  <c r="H43" i="15"/>
  <c r="D43" i="15"/>
  <c r="L43" i="15" s="1"/>
  <c r="B43" i="15"/>
  <c r="T42" i="15"/>
  <c r="P42" i="15"/>
  <c r="X42" i="15" s="1"/>
  <c r="Z42" i="15" s="1"/>
  <c r="L42" i="15"/>
  <c r="H42" i="15"/>
  <c r="N42" i="15" s="1"/>
  <c r="D42" i="15"/>
  <c r="B42" i="15"/>
  <c r="T41" i="15"/>
  <c r="P41" i="15"/>
  <c r="N41" i="15"/>
  <c r="H41" i="15"/>
  <c r="D41" i="15"/>
  <c r="L41" i="15" s="1"/>
  <c r="B41" i="15"/>
  <c r="T40" i="15"/>
  <c r="P40" i="15"/>
  <c r="X40" i="15" s="1"/>
  <c r="Z40" i="15" s="1"/>
  <c r="H40" i="15"/>
  <c r="D40" i="15"/>
  <c r="B40" i="15"/>
  <c r="T39" i="15"/>
  <c r="P39" i="15"/>
  <c r="X39" i="15" s="1"/>
  <c r="L39" i="15"/>
  <c r="N39" i="15" s="1"/>
  <c r="H39" i="15"/>
  <c r="D39" i="15"/>
  <c r="B39" i="15"/>
  <c r="X38" i="15"/>
  <c r="T38" i="15"/>
  <c r="Z38" i="15" s="1"/>
  <c r="P38" i="15"/>
  <c r="H38" i="15"/>
  <c r="D38" i="15"/>
  <c r="L38" i="15" s="1"/>
  <c r="N38" i="15" s="1"/>
  <c r="B38" i="15"/>
  <c r="T37" i="15"/>
  <c r="P37" i="15"/>
  <c r="X37" i="15" s="1"/>
  <c r="Z37" i="15" s="1"/>
  <c r="H37" i="15"/>
  <c r="N37" i="15" s="1"/>
  <c r="D37" i="15"/>
  <c r="B37" i="15"/>
  <c r="T36" i="15"/>
  <c r="P36" i="15"/>
  <c r="H36" i="15"/>
  <c r="D36" i="15"/>
  <c r="L36" i="15" s="1"/>
  <c r="N36" i="15" s="1"/>
  <c r="B36" i="15"/>
  <c r="X35" i="15"/>
  <c r="Z35" i="15" s="1"/>
  <c r="T35" i="15"/>
  <c r="P35" i="15"/>
  <c r="H35" i="15"/>
  <c r="D35" i="15"/>
  <c r="L35" i="15" s="1"/>
  <c r="B35" i="15"/>
  <c r="T34" i="15"/>
  <c r="P34" i="15"/>
  <c r="X34" i="15" s="1"/>
  <c r="Z34" i="15" s="1"/>
  <c r="L34" i="15"/>
  <c r="H34" i="15"/>
  <c r="N34" i="15" s="1"/>
  <c r="D34" i="15"/>
  <c r="B34" i="15"/>
  <c r="T33" i="15"/>
  <c r="P33" i="15"/>
  <c r="N33" i="15"/>
  <c r="H33" i="15"/>
  <c r="D33" i="15"/>
  <c r="L33" i="15" s="1"/>
  <c r="B33" i="15"/>
  <c r="T32" i="15"/>
  <c r="P32" i="15"/>
  <c r="X32" i="15" s="1"/>
  <c r="Z32" i="15" s="1"/>
  <c r="H32" i="15"/>
  <c r="N32" i="15" s="1"/>
  <c r="D32" i="15"/>
  <c r="B32" i="15"/>
  <c r="T31" i="15"/>
  <c r="Z31" i="15" s="1"/>
  <c r="P31" i="15"/>
  <c r="X31" i="15" s="1"/>
  <c r="L31" i="15"/>
  <c r="N31" i="15" s="1"/>
  <c r="H31" i="15"/>
  <c r="D31" i="15"/>
  <c r="B31" i="15"/>
  <c r="X30" i="15"/>
  <c r="T30" i="15"/>
  <c r="Z30" i="15" s="1"/>
  <c r="P30" i="15"/>
  <c r="H30" i="15"/>
  <c r="D30" i="15"/>
  <c r="L30" i="15" s="1"/>
  <c r="N30" i="15" s="1"/>
  <c r="B30" i="15"/>
  <c r="T29" i="15"/>
  <c r="P29" i="15"/>
  <c r="X29" i="15" s="1"/>
  <c r="Z29" i="15" s="1"/>
  <c r="H29" i="15"/>
  <c r="D29" i="15"/>
  <c r="B29" i="15"/>
  <c r="T28" i="15"/>
  <c r="P28" i="15"/>
  <c r="H28" i="15"/>
  <c r="D28" i="15"/>
  <c r="L28" i="15" s="1"/>
  <c r="N28" i="15" s="1"/>
  <c r="B28" i="15"/>
  <c r="X27" i="15"/>
  <c r="Z27" i="15" s="1"/>
  <c r="T27" i="15"/>
  <c r="P27" i="15"/>
  <c r="H27" i="15"/>
  <c r="N27" i="15" s="1"/>
  <c r="D27" i="15"/>
  <c r="L27" i="15" s="1"/>
  <c r="B27" i="15"/>
  <c r="T26" i="15"/>
  <c r="P26" i="15"/>
  <c r="X26" i="15" s="1"/>
  <c r="Z26" i="15" s="1"/>
  <c r="L26" i="15"/>
  <c r="H26" i="15"/>
  <c r="N26" i="15" s="1"/>
  <c r="D26" i="15"/>
  <c r="B26" i="15"/>
  <c r="T25" i="15"/>
  <c r="P25" i="15"/>
  <c r="N25" i="15"/>
  <c r="H25" i="15"/>
  <c r="D25" i="15"/>
  <c r="L25" i="15" s="1"/>
  <c r="B25" i="15"/>
  <c r="T24" i="15"/>
  <c r="P24" i="15"/>
  <c r="X24" i="15" s="1"/>
  <c r="Z24" i="15" s="1"/>
  <c r="H24" i="15"/>
  <c r="D24" i="15"/>
  <c r="B24" i="15"/>
  <c r="T23" i="15"/>
  <c r="Z23" i="15" s="1"/>
  <c r="P23" i="15"/>
  <c r="X23" i="15" s="1"/>
  <c r="L23" i="15"/>
  <c r="N23" i="15" s="1"/>
  <c r="H23" i="15"/>
  <c r="D23" i="15"/>
  <c r="B23" i="15"/>
  <c r="X22" i="15"/>
  <c r="T22" i="15"/>
  <c r="Z22" i="15" s="1"/>
  <c r="P22" i="15"/>
  <c r="H22" i="15"/>
  <c r="D22" i="15"/>
  <c r="L22" i="15" s="1"/>
  <c r="N22" i="15" s="1"/>
  <c r="B22" i="15"/>
  <c r="T21" i="15"/>
  <c r="P21" i="15"/>
  <c r="X21" i="15" s="1"/>
  <c r="Z21" i="15" s="1"/>
  <c r="H21" i="15"/>
  <c r="D21" i="15"/>
  <c r="B21" i="15"/>
  <c r="T20" i="15"/>
  <c r="P20" i="15"/>
  <c r="N20" i="15"/>
  <c r="H20" i="15"/>
  <c r="D20" i="15"/>
  <c r="L20" i="15" s="1"/>
  <c r="B20" i="15"/>
  <c r="X19" i="15"/>
  <c r="Z19" i="15" s="1"/>
  <c r="T19" i="15"/>
  <c r="P19" i="15"/>
  <c r="H19" i="15"/>
  <c r="N19" i="15" s="1"/>
  <c r="D19" i="15"/>
  <c r="L19" i="15" s="1"/>
  <c r="B19" i="15"/>
  <c r="T18" i="15"/>
  <c r="P18" i="15"/>
  <c r="X18" i="15" s="1"/>
  <c r="Z18" i="15" s="1"/>
  <c r="L18" i="15"/>
  <c r="H18" i="15"/>
  <c r="N18" i="15" s="1"/>
  <c r="D18" i="15"/>
  <c r="B18" i="15"/>
  <c r="T17" i="15"/>
  <c r="P17" i="15"/>
  <c r="N17" i="15"/>
  <c r="H17" i="15"/>
  <c r="D17" i="15"/>
  <c r="L17" i="15" s="1"/>
  <c r="B17" i="15"/>
  <c r="T16" i="15"/>
  <c r="P16" i="15"/>
  <c r="X16" i="15" s="1"/>
  <c r="Z16" i="15" s="1"/>
  <c r="H16" i="15"/>
  <c r="N16" i="15" s="1"/>
  <c r="D16" i="15"/>
  <c r="B16" i="15"/>
  <c r="T15" i="15"/>
  <c r="T12" i="15" s="1"/>
  <c r="P15" i="15"/>
  <c r="X15" i="15" s="1"/>
  <c r="L15" i="15"/>
  <c r="N15" i="15" s="1"/>
  <c r="H15" i="15"/>
  <c r="D15" i="15"/>
  <c r="B15" i="15"/>
  <c r="X14" i="15"/>
  <c r="T14" i="15"/>
  <c r="Z14" i="15" s="1"/>
  <c r="P14" i="15"/>
  <c r="H14" i="15"/>
  <c r="D14" i="15"/>
  <c r="L14" i="15" s="1"/>
  <c r="N14" i="15" s="1"/>
  <c r="B14" i="15"/>
  <c r="T13" i="15"/>
  <c r="P13" i="15"/>
  <c r="P12" i="15" s="1"/>
  <c r="H13" i="15"/>
  <c r="D13" i="15"/>
  <c r="B13" i="15"/>
  <c r="D12" i="15"/>
  <c r="F212" i="15" s="1"/>
  <c r="D4" i="15"/>
  <c r="B39" i="14"/>
  <c r="B38" i="14"/>
  <c r="T34" i="14"/>
  <c r="P34" i="14"/>
  <c r="H34" i="14"/>
  <c r="N34" i="14" s="1"/>
  <c r="D34" i="14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T25" i="14"/>
  <c r="Z25" i="14" s="1"/>
  <c r="P25" i="14"/>
  <c r="H25" i="14"/>
  <c r="N25" i="14" s="1"/>
  <c r="D25" i="14"/>
  <c r="B25" i="14"/>
  <c r="T24" i="14"/>
  <c r="Z24" i="14" s="1"/>
  <c r="P24" i="14"/>
  <c r="H24" i="14"/>
  <c r="N24" i="14" s="1"/>
  <c r="D24" i="14"/>
  <c r="T22" i="14"/>
  <c r="Z22" i="14" s="1"/>
  <c r="P22" i="14"/>
  <c r="H22" i="14"/>
  <c r="N22" i="14" s="1"/>
  <c r="D22" i="14"/>
  <c r="B22" i="14"/>
  <c r="T21" i="14"/>
  <c r="Z21" i="14" s="1"/>
  <c r="P21" i="14"/>
  <c r="H21" i="14"/>
  <c r="D21" i="14"/>
  <c r="B21" i="14"/>
  <c r="T20" i="14"/>
  <c r="Z20" i="14" s="1"/>
  <c r="P20" i="14"/>
  <c r="H20" i="14"/>
  <c r="N20" i="14" s="1"/>
  <c r="D20" i="14"/>
  <c r="T16" i="14"/>
  <c r="Z16" i="14" s="1"/>
  <c r="P16" i="14"/>
  <c r="H16" i="14"/>
  <c r="N16" i="14" s="1"/>
  <c r="D16" i="14"/>
  <c r="B16" i="14"/>
  <c r="T15" i="14"/>
  <c r="Z15" i="14" s="1"/>
  <c r="P15" i="14"/>
  <c r="H15" i="14"/>
  <c r="N15" i="14" s="1"/>
  <c r="D15" i="14"/>
  <c r="T13" i="14"/>
  <c r="Z13" i="14" s="1"/>
  <c r="P13" i="14"/>
  <c r="H13" i="14"/>
  <c r="N13" i="14" s="1"/>
  <c r="D13" i="14"/>
  <c r="B13" i="14"/>
  <c r="T12" i="14"/>
  <c r="V24" i="14" s="1"/>
  <c r="P12" i="14"/>
  <c r="H12" i="14"/>
  <c r="J36" i="14" s="1"/>
  <c r="D12" i="14"/>
  <c r="F24" i="14" s="1"/>
  <c r="D5" i="14"/>
  <c r="D4" i="14"/>
  <c r="B39" i="13"/>
  <c r="B38" i="13"/>
  <c r="T34" i="13"/>
  <c r="Z34" i="13" s="1"/>
  <c r="P34" i="13"/>
  <c r="H34" i="13"/>
  <c r="N34" i="13" s="1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P12" i="13"/>
  <c r="R20" i="13" s="1"/>
  <c r="H12" i="13"/>
  <c r="J20" i="13" s="1"/>
  <c r="D12" i="13"/>
  <c r="F24" i="13" s="1"/>
  <c r="D5" i="13"/>
  <c r="D4" i="13"/>
  <c r="Z227" i="12"/>
  <c r="X227" i="12"/>
  <c r="N227" i="12"/>
  <c r="L227" i="12"/>
  <c r="Z223" i="12"/>
  <c r="T223" i="12"/>
  <c r="X223" i="12" s="1"/>
  <c r="P223" i="12"/>
  <c r="H223" i="12"/>
  <c r="D223" i="12"/>
  <c r="L223" i="12" s="1"/>
  <c r="N223" i="12" s="1"/>
  <c r="B223" i="12"/>
  <c r="T222" i="12"/>
  <c r="P222" i="12"/>
  <c r="H222" i="12"/>
  <c r="D222" i="12"/>
  <c r="L222" i="12" s="1"/>
  <c r="N222" i="12" s="1"/>
  <c r="B222" i="12"/>
  <c r="X221" i="12"/>
  <c r="Z221" i="12" s="1"/>
  <c r="T221" i="12"/>
  <c r="P221" i="12"/>
  <c r="N221" i="12"/>
  <c r="H221" i="12"/>
  <c r="L221" i="12" s="1"/>
  <c r="D221" i="12"/>
  <c r="B221" i="12"/>
  <c r="X220" i="12"/>
  <c r="T220" i="12"/>
  <c r="P220" i="12"/>
  <c r="H220" i="12"/>
  <c r="D220" i="12"/>
  <c r="B220" i="12"/>
  <c r="Z217" i="12"/>
  <c r="X217" i="12"/>
  <c r="N217" i="12"/>
  <c r="L217" i="12"/>
  <c r="B217" i="12"/>
  <c r="X216" i="12"/>
  <c r="T216" i="12"/>
  <c r="Z216" i="12" s="1"/>
  <c r="P216" i="12"/>
  <c r="L216" i="12"/>
  <c r="H216" i="12"/>
  <c r="N216" i="12" s="1"/>
  <c r="D216" i="12"/>
  <c r="B216" i="12"/>
  <c r="Z215" i="12"/>
  <c r="X215" i="12"/>
  <c r="N215" i="12"/>
  <c r="L215" i="12"/>
  <c r="B215" i="12"/>
  <c r="X214" i="12"/>
  <c r="Z214" i="12" s="1"/>
  <c r="N214" i="12"/>
  <c r="L214" i="12"/>
  <c r="B214" i="12"/>
  <c r="Z213" i="12"/>
  <c r="X213" i="12"/>
  <c r="N213" i="12"/>
  <c r="L213" i="12"/>
  <c r="B213" i="12"/>
  <c r="X212" i="12"/>
  <c r="T212" i="12"/>
  <c r="Z212" i="12" s="1"/>
  <c r="P212" i="12"/>
  <c r="L212" i="12"/>
  <c r="H212" i="12"/>
  <c r="D212" i="12"/>
  <c r="B212" i="12"/>
  <c r="Z211" i="12"/>
  <c r="X211" i="12"/>
  <c r="N211" i="12"/>
  <c r="L211" i="12"/>
  <c r="B211" i="12"/>
  <c r="X210" i="12"/>
  <c r="T210" i="12"/>
  <c r="Z210" i="12" s="1"/>
  <c r="P210" i="12"/>
  <c r="H210" i="12"/>
  <c r="N210" i="12" s="1"/>
  <c r="D210" i="12"/>
  <c r="L210" i="12" s="1"/>
  <c r="B210" i="12"/>
  <c r="Z209" i="12"/>
  <c r="X209" i="12"/>
  <c r="N209" i="12"/>
  <c r="L209" i="12"/>
  <c r="B209" i="12"/>
  <c r="X208" i="12"/>
  <c r="Z208" i="12" s="1"/>
  <c r="L208" i="12"/>
  <c r="N208" i="12" s="1"/>
  <c r="B208" i="12"/>
  <c r="T207" i="12"/>
  <c r="P207" i="12"/>
  <c r="X207" i="12" s="1"/>
  <c r="Z207" i="12" s="1"/>
  <c r="N207" i="12"/>
  <c r="L207" i="12"/>
  <c r="H207" i="12"/>
  <c r="D207" i="12"/>
  <c r="B207" i="12"/>
  <c r="Z206" i="12"/>
  <c r="X206" i="12"/>
  <c r="L206" i="12"/>
  <c r="N206" i="12" s="1"/>
  <c r="B206" i="12"/>
  <c r="Z205" i="12"/>
  <c r="X205" i="12"/>
  <c r="N205" i="12"/>
  <c r="L205" i="12"/>
  <c r="B205" i="12"/>
  <c r="Z204" i="12"/>
  <c r="X204" i="12"/>
  <c r="L204" i="12"/>
  <c r="N204" i="12" s="1"/>
  <c r="B204" i="12"/>
  <c r="Z203" i="12"/>
  <c r="X203" i="12"/>
  <c r="L203" i="12"/>
  <c r="N203" i="12" s="1"/>
  <c r="B203" i="12"/>
  <c r="X202" i="12"/>
  <c r="Z202" i="12" s="1"/>
  <c r="N202" i="12"/>
  <c r="L202" i="12"/>
  <c r="B202" i="12"/>
  <c r="Z201" i="12"/>
  <c r="X201" i="12"/>
  <c r="N201" i="12"/>
  <c r="L201" i="12"/>
  <c r="B201" i="12"/>
  <c r="X200" i="12"/>
  <c r="Z200" i="12" s="1"/>
  <c r="L200" i="12"/>
  <c r="N200" i="12" s="1"/>
  <c r="B200" i="12"/>
  <c r="X199" i="12"/>
  <c r="Z199" i="12" s="1"/>
  <c r="T199" i="12"/>
  <c r="P199" i="12"/>
  <c r="H199" i="12"/>
  <c r="N199" i="12" s="1"/>
  <c r="D199" i="12"/>
  <c r="L199" i="12" s="1"/>
  <c r="B199" i="12"/>
  <c r="X198" i="12"/>
  <c r="Z198" i="12" s="1"/>
  <c r="N198" i="12"/>
  <c r="L198" i="12"/>
  <c r="B198" i="12"/>
  <c r="Z197" i="12"/>
  <c r="X197" i="12"/>
  <c r="L197" i="12"/>
  <c r="N197" i="12" s="1"/>
  <c r="B197" i="12"/>
  <c r="T196" i="12"/>
  <c r="P196" i="12"/>
  <c r="X196" i="12" s="1"/>
  <c r="L196" i="12"/>
  <c r="H196" i="12"/>
  <c r="N196" i="12" s="1"/>
  <c r="D196" i="12"/>
  <c r="B196" i="12"/>
  <c r="Z195" i="12"/>
  <c r="X195" i="12"/>
  <c r="N195" i="12"/>
  <c r="L195" i="12"/>
  <c r="B195" i="12"/>
  <c r="X194" i="12"/>
  <c r="Z194" i="12" s="1"/>
  <c r="N194" i="12"/>
  <c r="L194" i="12"/>
  <c r="B194" i="12"/>
  <c r="Z193" i="12"/>
  <c r="X193" i="12"/>
  <c r="L193" i="12"/>
  <c r="N193" i="12" s="1"/>
  <c r="B193" i="12"/>
  <c r="X192" i="12"/>
  <c r="Z192" i="12" s="1"/>
  <c r="L192" i="12"/>
  <c r="N192" i="12" s="1"/>
  <c r="B192" i="12"/>
  <c r="X191" i="12"/>
  <c r="Z191" i="12" s="1"/>
  <c r="N191" i="12"/>
  <c r="L191" i="12"/>
  <c r="B191" i="12"/>
  <c r="Z190" i="12"/>
  <c r="T190" i="12"/>
  <c r="P190" i="12"/>
  <c r="X190" i="12" s="1"/>
  <c r="H190" i="12"/>
  <c r="N190" i="12" s="1"/>
  <c r="D190" i="12"/>
  <c r="L190" i="12" s="1"/>
  <c r="B190" i="12"/>
  <c r="Z189" i="12"/>
  <c r="X189" i="12"/>
  <c r="L189" i="12"/>
  <c r="N189" i="12" s="1"/>
  <c r="B189" i="12"/>
  <c r="X188" i="12"/>
  <c r="Z188" i="12" s="1"/>
  <c r="N188" i="12"/>
  <c r="L188" i="12"/>
  <c r="B188" i="12"/>
  <c r="X187" i="12"/>
  <c r="Z187" i="12" s="1"/>
  <c r="N187" i="12"/>
  <c r="L187" i="12"/>
  <c r="B187" i="12"/>
  <c r="Z186" i="12"/>
  <c r="T186" i="12"/>
  <c r="P186" i="12"/>
  <c r="X186" i="12" s="1"/>
  <c r="H186" i="12"/>
  <c r="D186" i="12"/>
  <c r="L186" i="12" s="1"/>
  <c r="B186" i="12"/>
  <c r="Z185" i="12"/>
  <c r="X185" i="12"/>
  <c r="N185" i="12"/>
  <c r="L185" i="12"/>
  <c r="B185" i="12"/>
  <c r="X184" i="12"/>
  <c r="Z184" i="12" s="1"/>
  <c r="L184" i="12"/>
  <c r="N184" i="12" s="1"/>
  <c r="B184" i="12"/>
  <c r="Z183" i="12"/>
  <c r="X183" i="12"/>
  <c r="N183" i="12"/>
  <c r="L183" i="12"/>
  <c r="B183" i="12"/>
  <c r="Z182" i="12"/>
  <c r="X182" i="12"/>
  <c r="N182" i="12"/>
  <c r="L182" i="12"/>
  <c r="B182" i="12"/>
  <c r="T181" i="12"/>
  <c r="Z181" i="12" s="1"/>
  <c r="P181" i="12"/>
  <c r="X181" i="12" s="1"/>
  <c r="L181" i="12"/>
  <c r="N181" i="12" s="1"/>
  <c r="H181" i="12"/>
  <c r="D181" i="12"/>
  <c r="B181" i="12"/>
  <c r="X180" i="12"/>
  <c r="Z180" i="12" s="1"/>
  <c r="L180" i="12"/>
  <c r="N180" i="12" s="1"/>
  <c r="B180" i="12"/>
  <c r="X179" i="12"/>
  <c r="Z179" i="12" s="1"/>
  <c r="T179" i="12"/>
  <c r="P179" i="12"/>
  <c r="H179" i="12"/>
  <c r="L179" i="12" s="1"/>
  <c r="D179" i="12"/>
  <c r="B179" i="12"/>
  <c r="Z178" i="12"/>
  <c r="X178" i="12"/>
  <c r="N178" i="12"/>
  <c r="L178" i="12"/>
  <c r="B178" i="12"/>
  <c r="Z177" i="12"/>
  <c r="T177" i="12"/>
  <c r="X177" i="12" s="1"/>
  <c r="P177" i="12"/>
  <c r="H177" i="12"/>
  <c r="N177" i="12" s="1"/>
  <c r="D177" i="12"/>
  <c r="L177" i="12" s="1"/>
  <c r="B177" i="12"/>
  <c r="Z176" i="12"/>
  <c r="X176" i="12"/>
  <c r="N176" i="12"/>
  <c r="L176" i="12"/>
  <c r="B176" i="12"/>
  <c r="X175" i="12"/>
  <c r="Z175" i="12" s="1"/>
  <c r="L175" i="12"/>
  <c r="N175" i="12" s="1"/>
  <c r="B175" i="12"/>
  <c r="X174" i="12"/>
  <c r="T174" i="12"/>
  <c r="Z174" i="12" s="1"/>
  <c r="P174" i="12"/>
  <c r="H174" i="12"/>
  <c r="D174" i="12"/>
  <c r="L174" i="12" s="1"/>
  <c r="B174" i="12"/>
  <c r="X173" i="12"/>
  <c r="Z173" i="12" s="1"/>
  <c r="N173" i="12"/>
  <c r="L173" i="12"/>
  <c r="B173" i="12"/>
  <c r="T172" i="12"/>
  <c r="P172" i="12"/>
  <c r="X172" i="12" s="1"/>
  <c r="N172" i="12"/>
  <c r="H172" i="12"/>
  <c r="D172" i="12"/>
  <c r="L172" i="12" s="1"/>
  <c r="B172" i="12"/>
  <c r="X171" i="12"/>
  <c r="Z171" i="12" s="1"/>
  <c r="N171" i="12"/>
  <c r="L171" i="12"/>
  <c r="B171" i="12"/>
  <c r="T170" i="12"/>
  <c r="P170" i="12"/>
  <c r="X170" i="12" s="1"/>
  <c r="Z170" i="12" s="1"/>
  <c r="H170" i="12"/>
  <c r="D170" i="12"/>
  <c r="L170" i="12" s="1"/>
  <c r="N170" i="12" s="1"/>
  <c r="B170" i="12"/>
  <c r="Z169" i="12"/>
  <c r="X169" i="12"/>
  <c r="N169" i="12"/>
  <c r="L169" i="12"/>
  <c r="B169" i="12"/>
  <c r="T168" i="12"/>
  <c r="P168" i="12"/>
  <c r="X168" i="12" s="1"/>
  <c r="Z168" i="12" s="1"/>
  <c r="L168" i="12"/>
  <c r="H168" i="12"/>
  <c r="N168" i="12" s="1"/>
  <c r="D168" i="12"/>
  <c r="B168" i="12"/>
  <c r="Z167" i="12"/>
  <c r="X167" i="12"/>
  <c r="L167" i="12"/>
  <c r="N167" i="12" s="1"/>
  <c r="B167" i="12"/>
  <c r="X166" i="12"/>
  <c r="Z166" i="12" s="1"/>
  <c r="N166" i="12"/>
  <c r="L166" i="12"/>
  <c r="B166" i="12"/>
  <c r="T165" i="12"/>
  <c r="P165" i="12"/>
  <c r="L165" i="12"/>
  <c r="N165" i="12" s="1"/>
  <c r="H165" i="12"/>
  <c r="D165" i="12"/>
  <c r="B165" i="12"/>
  <c r="X164" i="12"/>
  <c r="Z164" i="12" s="1"/>
  <c r="N164" i="12"/>
  <c r="L164" i="12"/>
  <c r="B164" i="12"/>
  <c r="X163" i="12"/>
  <c r="Z163" i="12" s="1"/>
  <c r="T163" i="12"/>
  <c r="P163" i="12"/>
  <c r="H163" i="12"/>
  <c r="N163" i="12" s="1"/>
  <c r="D163" i="12"/>
  <c r="L163" i="12" s="1"/>
  <c r="B163" i="12"/>
  <c r="X162" i="12"/>
  <c r="Z162" i="12" s="1"/>
  <c r="N162" i="12"/>
  <c r="L162" i="12"/>
  <c r="B162" i="12"/>
  <c r="T161" i="12"/>
  <c r="P161" i="12"/>
  <c r="X161" i="12" s="1"/>
  <c r="N161" i="12"/>
  <c r="H161" i="12"/>
  <c r="D161" i="12"/>
  <c r="L161" i="12" s="1"/>
  <c r="B161" i="12"/>
  <c r="Z160" i="12"/>
  <c r="X160" i="12"/>
  <c r="N160" i="12"/>
  <c r="L160" i="12"/>
  <c r="B160" i="12"/>
  <c r="Z159" i="12"/>
  <c r="T159" i="12"/>
  <c r="P159" i="12"/>
  <c r="X159" i="12" s="1"/>
  <c r="H159" i="12"/>
  <c r="N159" i="12" s="1"/>
  <c r="D159" i="12"/>
  <c r="B159" i="12"/>
  <c r="Z158" i="12"/>
  <c r="X158" i="12"/>
  <c r="L158" i="12"/>
  <c r="N158" i="12" s="1"/>
  <c r="B158" i="12"/>
  <c r="Z157" i="12"/>
  <c r="X157" i="12"/>
  <c r="N157" i="12"/>
  <c r="L157" i="12"/>
  <c r="B157" i="12"/>
  <c r="T156" i="12"/>
  <c r="Z156" i="12" s="1"/>
  <c r="P156" i="12"/>
  <c r="X156" i="12" s="1"/>
  <c r="H156" i="12"/>
  <c r="D156" i="12"/>
  <c r="L156" i="12" s="1"/>
  <c r="N156" i="12" s="1"/>
  <c r="B156" i="12"/>
  <c r="X155" i="12"/>
  <c r="Z155" i="12" s="1"/>
  <c r="L155" i="12"/>
  <c r="N155" i="12" s="1"/>
  <c r="B155" i="12"/>
  <c r="Z154" i="12"/>
  <c r="X154" i="12"/>
  <c r="L154" i="12"/>
  <c r="N154" i="12" s="1"/>
  <c r="B154" i="12"/>
  <c r="T153" i="12"/>
  <c r="P153" i="12"/>
  <c r="L153" i="12"/>
  <c r="N153" i="12" s="1"/>
  <c r="H153" i="12"/>
  <c r="D153" i="12"/>
  <c r="B153" i="12"/>
  <c r="X152" i="12"/>
  <c r="Z152" i="12" s="1"/>
  <c r="N152" i="12"/>
  <c r="L152" i="12"/>
  <c r="B152" i="12"/>
  <c r="X151" i="12"/>
  <c r="Z151" i="12" s="1"/>
  <c r="T151" i="12"/>
  <c r="P151" i="12"/>
  <c r="H151" i="12"/>
  <c r="N151" i="12" s="1"/>
  <c r="D151" i="12"/>
  <c r="L151" i="12" s="1"/>
  <c r="B151" i="12"/>
  <c r="X150" i="12"/>
  <c r="Z150" i="12" s="1"/>
  <c r="N150" i="12"/>
  <c r="L150" i="12"/>
  <c r="B150" i="12"/>
  <c r="T149" i="12"/>
  <c r="P149" i="12"/>
  <c r="X149" i="12" s="1"/>
  <c r="H149" i="12"/>
  <c r="D149" i="12"/>
  <c r="L149" i="12" s="1"/>
  <c r="B149" i="12"/>
  <c r="Z148" i="12"/>
  <c r="X148" i="12"/>
  <c r="L148" i="12"/>
  <c r="N148" i="12" s="1"/>
  <c r="B148" i="12"/>
  <c r="T147" i="12"/>
  <c r="Z147" i="12" s="1"/>
  <c r="P147" i="12"/>
  <c r="X147" i="12" s="1"/>
  <c r="H147" i="12"/>
  <c r="D147" i="12"/>
  <c r="B147" i="12"/>
  <c r="Z146" i="12"/>
  <c r="X146" i="12"/>
  <c r="L146" i="12"/>
  <c r="N146" i="12" s="1"/>
  <c r="B146" i="12"/>
  <c r="X145" i="12"/>
  <c r="Z145" i="12" s="1"/>
  <c r="N145" i="12"/>
  <c r="L145" i="12"/>
  <c r="B145" i="12"/>
  <c r="Z144" i="12"/>
  <c r="X144" i="12"/>
  <c r="L144" i="12"/>
  <c r="N144" i="12" s="1"/>
  <c r="B144" i="12"/>
  <c r="X143" i="12"/>
  <c r="Z143" i="12" s="1"/>
  <c r="L143" i="12"/>
  <c r="N143" i="12" s="1"/>
  <c r="B143" i="12"/>
  <c r="X142" i="12"/>
  <c r="Z142" i="12" s="1"/>
  <c r="N142" i="12"/>
  <c r="L142" i="12"/>
  <c r="B142" i="12"/>
  <c r="Z141" i="12"/>
  <c r="X141" i="12"/>
  <c r="L141" i="12"/>
  <c r="N141" i="12" s="1"/>
  <c r="B141" i="12"/>
  <c r="X140" i="12"/>
  <c r="Z140" i="12" s="1"/>
  <c r="N140" i="12"/>
  <c r="L140" i="12"/>
  <c r="B140" i="12"/>
  <c r="X139" i="12"/>
  <c r="Z139" i="12" s="1"/>
  <c r="T139" i="12"/>
  <c r="P139" i="12"/>
  <c r="H139" i="12"/>
  <c r="N139" i="12" s="1"/>
  <c r="D139" i="12"/>
  <c r="L139" i="12" s="1"/>
  <c r="B139" i="12"/>
  <c r="X138" i="12"/>
  <c r="Z138" i="12" s="1"/>
  <c r="N138" i="12"/>
  <c r="L138" i="12"/>
  <c r="B138" i="12"/>
  <c r="Z137" i="12"/>
  <c r="X137" i="12"/>
  <c r="L137" i="12"/>
  <c r="N137" i="12" s="1"/>
  <c r="B137" i="12"/>
  <c r="X136" i="12"/>
  <c r="Z136" i="12" s="1"/>
  <c r="N136" i="12"/>
  <c r="L136" i="12"/>
  <c r="B136" i="12"/>
  <c r="X135" i="12"/>
  <c r="Z135" i="12" s="1"/>
  <c r="L135" i="12"/>
  <c r="N135" i="12" s="1"/>
  <c r="B135" i="12"/>
  <c r="Z134" i="12"/>
  <c r="X134" i="12"/>
  <c r="N134" i="12"/>
  <c r="L134" i="12"/>
  <c r="B134" i="12"/>
  <c r="X133" i="12"/>
  <c r="Z133" i="12" s="1"/>
  <c r="N133" i="12"/>
  <c r="L133" i="12"/>
  <c r="B133" i="12"/>
  <c r="Z132" i="12"/>
  <c r="X132" i="12"/>
  <c r="L132" i="12"/>
  <c r="N132" i="12" s="1"/>
  <c r="B132" i="12"/>
  <c r="X131" i="12"/>
  <c r="Z131" i="12" s="1"/>
  <c r="L131" i="12"/>
  <c r="N131" i="12" s="1"/>
  <c r="B131" i="12"/>
  <c r="X130" i="12"/>
  <c r="Z130" i="12" s="1"/>
  <c r="N130" i="12"/>
  <c r="L130" i="12"/>
  <c r="B130" i="12"/>
  <c r="Z129" i="12"/>
  <c r="X129" i="12"/>
  <c r="L129" i="12"/>
  <c r="N129" i="12" s="1"/>
  <c r="B129" i="12"/>
  <c r="X128" i="12"/>
  <c r="T128" i="12"/>
  <c r="Z128" i="12" s="1"/>
  <c r="P128" i="12"/>
  <c r="L128" i="12"/>
  <c r="N128" i="12" s="1"/>
  <c r="H128" i="12"/>
  <c r="D128" i="12"/>
  <c r="B128" i="12"/>
  <c r="T127" i="12"/>
  <c r="Z127" i="12" s="1"/>
  <c r="P127" i="12"/>
  <c r="X127" i="12" s="1"/>
  <c r="H127" i="12"/>
  <c r="D127" i="12"/>
  <c r="Z123" i="12"/>
  <c r="X123" i="12"/>
  <c r="N123" i="12"/>
  <c r="L123" i="12"/>
  <c r="B123" i="12"/>
  <c r="Z122" i="12"/>
  <c r="X122" i="12"/>
  <c r="N122" i="12"/>
  <c r="L122" i="12"/>
  <c r="B122" i="12"/>
  <c r="Z121" i="12"/>
  <c r="X121" i="12"/>
  <c r="N121" i="12"/>
  <c r="L121" i="12"/>
  <c r="B121" i="12"/>
  <c r="X120" i="12"/>
  <c r="Z120" i="12" s="1"/>
  <c r="N120" i="12"/>
  <c r="L120" i="12"/>
  <c r="B120" i="12"/>
  <c r="X119" i="12"/>
  <c r="Z119" i="12" s="1"/>
  <c r="L119" i="12"/>
  <c r="N119" i="12" s="1"/>
  <c r="B119" i="12"/>
  <c r="Z118" i="12"/>
  <c r="X118" i="12"/>
  <c r="N118" i="12"/>
  <c r="L118" i="12"/>
  <c r="B118" i="12"/>
  <c r="X117" i="12"/>
  <c r="Z117" i="12" s="1"/>
  <c r="N117" i="12"/>
  <c r="L117" i="12"/>
  <c r="B117" i="12"/>
  <c r="Z116" i="12"/>
  <c r="X116" i="12"/>
  <c r="L116" i="12"/>
  <c r="N116" i="12" s="1"/>
  <c r="B116" i="12"/>
  <c r="X115" i="12"/>
  <c r="Z115" i="12" s="1"/>
  <c r="N115" i="12"/>
  <c r="L115" i="12"/>
  <c r="B115" i="12"/>
  <c r="Z114" i="12"/>
  <c r="X114" i="12"/>
  <c r="N114" i="12"/>
  <c r="L114" i="12"/>
  <c r="B114" i="12"/>
  <c r="Z113" i="12"/>
  <c r="X113" i="12"/>
  <c r="N113" i="12"/>
  <c r="L113" i="12"/>
  <c r="B113" i="12"/>
  <c r="X112" i="12"/>
  <c r="Z112" i="12" s="1"/>
  <c r="N112" i="12"/>
  <c r="L112" i="12"/>
  <c r="B112" i="12"/>
  <c r="X111" i="12"/>
  <c r="Z111" i="12" s="1"/>
  <c r="N111" i="12"/>
  <c r="L111" i="12"/>
  <c r="B111" i="12"/>
  <c r="Z110" i="12"/>
  <c r="X110" i="12"/>
  <c r="N110" i="12"/>
  <c r="L110" i="12"/>
  <c r="B110" i="12"/>
  <c r="X109" i="12"/>
  <c r="Z109" i="12" s="1"/>
  <c r="N109" i="12"/>
  <c r="L109" i="12"/>
  <c r="B109" i="12"/>
  <c r="Z108" i="12"/>
  <c r="X108" i="12"/>
  <c r="N108" i="12"/>
  <c r="L108" i="12"/>
  <c r="B108" i="12"/>
  <c r="X107" i="12"/>
  <c r="Z107" i="12" s="1"/>
  <c r="L107" i="12"/>
  <c r="N107" i="12" s="1"/>
  <c r="B107" i="12"/>
  <c r="Z106" i="12"/>
  <c r="X106" i="12"/>
  <c r="N106" i="12"/>
  <c r="L106" i="12"/>
  <c r="B106" i="12"/>
  <c r="Z105" i="12"/>
  <c r="X105" i="12"/>
  <c r="N105" i="12"/>
  <c r="L105" i="12"/>
  <c r="B105" i="12"/>
  <c r="X104" i="12"/>
  <c r="Z104" i="12" s="1"/>
  <c r="N104" i="12"/>
  <c r="L104" i="12"/>
  <c r="B104" i="12"/>
  <c r="X103" i="12"/>
  <c r="Z103" i="12" s="1"/>
  <c r="N103" i="12"/>
  <c r="L103" i="12"/>
  <c r="B103" i="12"/>
  <c r="Z102" i="12"/>
  <c r="X102" i="12"/>
  <c r="N102" i="12"/>
  <c r="L102" i="12"/>
  <c r="B102" i="12"/>
  <c r="X101" i="12"/>
  <c r="Z101" i="12" s="1"/>
  <c r="N101" i="12"/>
  <c r="L101" i="12"/>
  <c r="B101" i="12"/>
  <c r="Z100" i="12"/>
  <c r="X100" i="12"/>
  <c r="L100" i="12"/>
  <c r="N100" i="12" s="1"/>
  <c r="B100" i="12"/>
  <c r="X99" i="12"/>
  <c r="Z99" i="12" s="1"/>
  <c r="N99" i="12"/>
  <c r="L99" i="12"/>
  <c r="B99" i="12"/>
  <c r="Z98" i="12"/>
  <c r="X98" i="12"/>
  <c r="N98" i="12"/>
  <c r="L98" i="12"/>
  <c r="B98" i="12"/>
  <c r="Z97" i="12"/>
  <c r="X97" i="12"/>
  <c r="L97" i="12"/>
  <c r="N97" i="12" s="1"/>
  <c r="B97" i="12"/>
  <c r="X96" i="12"/>
  <c r="Z96" i="12" s="1"/>
  <c r="N96" i="12"/>
  <c r="L96" i="12"/>
  <c r="B96" i="12"/>
  <c r="X95" i="12"/>
  <c r="Z95" i="12" s="1"/>
  <c r="L95" i="12"/>
  <c r="N95" i="12" s="1"/>
  <c r="B95" i="12"/>
  <c r="Z94" i="12"/>
  <c r="X94" i="12"/>
  <c r="N94" i="12"/>
  <c r="L94" i="12"/>
  <c r="B94" i="12"/>
  <c r="X93" i="12"/>
  <c r="Z93" i="12" s="1"/>
  <c r="N93" i="12"/>
  <c r="L93" i="12"/>
  <c r="B93" i="12"/>
  <c r="Z92" i="12"/>
  <c r="X92" i="12"/>
  <c r="N92" i="12"/>
  <c r="L92" i="12"/>
  <c r="B92" i="12"/>
  <c r="X91" i="12"/>
  <c r="Z91" i="12" s="1"/>
  <c r="L91" i="12"/>
  <c r="N91" i="12" s="1"/>
  <c r="B91" i="12"/>
  <c r="Z90" i="12"/>
  <c r="X90" i="12"/>
  <c r="N90" i="12"/>
  <c r="L90" i="12"/>
  <c r="B90" i="12"/>
  <c r="Z89" i="12"/>
  <c r="X89" i="12"/>
  <c r="L89" i="12"/>
  <c r="N89" i="12" s="1"/>
  <c r="B89" i="12"/>
  <c r="X88" i="12"/>
  <c r="Z88" i="12" s="1"/>
  <c r="N88" i="12"/>
  <c r="L88" i="12"/>
  <c r="B88" i="12"/>
  <c r="X87" i="12"/>
  <c r="Z87" i="12" s="1"/>
  <c r="L87" i="12"/>
  <c r="N87" i="12" s="1"/>
  <c r="B87" i="12"/>
  <c r="Z86" i="12"/>
  <c r="X86" i="12"/>
  <c r="N86" i="12"/>
  <c r="L86" i="12"/>
  <c r="B86" i="12"/>
  <c r="X85" i="12"/>
  <c r="Z85" i="12" s="1"/>
  <c r="N85" i="12"/>
  <c r="L85" i="12"/>
  <c r="B85" i="12"/>
  <c r="Z84" i="12"/>
  <c r="X84" i="12"/>
  <c r="L84" i="12"/>
  <c r="N84" i="12" s="1"/>
  <c r="B84" i="12"/>
  <c r="Z83" i="12"/>
  <c r="X83" i="12"/>
  <c r="N83" i="12"/>
  <c r="L83" i="12"/>
  <c r="B83" i="12"/>
  <c r="Z82" i="12"/>
  <c r="X82" i="12"/>
  <c r="T82" i="12"/>
  <c r="P82" i="12"/>
  <c r="H82" i="12"/>
  <c r="N82" i="12" s="1"/>
  <c r="D82" i="12"/>
  <c r="L82" i="12" s="1"/>
  <c r="Z80" i="12"/>
  <c r="X80" i="12"/>
  <c r="T80" i="12"/>
  <c r="P80" i="12"/>
  <c r="N80" i="12"/>
  <c r="L80" i="12"/>
  <c r="H80" i="12"/>
  <c r="D80" i="12"/>
  <c r="B80" i="12"/>
  <c r="T79" i="12"/>
  <c r="P79" i="12"/>
  <c r="X79" i="12" s="1"/>
  <c r="Z79" i="12" s="1"/>
  <c r="N79" i="12"/>
  <c r="H79" i="12"/>
  <c r="D79" i="12"/>
  <c r="L79" i="12" s="1"/>
  <c r="B79" i="12"/>
  <c r="T78" i="12"/>
  <c r="P78" i="12"/>
  <c r="X78" i="12" s="1"/>
  <c r="H78" i="12"/>
  <c r="D78" i="12"/>
  <c r="B78" i="12"/>
  <c r="T77" i="12"/>
  <c r="X77" i="12" s="1"/>
  <c r="P77" i="12"/>
  <c r="L77" i="12"/>
  <c r="N77" i="12" s="1"/>
  <c r="H77" i="12"/>
  <c r="D77" i="12"/>
  <c r="B77" i="12"/>
  <c r="X76" i="12"/>
  <c r="Z76" i="12" s="1"/>
  <c r="T76" i="12"/>
  <c r="P76" i="12"/>
  <c r="N76" i="12"/>
  <c r="L76" i="12"/>
  <c r="H76" i="12"/>
  <c r="D76" i="12"/>
  <c r="B76" i="12"/>
  <c r="T75" i="12"/>
  <c r="P75" i="12"/>
  <c r="X75" i="12" s="1"/>
  <c r="Z75" i="12" s="1"/>
  <c r="H75" i="12"/>
  <c r="D75" i="12"/>
  <c r="L75" i="12" s="1"/>
  <c r="N75" i="12" s="1"/>
  <c r="B75" i="12"/>
  <c r="T74" i="12"/>
  <c r="P74" i="12"/>
  <c r="H74" i="12"/>
  <c r="N74" i="12" s="1"/>
  <c r="D74" i="12"/>
  <c r="L74" i="12" s="1"/>
  <c r="B74" i="12"/>
  <c r="Z73" i="12"/>
  <c r="X73" i="12"/>
  <c r="T73" i="12"/>
  <c r="P73" i="12"/>
  <c r="H73" i="12"/>
  <c r="L73" i="12" s="1"/>
  <c r="D73" i="12"/>
  <c r="B73" i="12"/>
  <c r="Z72" i="12"/>
  <c r="X72" i="12"/>
  <c r="T72" i="12"/>
  <c r="P72" i="12"/>
  <c r="L72" i="12"/>
  <c r="N72" i="12" s="1"/>
  <c r="H72" i="12"/>
  <c r="D72" i="12"/>
  <c r="B72" i="12"/>
  <c r="T71" i="12"/>
  <c r="P71" i="12"/>
  <c r="X71" i="12" s="1"/>
  <c r="Z71" i="12" s="1"/>
  <c r="H71" i="12"/>
  <c r="D71" i="12"/>
  <c r="L71" i="12" s="1"/>
  <c r="N71" i="12" s="1"/>
  <c r="B71" i="12"/>
  <c r="T70" i="12"/>
  <c r="Z70" i="12" s="1"/>
  <c r="P70" i="12"/>
  <c r="X70" i="12" s="1"/>
  <c r="H70" i="12"/>
  <c r="N70" i="12" s="1"/>
  <c r="D70" i="12"/>
  <c r="L70" i="12" s="1"/>
  <c r="B70" i="12"/>
  <c r="T69" i="12"/>
  <c r="X69" i="12" s="1"/>
  <c r="P69" i="12"/>
  <c r="L69" i="12"/>
  <c r="H69" i="12"/>
  <c r="N69" i="12" s="1"/>
  <c r="D69" i="12"/>
  <c r="B69" i="12"/>
  <c r="X68" i="12"/>
  <c r="Z68" i="12" s="1"/>
  <c r="T68" i="12"/>
  <c r="P68" i="12"/>
  <c r="N68" i="12"/>
  <c r="L68" i="12"/>
  <c r="H68" i="12"/>
  <c r="D68" i="12"/>
  <c r="B68" i="12"/>
  <c r="T67" i="12"/>
  <c r="P67" i="12"/>
  <c r="X67" i="12" s="1"/>
  <c r="Z67" i="12" s="1"/>
  <c r="H67" i="12"/>
  <c r="D67" i="12"/>
  <c r="L67" i="12" s="1"/>
  <c r="N67" i="12" s="1"/>
  <c r="B67" i="12"/>
  <c r="T66" i="12"/>
  <c r="Z66" i="12" s="1"/>
  <c r="P66" i="12"/>
  <c r="X66" i="12" s="1"/>
  <c r="H66" i="12"/>
  <c r="N66" i="12" s="1"/>
  <c r="D66" i="12"/>
  <c r="L66" i="12" s="1"/>
  <c r="B66" i="12"/>
  <c r="X65" i="12"/>
  <c r="T65" i="12"/>
  <c r="Z65" i="12" s="1"/>
  <c r="P65" i="12"/>
  <c r="H65" i="12"/>
  <c r="L65" i="12" s="1"/>
  <c r="D65" i="12"/>
  <c r="B65" i="12"/>
  <c r="Z64" i="12"/>
  <c r="X64" i="12"/>
  <c r="T64" i="12"/>
  <c r="P64" i="12"/>
  <c r="N64" i="12"/>
  <c r="L64" i="12"/>
  <c r="H64" i="12"/>
  <c r="D64" i="12"/>
  <c r="B64" i="12"/>
  <c r="T63" i="12"/>
  <c r="P63" i="12"/>
  <c r="X63" i="12" s="1"/>
  <c r="Z63" i="12" s="1"/>
  <c r="N63" i="12"/>
  <c r="H63" i="12"/>
  <c r="D63" i="12"/>
  <c r="L63" i="12" s="1"/>
  <c r="B63" i="12"/>
  <c r="T62" i="12"/>
  <c r="Z62" i="12" s="1"/>
  <c r="P62" i="12"/>
  <c r="X62" i="12" s="1"/>
  <c r="H62" i="12"/>
  <c r="N62" i="12" s="1"/>
  <c r="D62" i="12"/>
  <c r="L62" i="12" s="1"/>
  <c r="B62" i="12"/>
  <c r="T61" i="12"/>
  <c r="X61" i="12" s="1"/>
  <c r="P61" i="12"/>
  <c r="L61" i="12"/>
  <c r="H61" i="12"/>
  <c r="N61" i="12" s="1"/>
  <c r="D61" i="12"/>
  <c r="B61" i="12"/>
  <c r="Z60" i="12"/>
  <c r="X60" i="12"/>
  <c r="T60" i="12"/>
  <c r="P60" i="12"/>
  <c r="N60" i="12"/>
  <c r="L60" i="12"/>
  <c r="H60" i="12"/>
  <c r="D60" i="12"/>
  <c r="B60" i="12"/>
  <c r="T59" i="12"/>
  <c r="P59" i="12"/>
  <c r="X59" i="12" s="1"/>
  <c r="Z59" i="12" s="1"/>
  <c r="N59" i="12"/>
  <c r="H59" i="12"/>
  <c r="D59" i="12"/>
  <c r="L59" i="12" s="1"/>
  <c r="B59" i="12"/>
  <c r="T58" i="12"/>
  <c r="Z58" i="12" s="1"/>
  <c r="P58" i="12"/>
  <c r="X58" i="12" s="1"/>
  <c r="H58" i="12"/>
  <c r="N58" i="12" s="1"/>
  <c r="D58" i="12"/>
  <c r="L58" i="12" s="1"/>
  <c r="B58" i="12"/>
  <c r="X57" i="12"/>
  <c r="T57" i="12"/>
  <c r="Z57" i="12" s="1"/>
  <c r="P57" i="12"/>
  <c r="H57" i="12"/>
  <c r="L57" i="12" s="1"/>
  <c r="D57" i="12"/>
  <c r="B57" i="12"/>
  <c r="Z56" i="12"/>
  <c r="X56" i="12"/>
  <c r="T56" i="12"/>
  <c r="P56" i="12"/>
  <c r="L56" i="12"/>
  <c r="N56" i="12" s="1"/>
  <c r="H56" i="12"/>
  <c r="D56" i="12"/>
  <c r="B56" i="12"/>
  <c r="T55" i="12"/>
  <c r="P55" i="12"/>
  <c r="X55" i="12" s="1"/>
  <c r="Z55" i="12" s="1"/>
  <c r="H55" i="12"/>
  <c r="D55" i="12"/>
  <c r="L55" i="12" s="1"/>
  <c r="N55" i="12" s="1"/>
  <c r="B55" i="12"/>
  <c r="T54" i="12"/>
  <c r="Z54" i="12" s="1"/>
  <c r="P54" i="12"/>
  <c r="X54" i="12" s="1"/>
  <c r="H54" i="12"/>
  <c r="N54" i="12" s="1"/>
  <c r="D54" i="12"/>
  <c r="L54" i="12" s="1"/>
  <c r="B54" i="12"/>
  <c r="T53" i="12"/>
  <c r="X53" i="12" s="1"/>
  <c r="P53" i="12"/>
  <c r="L53" i="12"/>
  <c r="H53" i="12"/>
  <c r="N53" i="12" s="1"/>
  <c r="D53" i="12"/>
  <c r="B53" i="12"/>
  <c r="X52" i="12"/>
  <c r="Z52" i="12" s="1"/>
  <c r="T52" i="12"/>
  <c r="P52" i="12"/>
  <c r="N52" i="12"/>
  <c r="L52" i="12"/>
  <c r="H52" i="12"/>
  <c r="D52" i="12"/>
  <c r="B52" i="12"/>
  <c r="T51" i="12"/>
  <c r="P51" i="12"/>
  <c r="X51" i="12" s="1"/>
  <c r="Z51" i="12" s="1"/>
  <c r="H51" i="12"/>
  <c r="D51" i="12"/>
  <c r="L51" i="12" s="1"/>
  <c r="N51" i="12" s="1"/>
  <c r="B51" i="12"/>
  <c r="T50" i="12"/>
  <c r="Z50" i="12" s="1"/>
  <c r="P50" i="12"/>
  <c r="X50" i="12" s="1"/>
  <c r="H50" i="12"/>
  <c r="N50" i="12" s="1"/>
  <c r="D50" i="12"/>
  <c r="L50" i="12" s="1"/>
  <c r="B50" i="12"/>
  <c r="X49" i="12"/>
  <c r="T49" i="12"/>
  <c r="Z49" i="12" s="1"/>
  <c r="P49" i="12"/>
  <c r="H49" i="12"/>
  <c r="L49" i="12" s="1"/>
  <c r="D49" i="12"/>
  <c r="B49" i="12"/>
  <c r="Z48" i="12"/>
  <c r="X48" i="12"/>
  <c r="T48" i="12"/>
  <c r="P48" i="12"/>
  <c r="N48" i="12"/>
  <c r="L48" i="12"/>
  <c r="H48" i="12"/>
  <c r="D48" i="12"/>
  <c r="B48" i="12"/>
  <c r="T47" i="12"/>
  <c r="P47" i="12"/>
  <c r="X47" i="12" s="1"/>
  <c r="Z47" i="12" s="1"/>
  <c r="N47" i="12"/>
  <c r="H47" i="12"/>
  <c r="D47" i="12"/>
  <c r="L47" i="12" s="1"/>
  <c r="B47" i="12"/>
  <c r="T46" i="12"/>
  <c r="Z46" i="12" s="1"/>
  <c r="P46" i="12"/>
  <c r="X46" i="12" s="1"/>
  <c r="H46" i="12"/>
  <c r="N46" i="12" s="1"/>
  <c r="D46" i="12"/>
  <c r="L46" i="12" s="1"/>
  <c r="B46" i="12"/>
  <c r="T45" i="12"/>
  <c r="X45" i="12" s="1"/>
  <c r="P45" i="12"/>
  <c r="L45" i="12"/>
  <c r="H45" i="12"/>
  <c r="N45" i="12" s="1"/>
  <c r="D45" i="12"/>
  <c r="B45" i="12"/>
  <c r="X44" i="12"/>
  <c r="Z44" i="12" s="1"/>
  <c r="T44" i="12"/>
  <c r="P44" i="12"/>
  <c r="N44" i="12"/>
  <c r="L44" i="12"/>
  <c r="H44" i="12"/>
  <c r="D44" i="12"/>
  <c r="B44" i="12"/>
  <c r="T43" i="12"/>
  <c r="P43" i="12"/>
  <c r="X43" i="12" s="1"/>
  <c r="Z43" i="12" s="1"/>
  <c r="N43" i="12"/>
  <c r="H43" i="12"/>
  <c r="D43" i="12"/>
  <c r="L43" i="12" s="1"/>
  <c r="B43" i="12"/>
  <c r="T42" i="12"/>
  <c r="P42" i="12"/>
  <c r="X42" i="12" s="1"/>
  <c r="H42" i="12"/>
  <c r="D42" i="12"/>
  <c r="L42" i="12" s="1"/>
  <c r="B42" i="12"/>
  <c r="X41" i="12"/>
  <c r="T41" i="12"/>
  <c r="Z41" i="12" s="1"/>
  <c r="P41" i="12"/>
  <c r="H41" i="12"/>
  <c r="L41" i="12" s="1"/>
  <c r="D41" i="12"/>
  <c r="B41" i="12"/>
  <c r="Z40" i="12"/>
  <c r="X40" i="12"/>
  <c r="T40" i="12"/>
  <c r="P40" i="12"/>
  <c r="L40" i="12"/>
  <c r="N40" i="12" s="1"/>
  <c r="H40" i="12"/>
  <c r="D40" i="12"/>
  <c r="B40" i="12"/>
  <c r="T39" i="12"/>
  <c r="P39" i="12"/>
  <c r="X39" i="12" s="1"/>
  <c r="Z39" i="12" s="1"/>
  <c r="N39" i="12"/>
  <c r="H39" i="12"/>
  <c r="D39" i="12"/>
  <c r="L39" i="12" s="1"/>
  <c r="B39" i="12"/>
  <c r="T38" i="12"/>
  <c r="Z38" i="12" s="1"/>
  <c r="P38" i="12"/>
  <c r="X38" i="12" s="1"/>
  <c r="H38" i="12"/>
  <c r="N38" i="12" s="1"/>
  <c r="D38" i="12"/>
  <c r="L38" i="12" s="1"/>
  <c r="B38" i="12"/>
  <c r="T37" i="12"/>
  <c r="X37" i="12" s="1"/>
  <c r="P37" i="12"/>
  <c r="L37" i="12"/>
  <c r="H37" i="12"/>
  <c r="N37" i="12" s="1"/>
  <c r="D37" i="12"/>
  <c r="B37" i="12"/>
  <c r="X36" i="12"/>
  <c r="Z36" i="12" s="1"/>
  <c r="T36" i="12"/>
  <c r="P36" i="12"/>
  <c r="N36" i="12"/>
  <c r="L36" i="12"/>
  <c r="H36" i="12"/>
  <c r="D36" i="12"/>
  <c r="B36" i="12"/>
  <c r="T35" i="12"/>
  <c r="P35" i="12"/>
  <c r="X35" i="12" s="1"/>
  <c r="Z35" i="12" s="1"/>
  <c r="N35" i="12"/>
  <c r="H35" i="12"/>
  <c r="D35" i="12"/>
  <c r="L35" i="12" s="1"/>
  <c r="B35" i="12"/>
  <c r="T34" i="12"/>
  <c r="Z34" i="12" s="1"/>
  <c r="P34" i="12"/>
  <c r="X34" i="12" s="1"/>
  <c r="H34" i="12"/>
  <c r="N34" i="12" s="1"/>
  <c r="D34" i="12"/>
  <c r="L34" i="12" s="1"/>
  <c r="B34" i="12"/>
  <c r="X33" i="12"/>
  <c r="T33" i="12"/>
  <c r="Z33" i="12" s="1"/>
  <c r="P33" i="12"/>
  <c r="H33" i="12"/>
  <c r="L33" i="12" s="1"/>
  <c r="D33" i="12"/>
  <c r="B33" i="12"/>
  <c r="Z32" i="12"/>
  <c r="X32" i="12"/>
  <c r="T32" i="12"/>
  <c r="P32" i="12"/>
  <c r="L32" i="12"/>
  <c r="N32" i="12" s="1"/>
  <c r="H32" i="12"/>
  <c r="D32" i="12"/>
  <c r="B32" i="12"/>
  <c r="T31" i="12"/>
  <c r="P31" i="12"/>
  <c r="X31" i="12" s="1"/>
  <c r="Z31" i="12" s="1"/>
  <c r="H31" i="12"/>
  <c r="D31" i="12"/>
  <c r="L31" i="12" s="1"/>
  <c r="N31" i="12" s="1"/>
  <c r="B31" i="12"/>
  <c r="T30" i="12"/>
  <c r="Z30" i="12" s="1"/>
  <c r="P30" i="12"/>
  <c r="X30" i="12" s="1"/>
  <c r="H30" i="12"/>
  <c r="D30" i="12"/>
  <c r="L30" i="12" s="1"/>
  <c r="B30" i="12"/>
  <c r="T29" i="12"/>
  <c r="X29" i="12" s="1"/>
  <c r="P29" i="12"/>
  <c r="L29" i="12"/>
  <c r="H29" i="12"/>
  <c r="N29" i="12" s="1"/>
  <c r="D29" i="12"/>
  <c r="B29" i="12"/>
  <c r="X28" i="12"/>
  <c r="Z28" i="12" s="1"/>
  <c r="T28" i="12"/>
  <c r="P28" i="12"/>
  <c r="N28" i="12"/>
  <c r="L28" i="12"/>
  <c r="H28" i="12"/>
  <c r="D28" i="12"/>
  <c r="B28" i="12"/>
  <c r="T27" i="12"/>
  <c r="P27" i="12"/>
  <c r="X27" i="12" s="1"/>
  <c r="Z27" i="12" s="1"/>
  <c r="H27" i="12"/>
  <c r="D27" i="12"/>
  <c r="L27" i="12" s="1"/>
  <c r="N27" i="12" s="1"/>
  <c r="B27" i="12"/>
  <c r="T26" i="12"/>
  <c r="Z26" i="12" s="1"/>
  <c r="P26" i="12"/>
  <c r="X26" i="12" s="1"/>
  <c r="H26" i="12"/>
  <c r="N26" i="12" s="1"/>
  <c r="D26" i="12"/>
  <c r="L26" i="12" s="1"/>
  <c r="B26" i="12"/>
  <c r="X25" i="12"/>
  <c r="T25" i="12"/>
  <c r="Z25" i="12" s="1"/>
  <c r="P25" i="12"/>
  <c r="H25" i="12"/>
  <c r="L25" i="12" s="1"/>
  <c r="D25" i="12"/>
  <c r="B25" i="12"/>
  <c r="Z24" i="12"/>
  <c r="X24" i="12"/>
  <c r="T24" i="12"/>
  <c r="P24" i="12"/>
  <c r="L24" i="12"/>
  <c r="N24" i="12" s="1"/>
  <c r="H24" i="12"/>
  <c r="D24" i="12"/>
  <c r="B24" i="12"/>
  <c r="T23" i="12"/>
  <c r="P23" i="12"/>
  <c r="X23" i="12" s="1"/>
  <c r="Z23" i="12" s="1"/>
  <c r="H23" i="12"/>
  <c r="D23" i="12"/>
  <c r="L23" i="12" s="1"/>
  <c r="N23" i="12" s="1"/>
  <c r="B23" i="12"/>
  <c r="T22" i="12"/>
  <c r="Z22" i="12" s="1"/>
  <c r="P22" i="12"/>
  <c r="X22" i="12" s="1"/>
  <c r="H22" i="12"/>
  <c r="D22" i="12"/>
  <c r="L22" i="12" s="1"/>
  <c r="B22" i="12"/>
  <c r="T21" i="12"/>
  <c r="X21" i="12" s="1"/>
  <c r="P21" i="12"/>
  <c r="L21" i="12"/>
  <c r="H21" i="12"/>
  <c r="N21" i="12" s="1"/>
  <c r="D21" i="12"/>
  <c r="B21" i="12"/>
  <c r="X20" i="12"/>
  <c r="Z20" i="12" s="1"/>
  <c r="T20" i="12"/>
  <c r="P20" i="12"/>
  <c r="N20" i="12"/>
  <c r="L20" i="12"/>
  <c r="H20" i="12"/>
  <c r="D20" i="12"/>
  <c r="B20" i="12"/>
  <c r="T19" i="12"/>
  <c r="P19" i="12"/>
  <c r="X19" i="12" s="1"/>
  <c r="Z19" i="12" s="1"/>
  <c r="N19" i="12"/>
  <c r="H19" i="12"/>
  <c r="D19" i="12"/>
  <c r="L19" i="12" s="1"/>
  <c r="B19" i="12"/>
  <c r="T18" i="12"/>
  <c r="Z18" i="12" s="1"/>
  <c r="P18" i="12"/>
  <c r="X18" i="12" s="1"/>
  <c r="H18" i="12"/>
  <c r="N18" i="12" s="1"/>
  <c r="D18" i="12"/>
  <c r="L18" i="12" s="1"/>
  <c r="B18" i="12"/>
  <c r="X17" i="12"/>
  <c r="T17" i="12"/>
  <c r="Z17" i="12" s="1"/>
  <c r="P17" i="12"/>
  <c r="H17" i="12"/>
  <c r="L17" i="12" s="1"/>
  <c r="D17" i="12"/>
  <c r="B17" i="12"/>
  <c r="Z16" i="12"/>
  <c r="X16" i="12"/>
  <c r="T16" i="12"/>
  <c r="P16" i="12"/>
  <c r="N16" i="12"/>
  <c r="L16" i="12"/>
  <c r="H16" i="12"/>
  <c r="D16" i="12"/>
  <c r="B16" i="12"/>
  <c r="T15" i="12"/>
  <c r="P15" i="12"/>
  <c r="X15" i="12" s="1"/>
  <c r="Z15" i="12" s="1"/>
  <c r="H15" i="12"/>
  <c r="D15" i="12"/>
  <c r="L15" i="12" s="1"/>
  <c r="N15" i="12" s="1"/>
  <c r="B15" i="12"/>
  <c r="T14" i="12"/>
  <c r="P14" i="12"/>
  <c r="P12" i="12" s="1"/>
  <c r="H14" i="12"/>
  <c r="D14" i="12"/>
  <c r="L14" i="12" s="1"/>
  <c r="B14" i="12"/>
  <c r="T13" i="12"/>
  <c r="X13" i="12" s="1"/>
  <c r="P13" i="12"/>
  <c r="L13" i="12"/>
  <c r="H13" i="12"/>
  <c r="N13" i="12" s="1"/>
  <c r="D13" i="12"/>
  <c r="D12" i="12" s="1"/>
  <c r="B13" i="12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P13" i="11"/>
  <c r="H13" i="11"/>
  <c r="N13" i="11" s="1"/>
  <c r="D13" i="11"/>
  <c r="B13" i="11"/>
  <c r="T12" i="11"/>
  <c r="V24" i="11" s="1"/>
  <c r="P12" i="11"/>
  <c r="R20" i="11" s="1"/>
  <c r="H12" i="11"/>
  <c r="D12" i="1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34" i="10" s="1"/>
  <c r="P12" i="10"/>
  <c r="R36" i="10" s="1"/>
  <c r="H12" i="10"/>
  <c r="D12" i="10"/>
  <c r="F34" i="10" s="1"/>
  <c r="D5" i="10"/>
  <c r="D4" i="10"/>
  <c r="Z90" i="9"/>
  <c r="X90" i="9"/>
  <c r="N90" i="9"/>
  <c r="L90" i="9"/>
  <c r="T86" i="9"/>
  <c r="Z86" i="9" s="1"/>
  <c r="P86" i="9"/>
  <c r="X86" i="9" s="1"/>
  <c r="H86" i="9"/>
  <c r="N86" i="9" s="1"/>
  <c r="D86" i="9"/>
  <c r="X84" i="9"/>
  <c r="Z84" i="9" s="1"/>
  <c r="N84" i="9"/>
  <c r="L84" i="9"/>
  <c r="B84" i="9"/>
  <c r="Z83" i="9"/>
  <c r="X83" i="9"/>
  <c r="L83" i="9"/>
  <c r="N83" i="9" s="1"/>
  <c r="B83" i="9"/>
  <c r="T82" i="9"/>
  <c r="P82" i="9"/>
  <c r="L82" i="9"/>
  <c r="N82" i="9" s="1"/>
  <c r="H82" i="9"/>
  <c r="D82" i="9"/>
  <c r="B82" i="9"/>
  <c r="X81" i="9"/>
  <c r="Z81" i="9" s="1"/>
  <c r="N81" i="9"/>
  <c r="L81" i="9"/>
  <c r="B81" i="9"/>
  <c r="X80" i="9"/>
  <c r="Z80" i="9" s="1"/>
  <c r="T80" i="9"/>
  <c r="P80" i="9"/>
  <c r="H80" i="9"/>
  <c r="D80" i="9"/>
  <c r="L80" i="9" s="1"/>
  <c r="B80" i="9"/>
  <c r="X79" i="9"/>
  <c r="Z79" i="9" s="1"/>
  <c r="N79" i="9"/>
  <c r="L79" i="9"/>
  <c r="B79" i="9"/>
  <c r="Z78" i="9"/>
  <c r="X78" i="9"/>
  <c r="N78" i="9"/>
  <c r="L78" i="9"/>
  <c r="B78" i="9"/>
  <c r="T77" i="9"/>
  <c r="P77" i="9"/>
  <c r="L77" i="9"/>
  <c r="N77" i="9" s="1"/>
  <c r="H77" i="9"/>
  <c r="D77" i="9"/>
  <c r="B77" i="9"/>
  <c r="Z76" i="9"/>
  <c r="X76" i="9"/>
  <c r="N76" i="9"/>
  <c r="L76" i="9"/>
  <c r="B76" i="9"/>
  <c r="X75" i="9"/>
  <c r="Z75" i="9" s="1"/>
  <c r="N75" i="9"/>
  <c r="L75" i="9"/>
  <c r="B75" i="9"/>
  <c r="Z74" i="9"/>
  <c r="X74" i="9"/>
  <c r="N74" i="9"/>
  <c r="L74" i="9"/>
  <c r="B74" i="9"/>
  <c r="X73" i="9"/>
  <c r="Z73" i="9" s="1"/>
  <c r="N73" i="9"/>
  <c r="L73" i="9"/>
  <c r="B73" i="9"/>
  <c r="Z72" i="9"/>
  <c r="X72" i="9"/>
  <c r="N72" i="9"/>
  <c r="L72" i="9"/>
  <c r="B72" i="9"/>
  <c r="T71" i="9"/>
  <c r="P71" i="9"/>
  <c r="X71" i="9" s="1"/>
  <c r="Z71" i="9" s="1"/>
  <c r="J71" i="9"/>
  <c r="H71" i="9"/>
  <c r="D71" i="9"/>
  <c r="B71" i="9"/>
  <c r="Z70" i="9"/>
  <c r="X70" i="9"/>
  <c r="N70" i="9"/>
  <c r="L70" i="9"/>
  <c r="B70" i="9"/>
  <c r="V69" i="9"/>
  <c r="T69" i="9"/>
  <c r="P69" i="9"/>
  <c r="N69" i="9"/>
  <c r="L69" i="9"/>
  <c r="H69" i="9"/>
  <c r="D69" i="9"/>
  <c r="B69" i="9"/>
  <c r="X68" i="9"/>
  <c r="Z68" i="9" s="1"/>
  <c r="L68" i="9"/>
  <c r="N68" i="9" s="1"/>
  <c r="B68" i="9"/>
  <c r="X67" i="9"/>
  <c r="Z67" i="9" s="1"/>
  <c r="T67" i="9"/>
  <c r="P67" i="9"/>
  <c r="H67" i="9"/>
  <c r="D67" i="9"/>
  <c r="L67" i="9" s="1"/>
  <c r="B67" i="9"/>
  <c r="Z66" i="9"/>
  <c r="X66" i="9"/>
  <c r="N66" i="9"/>
  <c r="L66" i="9"/>
  <c r="B66" i="9"/>
  <c r="Z65" i="9"/>
  <c r="X65" i="9"/>
  <c r="L65" i="9"/>
  <c r="N65" i="9" s="1"/>
  <c r="J65" i="9"/>
  <c r="B65" i="9"/>
  <c r="Z64" i="9"/>
  <c r="X64" i="9"/>
  <c r="V64" i="9"/>
  <c r="N64" i="9"/>
  <c r="L64" i="9"/>
  <c r="B64" i="9"/>
  <c r="X63" i="9"/>
  <c r="Z63" i="9" s="1"/>
  <c r="N63" i="9"/>
  <c r="L63" i="9"/>
  <c r="B63" i="9"/>
  <c r="T62" i="9"/>
  <c r="Z62" i="9" s="1"/>
  <c r="P62" i="9"/>
  <c r="X62" i="9" s="1"/>
  <c r="J62" i="9"/>
  <c r="H62" i="9"/>
  <c r="D62" i="9"/>
  <c r="L62" i="9" s="1"/>
  <c r="N62" i="9" s="1"/>
  <c r="B62" i="9"/>
  <c r="Z61" i="9"/>
  <c r="X61" i="9"/>
  <c r="L61" i="9"/>
  <c r="N61" i="9" s="1"/>
  <c r="J61" i="9"/>
  <c r="B61" i="9"/>
  <c r="X60" i="9"/>
  <c r="Z60" i="9" s="1"/>
  <c r="V60" i="9"/>
  <c r="L60" i="9"/>
  <c r="N60" i="9" s="1"/>
  <c r="B60" i="9"/>
  <c r="X59" i="9"/>
  <c r="Z59" i="9" s="1"/>
  <c r="N59" i="9"/>
  <c r="L59" i="9"/>
  <c r="B59" i="9"/>
  <c r="T58" i="9"/>
  <c r="P58" i="9"/>
  <c r="X58" i="9" s="1"/>
  <c r="J58" i="9"/>
  <c r="H58" i="9"/>
  <c r="D58" i="9"/>
  <c r="L58" i="9" s="1"/>
  <c r="N58" i="9" s="1"/>
  <c r="B58" i="9"/>
  <c r="Z57" i="9"/>
  <c r="X57" i="9"/>
  <c r="L57" i="9"/>
  <c r="N57" i="9" s="1"/>
  <c r="J57" i="9"/>
  <c r="B57" i="9"/>
  <c r="V56" i="9"/>
  <c r="T56" i="9"/>
  <c r="P56" i="9"/>
  <c r="X56" i="9" s="1"/>
  <c r="Z56" i="9" s="1"/>
  <c r="H56" i="9"/>
  <c r="D56" i="9"/>
  <c r="B56" i="9"/>
  <c r="Z55" i="9"/>
  <c r="X55" i="9"/>
  <c r="N55" i="9"/>
  <c r="L55" i="9"/>
  <c r="B55" i="9"/>
  <c r="T54" i="9"/>
  <c r="P54" i="9"/>
  <c r="L54" i="9"/>
  <c r="H54" i="9"/>
  <c r="N54" i="9" s="1"/>
  <c r="D54" i="9"/>
  <c r="B54" i="9"/>
  <c r="X53" i="9"/>
  <c r="Z53" i="9" s="1"/>
  <c r="V53" i="9"/>
  <c r="N53" i="9"/>
  <c r="L53" i="9"/>
  <c r="B53" i="9"/>
  <c r="X52" i="9"/>
  <c r="Z52" i="9" s="1"/>
  <c r="N52" i="9"/>
  <c r="L52" i="9"/>
  <c r="J52" i="9"/>
  <c r="B52" i="9"/>
  <c r="T51" i="9"/>
  <c r="P51" i="9"/>
  <c r="X51" i="9" s="1"/>
  <c r="Z51" i="9" s="1"/>
  <c r="J51" i="9"/>
  <c r="H51" i="9"/>
  <c r="D51" i="9"/>
  <c r="B51" i="9"/>
  <c r="Z50" i="9"/>
  <c r="X50" i="9"/>
  <c r="N50" i="9"/>
  <c r="L50" i="9"/>
  <c r="B50" i="9"/>
  <c r="V49" i="9"/>
  <c r="T49" i="9"/>
  <c r="P49" i="9"/>
  <c r="L49" i="9"/>
  <c r="N49" i="9" s="1"/>
  <c r="H49" i="9"/>
  <c r="D49" i="9"/>
  <c r="B49" i="9"/>
  <c r="X48" i="9"/>
  <c r="Z48" i="9" s="1"/>
  <c r="V48" i="9"/>
  <c r="N48" i="9"/>
  <c r="L48" i="9"/>
  <c r="B48" i="9"/>
  <c r="X47" i="9"/>
  <c r="Z47" i="9" s="1"/>
  <c r="T47" i="9"/>
  <c r="P47" i="9"/>
  <c r="H47" i="9"/>
  <c r="N47" i="9" s="1"/>
  <c r="D47" i="9"/>
  <c r="L47" i="9" s="1"/>
  <c r="B47" i="9"/>
  <c r="Z46" i="9"/>
  <c r="X46" i="9"/>
  <c r="N46" i="9"/>
  <c r="L46" i="9"/>
  <c r="B46" i="9"/>
  <c r="T45" i="9"/>
  <c r="P45" i="9"/>
  <c r="X45" i="9" s="1"/>
  <c r="N45" i="9"/>
  <c r="H45" i="9"/>
  <c r="D45" i="9"/>
  <c r="L45" i="9" s="1"/>
  <c r="B45" i="9"/>
  <c r="X44" i="9"/>
  <c r="Z44" i="9" s="1"/>
  <c r="L44" i="9"/>
  <c r="N44" i="9" s="1"/>
  <c r="J44" i="9"/>
  <c r="B44" i="9"/>
  <c r="T43" i="9"/>
  <c r="P43" i="9"/>
  <c r="X43" i="9" s="1"/>
  <c r="Z43" i="9" s="1"/>
  <c r="J43" i="9"/>
  <c r="H43" i="9"/>
  <c r="D43" i="9"/>
  <c r="B43" i="9"/>
  <c r="Z42" i="9"/>
  <c r="X42" i="9"/>
  <c r="N42" i="9"/>
  <c r="L42" i="9"/>
  <c r="B42" i="9"/>
  <c r="V41" i="9"/>
  <c r="T41" i="9"/>
  <c r="P41" i="9"/>
  <c r="L41" i="9"/>
  <c r="N41" i="9" s="1"/>
  <c r="H41" i="9"/>
  <c r="F41" i="9"/>
  <c r="D41" i="9"/>
  <c r="B41" i="9"/>
  <c r="X40" i="9"/>
  <c r="Z40" i="9" s="1"/>
  <c r="V40" i="9"/>
  <c r="L40" i="9"/>
  <c r="N40" i="9" s="1"/>
  <c r="B40" i="9"/>
  <c r="X39" i="9"/>
  <c r="Z39" i="9" s="1"/>
  <c r="T39" i="9"/>
  <c r="P39" i="9"/>
  <c r="H39" i="9"/>
  <c r="D39" i="9"/>
  <c r="L39" i="9" s="1"/>
  <c r="B39" i="9"/>
  <c r="Z38" i="9"/>
  <c r="X38" i="9"/>
  <c r="N38" i="9"/>
  <c r="L38" i="9"/>
  <c r="F38" i="9"/>
  <c r="B38" i="9"/>
  <c r="T37" i="9"/>
  <c r="Z37" i="9" s="1"/>
  <c r="P37" i="9"/>
  <c r="X37" i="9" s="1"/>
  <c r="H37" i="9"/>
  <c r="D37" i="9"/>
  <c r="L37" i="9" s="1"/>
  <c r="N37" i="9" s="1"/>
  <c r="B37" i="9"/>
  <c r="X36" i="9"/>
  <c r="Z36" i="9" s="1"/>
  <c r="L36" i="9"/>
  <c r="N36" i="9" s="1"/>
  <c r="J36" i="9"/>
  <c r="B36" i="9"/>
  <c r="Z35" i="9"/>
  <c r="X35" i="9"/>
  <c r="N35" i="9"/>
  <c r="L35" i="9"/>
  <c r="B35" i="9"/>
  <c r="Z34" i="9"/>
  <c r="X34" i="9"/>
  <c r="N34" i="9"/>
  <c r="L34" i="9"/>
  <c r="F34" i="9"/>
  <c r="B34" i="9"/>
  <c r="Z33" i="9"/>
  <c r="X33" i="9"/>
  <c r="L33" i="9"/>
  <c r="N33" i="9" s="1"/>
  <c r="J33" i="9"/>
  <c r="B33" i="9"/>
  <c r="X32" i="9"/>
  <c r="Z32" i="9" s="1"/>
  <c r="V32" i="9"/>
  <c r="L32" i="9"/>
  <c r="N32" i="9" s="1"/>
  <c r="B32" i="9"/>
  <c r="X31" i="9"/>
  <c r="Z31" i="9" s="1"/>
  <c r="N31" i="9"/>
  <c r="L31" i="9"/>
  <c r="B31" i="9"/>
  <c r="T30" i="9"/>
  <c r="P30" i="9"/>
  <c r="X30" i="9" s="1"/>
  <c r="J30" i="9"/>
  <c r="H30" i="9"/>
  <c r="D30" i="9"/>
  <c r="L30" i="9" s="1"/>
  <c r="N30" i="9" s="1"/>
  <c r="B30" i="9"/>
  <c r="Z29" i="9"/>
  <c r="X29" i="9"/>
  <c r="V29" i="9"/>
  <c r="L29" i="9"/>
  <c r="N29" i="9" s="1"/>
  <c r="J29" i="9"/>
  <c r="B29" i="9"/>
  <c r="X28" i="9"/>
  <c r="Z28" i="9" s="1"/>
  <c r="V28" i="9"/>
  <c r="L28" i="9"/>
  <c r="N28" i="9" s="1"/>
  <c r="B28" i="9"/>
  <c r="X27" i="9"/>
  <c r="Z27" i="9" s="1"/>
  <c r="N27" i="9"/>
  <c r="L27" i="9"/>
  <c r="B27" i="9"/>
  <c r="Z26" i="9"/>
  <c r="X26" i="9"/>
  <c r="N26" i="9"/>
  <c r="L26" i="9"/>
  <c r="B26" i="9"/>
  <c r="X25" i="9"/>
  <c r="Z25" i="9" s="1"/>
  <c r="V25" i="9"/>
  <c r="N25" i="9"/>
  <c r="L25" i="9"/>
  <c r="J25" i="9"/>
  <c r="F25" i="9"/>
  <c r="B25" i="9"/>
  <c r="X24" i="9"/>
  <c r="Z24" i="9" s="1"/>
  <c r="L24" i="9"/>
  <c r="N24" i="9" s="1"/>
  <c r="J24" i="9"/>
  <c r="B24" i="9"/>
  <c r="Z23" i="9"/>
  <c r="X23" i="9"/>
  <c r="L23" i="9"/>
  <c r="N23" i="9" s="1"/>
  <c r="B23" i="9"/>
  <c r="Z22" i="9"/>
  <c r="X22" i="9"/>
  <c r="N22" i="9"/>
  <c r="L22" i="9"/>
  <c r="F22" i="9"/>
  <c r="B22" i="9"/>
  <c r="Z21" i="9"/>
  <c r="X21" i="9"/>
  <c r="V21" i="9"/>
  <c r="L21" i="9"/>
  <c r="N21" i="9" s="1"/>
  <c r="J21" i="9"/>
  <c r="B21" i="9"/>
  <c r="X20" i="9"/>
  <c r="Z20" i="9" s="1"/>
  <c r="V20" i="9"/>
  <c r="L20" i="9"/>
  <c r="N20" i="9" s="1"/>
  <c r="J20" i="9"/>
  <c r="B20" i="9"/>
  <c r="X19" i="9"/>
  <c r="Z19" i="9" s="1"/>
  <c r="T19" i="9"/>
  <c r="P19" i="9"/>
  <c r="J19" i="9"/>
  <c r="H19" i="9"/>
  <c r="N19" i="9" s="1"/>
  <c r="D19" i="9"/>
  <c r="L19" i="9" s="1"/>
  <c r="B19" i="9"/>
  <c r="T18" i="9"/>
  <c r="P18" i="9"/>
  <c r="X18" i="9" s="1"/>
  <c r="L18" i="9"/>
  <c r="J18" i="9"/>
  <c r="H18" i="9"/>
  <c r="N18" i="9" s="1"/>
  <c r="D18" i="9"/>
  <c r="T16" i="9"/>
  <c r="Z16" i="9" s="1"/>
  <c r="J16" i="9"/>
  <c r="D16" i="9"/>
  <c r="L16" i="9" s="1"/>
  <c r="T14" i="9"/>
  <c r="Z14" i="9" s="1"/>
  <c r="P14" i="9"/>
  <c r="L14" i="9"/>
  <c r="J14" i="9"/>
  <c r="H14" i="9"/>
  <c r="H16" i="9" s="1"/>
  <c r="D14" i="9"/>
  <c r="Z12" i="9"/>
  <c r="T12" i="9"/>
  <c r="V65" i="9" s="1"/>
  <c r="P12" i="9"/>
  <c r="R71" i="9" s="1"/>
  <c r="N12" i="9"/>
  <c r="H12" i="9"/>
  <c r="J81" i="9" s="1"/>
  <c r="D12" i="9"/>
  <c r="F78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34" i="8" s="1"/>
  <c r="P12" i="8"/>
  <c r="R36" i="8" s="1"/>
  <c r="H12" i="8"/>
  <c r="J21" i="8" s="1"/>
  <c r="D12" i="8"/>
  <c r="F34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2" i="7" s="1"/>
  <c r="P12" i="7"/>
  <c r="R22" i="7" s="1"/>
  <c r="H12" i="7"/>
  <c r="J20" i="7" s="1"/>
  <c r="D12" i="7"/>
  <c r="F22" i="7" s="1"/>
  <c r="D5" i="7"/>
  <c r="D4" i="7"/>
  <c r="R31" i="6"/>
  <c r="J31" i="6"/>
  <c r="X29" i="6"/>
  <c r="Z29" i="6" s="1"/>
  <c r="T29" i="6"/>
  <c r="R29" i="6"/>
  <c r="P29" i="6"/>
  <c r="J29" i="6"/>
  <c r="H29" i="6"/>
  <c r="N29" i="6" s="1"/>
  <c r="D29" i="6"/>
  <c r="L29" i="6" s="1"/>
  <c r="T28" i="6"/>
  <c r="R28" i="6"/>
  <c r="P28" i="6"/>
  <c r="X28" i="6" s="1"/>
  <c r="Z28" i="6" s="1"/>
  <c r="J28" i="6"/>
  <c r="H28" i="6"/>
  <c r="N28" i="6" s="1"/>
  <c r="D28" i="6"/>
  <c r="L28" i="6" s="1"/>
  <c r="R26" i="6"/>
  <c r="J26" i="6"/>
  <c r="Z24" i="6"/>
  <c r="X24" i="6"/>
  <c r="N24" i="6"/>
  <c r="L24" i="6"/>
  <c r="R22" i="6"/>
  <c r="J22" i="6"/>
  <c r="Z20" i="6"/>
  <c r="X20" i="6"/>
  <c r="T20" i="6"/>
  <c r="R20" i="6"/>
  <c r="P20" i="6"/>
  <c r="J20" i="6"/>
  <c r="H20" i="6"/>
  <c r="N20" i="6" s="1"/>
  <c r="D20" i="6"/>
  <c r="L20" i="6" s="1"/>
  <c r="Z18" i="6"/>
  <c r="T18" i="6"/>
  <c r="R18" i="6"/>
  <c r="P18" i="6"/>
  <c r="X18" i="6" s="1"/>
  <c r="J18" i="6"/>
  <c r="H18" i="6"/>
  <c r="N18" i="6" s="1"/>
  <c r="D18" i="6"/>
  <c r="L18" i="6" s="1"/>
  <c r="R16" i="6"/>
  <c r="J16" i="6"/>
  <c r="H16" i="6"/>
  <c r="H22" i="6" s="1"/>
  <c r="Z14" i="6"/>
  <c r="T14" i="6"/>
  <c r="R14" i="6"/>
  <c r="P14" i="6"/>
  <c r="X14" i="6" s="1"/>
  <c r="J14" i="6"/>
  <c r="H14" i="6"/>
  <c r="N14" i="6" s="1"/>
  <c r="D14" i="6"/>
  <c r="L14" i="6" s="1"/>
  <c r="Z12" i="6"/>
  <c r="X12" i="6"/>
  <c r="T12" i="6"/>
  <c r="V29" i="6" s="1"/>
  <c r="P12" i="6"/>
  <c r="P16" i="6" s="1"/>
  <c r="N12" i="6"/>
  <c r="L12" i="6"/>
  <c r="H12" i="6"/>
  <c r="J24" i="6" s="1"/>
  <c r="D12" i="6"/>
  <c r="F29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P13" i="5"/>
  <c r="H13" i="5"/>
  <c r="N13" i="5" s="1"/>
  <c r="D13" i="5"/>
  <c r="B13" i="5"/>
  <c r="T12" i="5"/>
  <c r="V24" i="5" s="1"/>
  <c r="P12" i="5"/>
  <c r="R20" i="5" s="1"/>
  <c r="H12" i="5"/>
  <c r="J18" i="5" s="1"/>
  <c r="D12" i="5"/>
  <c r="F24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34" i="4" s="1"/>
  <c r="P12" i="4"/>
  <c r="R36" i="4" s="1"/>
  <c r="H12" i="4"/>
  <c r="J21" i="4" s="1"/>
  <c r="D12" i="4"/>
  <c r="F34" i="4" s="1"/>
  <c r="D5" i="4"/>
  <c r="D4" i="4"/>
  <c r="T266" i="3"/>
  <c r="P266" i="3"/>
  <c r="X266" i="3" s="1"/>
  <c r="H266" i="3"/>
  <c r="D266" i="3"/>
  <c r="L266" i="3" s="1"/>
  <c r="X265" i="3"/>
  <c r="Z265" i="3" s="1"/>
  <c r="T265" i="3"/>
  <c r="P265" i="3"/>
  <c r="H265" i="3"/>
  <c r="L265" i="3" s="1"/>
  <c r="D265" i="3"/>
  <c r="X261" i="3"/>
  <c r="Z261" i="3" s="1"/>
  <c r="L261" i="3"/>
  <c r="N261" i="3" s="1"/>
  <c r="T257" i="3"/>
  <c r="Z257" i="3" s="1"/>
  <c r="P257" i="3"/>
  <c r="X257" i="3" s="1"/>
  <c r="H257" i="3"/>
  <c r="N257" i="3" s="1"/>
  <c r="D257" i="3"/>
  <c r="L257" i="3" s="1"/>
  <c r="B257" i="3"/>
  <c r="Z256" i="3"/>
  <c r="T256" i="3"/>
  <c r="P256" i="3"/>
  <c r="X256" i="3" s="1"/>
  <c r="L256" i="3"/>
  <c r="N256" i="3" s="1"/>
  <c r="H256" i="3"/>
  <c r="D256" i="3"/>
  <c r="B256" i="3"/>
  <c r="Z255" i="3"/>
  <c r="T255" i="3"/>
  <c r="X255" i="3" s="1"/>
  <c r="P255" i="3"/>
  <c r="H255" i="3"/>
  <c r="N255" i="3" s="1"/>
  <c r="D255" i="3"/>
  <c r="L255" i="3" s="1"/>
  <c r="B255" i="3"/>
  <c r="T254" i="3"/>
  <c r="P254" i="3"/>
  <c r="X254" i="3" s="1"/>
  <c r="N254" i="3"/>
  <c r="H254" i="3"/>
  <c r="D254" i="3"/>
  <c r="L254" i="3" s="1"/>
  <c r="B254" i="3"/>
  <c r="X253" i="3"/>
  <c r="Z253" i="3" s="1"/>
  <c r="T253" i="3"/>
  <c r="P253" i="3"/>
  <c r="N253" i="3"/>
  <c r="H253" i="3"/>
  <c r="L253" i="3" s="1"/>
  <c r="D253" i="3"/>
  <c r="B253" i="3"/>
  <c r="X252" i="3"/>
  <c r="Z252" i="3" s="1"/>
  <c r="T252" i="3"/>
  <c r="P252" i="3"/>
  <c r="H252" i="3"/>
  <c r="D252" i="3"/>
  <c r="B252" i="3"/>
  <c r="T251" i="3"/>
  <c r="P251" i="3"/>
  <c r="X251" i="3" s="1"/>
  <c r="N251" i="3"/>
  <c r="L251" i="3"/>
  <c r="H251" i="3"/>
  <c r="D251" i="3"/>
  <c r="D249" i="3" s="1"/>
  <c r="B251" i="3"/>
  <c r="T250" i="3"/>
  <c r="P250" i="3"/>
  <c r="X250" i="3" s="1"/>
  <c r="Z250" i="3" s="1"/>
  <c r="L250" i="3"/>
  <c r="N250" i="3" s="1"/>
  <c r="H250" i="3"/>
  <c r="D250" i="3"/>
  <c r="B250" i="3"/>
  <c r="P249" i="3"/>
  <c r="X247" i="3"/>
  <c r="Z247" i="3" s="1"/>
  <c r="L247" i="3"/>
  <c r="N247" i="3" s="1"/>
  <c r="B247" i="3"/>
  <c r="T246" i="3"/>
  <c r="P246" i="3"/>
  <c r="X246" i="3" s="1"/>
  <c r="Z246" i="3" s="1"/>
  <c r="L246" i="3"/>
  <c r="N246" i="3" s="1"/>
  <c r="H246" i="3"/>
  <c r="D246" i="3"/>
  <c r="B246" i="3"/>
  <c r="Z245" i="3"/>
  <c r="X245" i="3"/>
  <c r="N245" i="3"/>
  <c r="L245" i="3"/>
  <c r="B245" i="3"/>
  <c r="Z244" i="3"/>
  <c r="X244" i="3"/>
  <c r="N244" i="3"/>
  <c r="L244" i="3"/>
  <c r="B244" i="3"/>
  <c r="X243" i="3"/>
  <c r="Z243" i="3" s="1"/>
  <c r="L243" i="3"/>
  <c r="N243" i="3" s="1"/>
  <c r="B243" i="3"/>
  <c r="T242" i="3"/>
  <c r="P242" i="3"/>
  <c r="X242" i="3" s="1"/>
  <c r="Z242" i="3" s="1"/>
  <c r="L242" i="3"/>
  <c r="N242" i="3" s="1"/>
  <c r="H242" i="3"/>
  <c r="D242" i="3"/>
  <c r="B242" i="3"/>
  <c r="Z241" i="3"/>
  <c r="X241" i="3"/>
  <c r="N241" i="3"/>
  <c r="L241" i="3"/>
  <c r="B241" i="3"/>
  <c r="X240" i="3"/>
  <c r="Z240" i="3" s="1"/>
  <c r="T240" i="3"/>
  <c r="P240" i="3"/>
  <c r="L240" i="3"/>
  <c r="N240" i="3" s="1"/>
  <c r="H240" i="3"/>
  <c r="D240" i="3"/>
  <c r="B240" i="3"/>
  <c r="X239" i="3"/>
  <c r="Z239" i="3" s="1"/>
  <c r="L239" i="3"/>
  <c r="N239" i="3" s="1"/>
  <c r="B239" i="3"/>
  <c r="X238" i="3"/>
  <c r="Z238" i="3" s="1"/>
  <c r="N238" i="3"/>
  <c r="L238" i="3"/>
  <c r="B238" i="3"/>
  <c r="Z237" i="3"/>
  <c r="T237" i="3"/>
  <c r="X237" i="3" s="1"/>
  <c r="P237" i="3"/>
  <c r="H237" i="3"/>
  <c r="N237" i="3" s="1"/>
  <c r="D237" i="3"/>
  <c r="L237" i="3" s="1"/>
  <c r="B237" i="3"/>
  <c r="X236" i="3"/>
  <c r="Z236" i="3" s="1"/>
  <c r="L236" i="3"/>
  <c r="N236" i="3" s="1"/>
  <c r="B236" i="3"/>
  <c r="X235" i="3"/>
  <c r="Z235" i="3" s="1"/>
  <c r="L235" i="3"/>
  <c r="N235" i="3" s="1"/>
  <c r="B235" i="3"/>
  <c r="X234" i="3"/>
  <c r="Z234" i="3" s="1"/>
  <c r="N234" i="3"/>
  <c r="L234" i="3"/>
  <c r="B234" i="3"/>
  <c r="Z233" i="3"/>
  <c r="X233" i="3"/>
  <c r="N233" i="3"/>
  <c r="L233" i="3"/>
  <c r="B233" i="3"/>
  <c r="X232" i="3"/>
  <c r="Z232" i="3" s="1"/>
  <c r="L232" i="3"/>
  <c r="N232" i="3" s="1"/>
  <c r="B232" i="3"/>
  <c r="X231" i="3"/>
  <c r="Z231" i="3" s="1"/>
  <c r="L231" i="3"/>
  <c r="N231" i="3" s="1"/>
  <c r="B231" i="3"/>
  <c r="Z230" i="3"/>
  <c r="X230" i="3"/>
  <c r="L230" i="3"/>
  <c r="N230" i="3" s="1"/>
  <c r="B230" i="3"/>
  <c r="Z229" i="3"/>
  <c r="X229" i="3"/>
  <c r="N229" i="3"/>
  <c r="L229" i="3"/>
  <c r="B229" i="3"/>
  <c r="X228" i="3"/>
  <c r="Z228" i="3" s="1"/>
  <c r="L228" i="3"/>
  <c r="N228" i="3" s="1"/>
  <c r="B228" i="3"/>
  <c r="T227" i="3"/>
  <c r="Z227" i="3" s="1"/>
  <c r="P227" i="3"/>
  <c r="X227" i="3" s="1"/>
  <c r="H227" i="3"/>
  <c r="D227" i="3"/>
  <c r="L227" i="3" s="1"/>
  <c r="B227" i="3"/>
  <c r="Z226" i="3"/>
  <c r="X226" i="3"/>
  <c r="N226" i="3"/>
  <c r="L226" i="3"/>
  <c r="B226" i="3"/>
  <c r="X225" i="3"/>
  <c r="Z225" i="3" s="1"/>
  <c r="N225" i="3"/>
  <c r="L225" i="3"/>
  <c r="B225" i="3"/>
  <c r="T224" i="3"/>
  <c r="P224" i="3"/>
  <c r="H224" i="3"/>
  <c r="D224" i="3"/>
  <c r="L224" i="3" s="1"/>
  <c r="N224" i="3" s="1"/>
  <c r="B224" i="3"/>
  <c r="X223" i="3"/>
  <c r="Z223" i="3" s="1"/>
  <c r="L223" i="3"/>
  <c r="N223" i="3" s="1"/>
  <c r="B223" i="3"/>
  <c r="Z222" i="3"/>
  <c r="X222" i="3"/>
  <c r="L222" i="3"/>
  <c r="N222" i="3" s="1"/>
  <c r="B222" i="3"/>
  <c r="Z221" i="3"/>
  <c r="X221" i="3"/>
  <c r="N221" i="3"/>
  <c r="L221" i="3"/>
  <c r="B221" i="3"/>
  <c r="X220" i="3"/>
  <c r="Z220" i="3" s="1"/>
  <c r="N220" i="3"/>
  <c r="L220" i="3"/>
  <c r="B220" i="3"/>
  <c r="X219" i="3"/>
  <c r="Z219" i="3" s="1"/>
  <c r="L219" i="3"/>
  <c r="N219" i="3" s="1"/>
  <c r="B219" i="3"/>
  <c r="X218" i="3"/>
  <c r="Z218" i="3" s="1"/>
  <c r="T218" i="3"/>
  <c r="P218" i="3"/>
  <c r="H218" i="3"/>
  <c r="D218" i="3"/>
  <c r="L218" i="3" s="1"/>
  <c r="B218" i="3"/>
  <c r="Z217" i="3"/>
  <c r="X217" i="3"/>
  <c r="N217" i="3"/>
  <c r="L217" i="3"/>
  <c r="B217" i="3"/>
  <c r="X216" i="3"/>
  <c r="Z216" i="3" s="1"/>
  <c r="N216" i="3"/>
  <c r="L216" i="3"/>
  <c r="B216" i="3"/>
  <c r="X215" i="3"/>
  <c r="Z215" i="3" s="1"/>
  <c r="N215" i="3"/>
  <c r="L215" i="3"/>
  <c r="B215" i="3"/>
  <c r="X214" i="3"/>
  <c r="Z214" i="3" s="1"/>
  <c r="T214" i="3"/>
  <c r="P214" i="3"/>
  <c r="H214" i="3"/>
  <c r="D214" i="3"/>
  <c r="L214" i="3" s="1"/>
  <c r="B214" i="3"/>
  <c r="Z213" i="3"/>
  <c r="X213" i="3"/>
  <c r="N213" i="3"/>
  <c r="L213" i="3"/>
  <c r="B213" i="3"/>
  <c r="Z212" i="3"/>
  <c r="X212" i="3"/>
  <c r="L212" i="3"/>
  <c r="N212" i="3" s="1"/>
  <c r="B212" i="3"/>
  <c r="Z211" i="3"/>
  <c r="X211" i="3"/>
  <c r="N211" i="3"/>
  <c r="L211" i="3"/>
  <c r="B211" i="3"/>
  <c r="X210" i="3"/>
  <c r="Z210" i="3" s="1"/>
  <c r="N210" i="3"/>
  <c r="L210" i="3"/>
  <c r="B210" i="3"/>
  <c r="T209" i="3"/>
  <c r="P209" i="3"/>
  <c r="H209" i="3"/>
  <c r="D209" i="3"/>
  <c r="L209" i="3" s="1"/>
  <c r="N209" i="3" s="1"/>
  <c r="B209" i="3"/>
  <c r="Z208" i="3"/>
  <c r="X208" i="3"/>
  <c r="L208" i="3"/>
  <c r="N208" i="3" s="1"/>
  <c r="B208" i="3"/>
  <c r="T207" i="3"/>
  <c r="Z207" i="3" s="1"/>
  <c r="P207" i="3"/>
  <c r="X207" i="3" s="1"/>
  <c r="H207" i="3"/>
  <c r="D207" i="3"/>
  <c r="B207" i="3"/>
  <c r="Z206" i="3"/>
  <c r="X206" i="3"/>
  <c r="L206" i="3"/>
  <c r="N206" i="3" s="1"/>
  <c r="B206" i="3"/>
  <c r="T205" i="3"/>
  <c r="P205" i="3"/>
  <c r="L205" i="3"/>
  <c r="H205" i="3"/>
  <c r="N205" i="3" s="1"/>
  <c r="D205" i="3"/>
  <c r="B205" i="3"/>
  <c r="Z204" i="3"/>
  <c r="X204" i="3"/>
  <c r="N204" i="3"/>
  <c r="L204" i="3"/>
  <c r="B204" i="3"/>
  <c r="X203" i="3"/>
  <c r="T203" i="3"/>
  <c r="Z203" i="3" s="1"/>
  <c r="P203" i="3"/>
  <c r="N203" i="3"/>
  <c r="H203" i="3"/>
  <c r="D203" i="3"/>
  <c r="B203" i="3"/>
  <c r="Z202" i="3"/>
  <c r="X202" i="3"/>
  <c r="N202" i="3"/>
  <c r="L202" i="3"/>
  <c r="B202" i="3"/>
  <c r="Z201" i="3"/>
  <c r="X201" i="3"/>
  <c r="L201" i="3"/>
  <c r="N201" i="3" s="1"/>
  <c r="B201" i="3"/>
  <c r="T200" i="3"/>
  <c r="P200" i="3"/>
  <c r="L200" i="3"/>
  <c r="N200" i="3" s="1"/>
  <c r="H200" i="3"/>
  <c r="D200" i="3"/>
  <c r="B200" i="3"/>
  <c r="X199" i="3"/>
  <c r="Z199" i="3" s="1"/>
  <c r="L199" i="3"/>
  <c r="N199" i="3" s="1"/>
  <c r="B199" i="3"/>
  <c r="X198" i="3"/>
  <c r="Z198" i="3" s="1"/>
  <c r="T198" i="3"/>
  <c r="P198" i="3"/>
  <c r="H198" i="3"/>
  <c r="D198" i="3"/>
  <c r="L198" i="3" s="1"/>
  <c r="B198" i="3"/>
  <c r="Z197" i="3"/>
  <c r="X197" i="3"/>
  <c r="N197" i="3"/>
  <c r="L197" i="3"/>
  <c r="B197" i="3"/>
  <c r="T196" i="3"/>
  <c r="P196" i="3"/>
  <c r="N196" i="3"/>
  <c r="H196" i="3"/>
  <c r="D196" i="3"/>
  <c r="L196" i="3" s="1"/>
  <c r="B196" i="3"/>
  <c r="X195" i="3"/>
  <c r="Z195" i="3" s="1"/>
  <c r="L195" i="3"/>
  <c r="N195" i="3" s="1"/>
  <c r="B195" i="3"/>
  <c r="T194" i="3"/>
  <c r="P194" i="3"/>
  <c r="X194" i="3" s="1"/>
  <c r="Z194" i="3" s="1"/>
  <c r="H194" i="3"/>
  <c r="D194" i="3"/>
  <c r="B194" i="3"/>
  <c r="Z193" i="3"/>
  <c r="X193" i="3"/>
  <c r="N193" i="3"/>
  <c r="L193" i="3"/>
  <c r="B193" i="3"/>
  <c r="X192" i="3"/>
  <c r="Z192" i="3" s="1"/>
  <c r="N192" i="3"/>
  <c r="L192" i="3"/>
  <c r="B192" i="3"/>
  <c r="T191" i="3"/>
  <c r="P191" i="3"/>
  <c r="X191" i="3" s="1"/>
  <c r="Z191" i="3" s="1"/>
  <c r="H191" i="3"/>
  <c r="D191" i="3"/>
  <c r="B191" i="3"/>
  <c r="Z190" i="3"/>
  <c r="X190" i="3"/>
  <c r="N190" i="3"/>
  <c r="L190" i="3"/>
  <c r="B190" i="3"/>
  <c r="T189" i="3"/>
  <c r="P189" i="3"/>
  <c r="L189" i="3"/>
  <c r="H189" i="3"/>
  <c r="N189" i="3" s="1"/>
  <c r="D189" i="3"/>
  <c r="B189" i="3"/>
  <c r="Z188" i="3"/>
  <c r="X188" i="3"/>
  <c r="N188" i="3"/>
  <c r="L188" i="3"/>
  <c r="B188" i="3"/>
  <c r="X187" i="3"/>
  <c r="T187" i="3"/>
  <c r="Z187" i="3" s="1"/>
  <c r="P187" i="3"/>
  <c r="H187" i="3"/>
  <c r="N187" i="3" s="1"/>
  <c r="D187" i="3"/>
  <c r="L187" i="3" s="1"/>
  <c r="B187" i="3"/>
  <c r="Z186" i="3"/>
  <c r="X186" i="3"/>
  <c r="N186" i="3"/>
  <c r="L186" i="3"/>
  <c r="B186" i="3"/>
  <c r="T185" i="3"/>
  <c r="P185" i="3"/>
  <c r="X185" i="3" s="1"/>
  <c r="H185" i="3"/>
  <c r="N185" i="3" s="1"/>
  <c r="D185" i="3"/>
  <c r="L185" i="3" s="1"/>
  <c r="B185" i="3"/>
  <c r="Z184" i="3"/>
  <c r="X184" i="3"/>
  <c r="N184" i="3"/>
  <c r="L184" i="3"/>
  <c r="B184" i="3"/>
  <c r="Z183" i="3"/>
  <c r="X183" i="3"/>
  <c r="N183" i="3"/>
  <c r="L183" i="3"/>
  <c r="B183" i="3"/>
  <c r="Z182" i="3"/>
  <c r="T182" i="3"/>
  <c r="P182" i="3"/>
  <c r="X182" i="3" s="1"/>
  <c r="H182" i="3"/>
  <c r="L182" i="3" s="1"/>
  <c r="N182" i="3" s="1"/>
  <c r="D182" i="3"/>
  <c r="B182" i="3"/>
  <c r="X181" i="3"/>
  <c r="Z181" i="3" s="1"/>
  <c r="N181" i="3"/>
  <c r="L181" i="3"/>
  <c r="B181" i="3"/>
  <c r="Z180" i="3"/>
  <c r="X180" i="3"/>
  <c r="N180" i="3"/>
  <c r="L180" i="3"/>
  <c r="B180" i="3"/>
  <c r="T179" i="3"/>
  <c r="P179" i="3"/>
  <c r="X179" i="3" s="1"/>
  <c r="H179" i="3"/>
  <c r="D179" i="3"/>
  <c r="B179" i="3"/>
  <c r="Z178" i="3"/>
  <c r="X178" i="3"/>
  <c r="N178" i="3"/>
  <c r="L178" i="3"/>
  <c r="B178" i="3"/>
  <c r="T177" i="3"/>
  <c r="P177" i="3"/>
  <c r="L177" i="3"/>
  <c r="H177" i="3"/>
  <c r="N177" i="3" s="1"/>
  <c r="D177" i="3"/>
  <c r="B177" i="3"/>
  <c r="Z176" i="3"/>
  <c r="X176" i="3"/>
  <c r="N176" i="3"/>
  <c r="L176" i="3"/>
  <c r="B176" i="3"/>
  <c r="X175" i="3"/>
  <c r="T175" i="3"/>
  <c r="Z175" i="3" s="1"/>
  <c r="P175" i="3"/>
  <c r="H175" i="3"/>
  <c r="D175" i="3"/>
  <c r="L175" i="3" s="1"/>
  <c r="B175" i="3"/>
  <c r="Z174" i="3"/>
  <c r="X174" i="3"/>
  <c r="N174" i="3"/>
  <c r="L174" i="3"/>
  <c r="B174" i="3"/>
  <c r="T173" i="3"/>
  <c r="P173" i="3"/>
  <c r="X173" i="3" s="1"/>
  <c r="H173" i="3"/>
  <c r="D173" i="3"/>
  <c r="L173" i="3" s="1"/>
  <c r="B173" i="3"/>
  <c r="Z172" i="3"/>
  <c r="X172" i="3"/>
  <c r="N172" i="3"/>
  <c r="L172" i="3"/>
  <c r="B172" i="3"/>
  <c r="X171" i="3"/>
  <c r="Z171" i="3" s="1"/>
  <c r="L171" i="3"/>
  <c r="N171" i="3" s="1"/>
  <c r="B171" i="3"/>
  <c r="Z170" i="3"/>
  <c r="X170" i="3"/>
  <c r="N170" i="3"/>
  <c r="L170" i="3"/>
  <c r="B170" i="3"/>
  <c r="X169" i="3"/>
  <c r="Z169" i="3" s="1"/>
  <c r="L169" i="3"/>
  <c r="N169" i="3" s="1"/>
  <c r="B169" i="3"/>
  <c r="Z168" i="3"/>
  <c r="X168" i="3"/>
  <c r="N168" i="3"/>
  <c r="L168" i="3"/>
  <c r="B168" i="3"/>
  <c r="X167" i="3"/>
  <c r="Z167" i="3" s="1"/>
  <c r="L167" i="3"/>
  <c r="N167" i="3" s="1"/>
  <c r="B167" i="3"/>
  <c r="Z166" i="3"/>
  <c r="X166" i="3"/>
  <c r="N166" i="3"/>
  <c r="L166" i="3"/>
  <c r="B166" i="3"/>
  <c r="T165" i="3"/>
  <c r="P165" i="3"/>
  <c r="L165" i="3"/>
  <c r="H165" i="3"/>
  <c r="N165" i="3" s="1"/>
  <c r="D165" i="3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N162" i="3"/>
  <c r="L162" i="3"/>
  <c r="B162" i="3"/>
  <c r="X161" i="3"/>
  <c r="Z161" i="3" s="1"/>
  <c r="L161" i="3"/>
  <c r="N161" i="3" s="1"/>
  <c r="B161" i="3"/>
  <c r="Z160" i="3"/>
  <c r="X160" i="3"/>
  <c r="N160" i="3"/>
  <c r="L160" i="3"/>
  <c r="B160" i="3"/>
  <c r="X159" i="3"/>
  <c r="Z159" i="3" s="1"/>
  <c r="L159" i="3"/>
  <c r="N159" i="3" s="1"/>
  <c r="B159" i="3"/>
  <c r="Z158" i="3"/>
  <c r="X158" i="3"/>
  <c r="N158" i="3"/>
  <c r="L158" i="3"/>
  <c r="B158" i="3"/>
  <c r="X157" i="3"/>
  <c r="Z157" i="3" s="1"/>
  <c r="L157" i="3"/>
  <c r="N157" i="3" s="1"/>
  <c r="B157" i="3"/>
  <c r="Z156" i="3"/>
  <c r="X156" i="3"/>
  <c r="N156" i="3"/>
  <c r="L156" i="3"/>
  <c r="B156" i="3"/>
  <c r="X155" i="3"/>
  <c r="Z155" i="3" s="1"/>
  <c r="L155" i="3"/>
  <c r="N155" i="3" s="1"/>
  <c r="B155" i="3"/>
  <c r="Z154" i="3"/>
  <c r="X154" i="3"/>
  <c r="T154" i="3"/>
  <c r="P154" i="3"/>
  <c r="H154" i="3"/>
  <c r="D154" i="3"/>
  <c r="L154" i="3" s="1"/>
  <c r="N154" i="3" s="1"/>
  <c r="B154" i="3"/>
  <c r="T153" i="3"/>
  <c r="Z153" i="3" s="1"/>
  <c r="P153" i="3"/>
  <c r="X153" i="3" s="1"/>
  <c r="H153" i="3"/>
  <c r="D153" i="3"/>
  <c r="L153" i="3" s="1"/>
  <c r="Z149" i="3"/>
  <c r="X149" i="3"/>
  <c r="N149" i="3"/>
  <c r="L149" i="3"/>
  <c r="B149" i="3"/>
  <c r="Z148" i="3"/>
  <c r="X148" i="3"/>
  <c r="N148" i="3"/>
  <c r="L148" i="3"/>
  <c r="B148" i="3"/>
  <c r="X147" i="3"/>
  <c r="Z147" i="3" s="1"/>
  <c r="N147" i="3"/>
  <c r="L147" i="3"/>
  <c r="B147" i="3"/>
  <c r="Z146" i="3"/>
  <c r="X146" i="3"/>
  <c r="N146" i="3"/>
  <c r="L146" i="3"/>
  <c r="B146" i="3"/>
  <c r="X145" i="3"/>
  <c r="Z145" i="3" s="1"/>
  <c r="L145" i="3"/>
  <c r="N145" i="3" s="1"/>
  <c r="B145" i="3"/>
  <c r="Z144" i="3"/>
  <c r="X144" i="3"/>
  <c r="N144" i="3"/>
  <c r="L144" i="3"/>
  <c r="B144" i="3"/>
  <c r="X143" i="3"/>
  <c r="Z143" i="3" s="1"/>
  <c r="L143" i="3"/>
  <c r="N143" i="3" s="1"/>
  <c r="B143" i="3"/>
  <c r="Z142" i="3"/>
  <c r="X142" i="3"/>
  <c r="N142" i="3"/>
  <c r="L142" i="3"/>
  <c r="B142" i="3"/>
  <c r="X141" i="3"/>
  <c r="Z141" i="3" s="1"/>
  <c r="L141" i="3"/>
  <c r="N141" i="3" s="1"/>
  <c r="B141" i="3"/>
  <c r="Z140" i="3"/>
  <c r="X140" i="3"/>
  <c r="N140" i="3"/>
  <c r="L140" i="3"/>
  <c r="B140" i="3"/>
  <c r="X139" i="3"/>
  <c r="Z139" i="3" s="1"/>
  <c r="L139" i="3"/>
  <c r="N139" i="3" s="1"/>
  <c r="B139" i="3"/>
  <c r="Z138" i="3"/>
  <c r="X138" i="3"/>
  <c r="N138" i="3"/>
  <c r="L138" i="3"/>
  <c r="B138" i="3"/>
  <c r="X137" i="3"/>
  <c r="Z137" i="3" s="1"/>
  <c r="N137" i="3"/>
  <c r="L137" i="3"/>
  <c r="B137" i="3"/>
  <c r="Z136" i="3"/>
  <c r="X136" i="3"/>
  <c r="N136" i="3"/>
  <c r="L136" i="3"/>
  <c r="B136" i="3"/>
  <c r="X135" i="3"/>
  <c r="Z135" i="3" s="1"/>
  <c r="L135" i="3"/>
  <c r="N135" i="3" s="1"/>
  <c r="B135" i="3"/>
  <c r="Z134" i="3"/>
  <c r="X134" i="3"/>
  <c r="N134" i="3"/>
  <c r="L134" i="3"/>
  <c r="B134" i="3"/>
  <c r="X133" i="3"/>
  <c r="Z133" i="3" s="1"/>
  <c r="L133" i="3"/>
  <c r="N133" i="3" s="1"/>
  <c r="B133" i="3"/>
  <c r="Z132" i="3"/>
  <c r="X132" i="3"/>
  <c r="N132" i="3"/>
  <c r="L132" i="3"/>
  <c r="B132" i="3"/>
  <c r="Z131" i="3"/>
  <c r="X131" i="3"/>
  <c r="N131" i="3"/>
  <c r="L131" i="3"/>
  <c r="B131" i="3"/>
  <c r="Z130" i="3"/>
  <c r="X130" i="3"/>
  <c r="N130" i="3"/>
  <c r="L130" i="3"/>
  <c r="B130" i="3"/>
  <c r="X129" i="3"/>
  <c r="Z129" i="3" s="1"/>
  <c r="L129" i="3"/>
  <c r="N129" i="3" s="1"/>
  <c r="B129" i="3"/>
  <c r="Z128" i="3"/>
  <c r="X128" i="3"/>
  <c r="N128" i="3"/>
  <c r="L128" i="3"/>
  <c r="B128" i="3"/>
  <c r="X127" i="3"/>
  <c r="Z127" i="3" s="1"/>
  <c r="L127" i="3"/>
  <c r="N127" i="3" s="1"/>
  <c r="B127" i="3"/>
  <c r="Z126" i="3"/>
  <c r="X126" i="3"/>
  <c r="N126" i="3"/>
  <c r="L126" i="3"/>
  <c r="B126" i="3"/>
  <c r="X125" i="3"/>
  <c r="Z125" i="3" s="1"/>
  <c r="L125" i="3"/>
  <c r="N125" i="3" s="1"/>
  <c r="B125" i="3"/>
  <c r="Z124" i="3"/>
  <c r="X124" i="3"/>
  <c r="N124" i="3"/>
  <c r="L124" i="3"/>
  <c r="B124" i="3"/>
  <c r="X123" i="3"/>
  <c r="Z123" i="3" s="1"/>
  <c r="L123" i="3"/>
  <c r="N123" i="3" s="1"/>
  <c r="B123" i="3"/>
  <c r="Z122" i="3"/>
  <c r="X122" i="3"/>
  <c r="N122" i="3"/>
  <c r="L122" i="3"/>
  <c r="B122" i="3"/>
  <c r="X121" i="3"/>
  <c r="Z121" i="3" s="1"/>
  <c r="L121" i="3"/>
  <c r="N121" i="3" s="1"/>
  <c r="B121" i="3"/>
  <c r="Z120" i="3"/>
  <c r="X120" i="3"/>
  <c r="N120" i="3"/>
  <c r="L120" i="3"/>
  <c r="B120" i="3"/>
  <c r="X119" i="3"/>
  <c r="Z119" i="3" s="1"/>
  <c r="L119" i="3"/>
  <c r="N119" i="3" s="1"/>
  <c r="B119" i="3"/>
  <c r="Z118" i="3"/>
  <c r="X118" i="3"/>
  <c r="N118" i="3"/>
  <c r="L118" i="3"/>
  <c r="B118" i="3"/>
  <c r="X117" i="3"/>
  <c r="Z117" i="3" s="1"/>
  <c r="N117" i="3"/>
  <c r="L117" i="3"/>
  <c r="B117" i="3"/>
  <c r="Z116" i="3"/>
  <c r="X116" i="3"/>
  <c r="N116" i="3"/>
  <c r="L116" i="3"/>
  <c r="B116" i="3"/>
  <c r="X115" i="3"/>
  <c r="Z115" i="3" s="1"/>
  <c r="L115" i="3"/>
  <c r="N115" i="3" s="1"/>
  <c r="B115" i="3"/>
  <c r="Z114" i="3"/>
  <c r="X114" i="3"/>
  <c r="N114" i="3"/>
  <c r="L114" i="3"/>
  <c r="B114" i="3"/>
  <c r="X113" i="3"/>
  <c r="Z113" i="3" s="1"/>
  <c r="L113" i="3"/>
  <c r="N113" i="3" s="1"/>
  <c r="B113" i="3"/>
  <c r="Z112" i="3"/>
  <c r="X112" i="3"/>
  <c r="N112" i="3"/>
  <c r="L112" i="3"/>
  <c r="B112" i="3"/>
  <c r="X111" i="3"/>
  <c r="Z111" i="3" s="1"/>
  <c r="N111" i="3"/>
  <c r="L111" i="3"/>
  <c r="B111" i="3"/>
  <c r="Z110" i="3"/>
  <c r="X110" i="3"/>
  <c r="N110" i="3"/>
  <c r="L110" i="3"/>
  <c r="B110" i="3"/>
  <c r="X109" i="3"/>
  <c r="Z109" i="3" s="1"/>
  <c r="L109" i="3"/>
  <c r="N109" i="3" s="1"/>
  <c r="B109" i="3"/>
  <c r="Z108" i="3"/>
  <c r="X108" i="3"/>
  <c r="N108" i="3"/>
  <c r="L108" i="3"/>
  <c r="B108" i="3"/>
  <c r="X107" i="3"/>
  <c r="Z107" i="3" s="1"/>
  <c r="L107" i="3"/>
  <c r="N107" i="3" s="1"/>
  <c r="B107" i="3"/>
  <c r="Z106" i="3"/>
  <c r="X106" i="3"/>
  <c r="N106" i="3"/>
  <c r="L106" i="3"/>
  <c r="B106" i="3"/>
  <c r="X105" i="3"/>
  <c r="Z105" i="3" s="1"/>
  <c r="L105" i="3"/>
  <c r="N105" i="3" s="1"/>
  <c r="B105" i="3"/>
  <c r="Z104" i="3"/>
  <c r="X104" i="3"/>
  <c r="N104" i="3"/>
  <c r="L104" i="3"/>
  <c r="B104" i="3"/>
  <c r="X103" i="3"/>
  <c r="Z103" i="3" s="1"/>
  <c r="L103" i="3"/>
  <c r="N103" i="3" s="1"/>
  <c r="B103" i="3"/>
  <c r="Z102" i="3"/>
  <c r="X102" i="3"/>
  <c r="N102" i="3"/>
  <c r="L102" i="3"/>
  <c r="B102" i="3"/>
  <c r="Z101" i="3"/>
  <c r="X101" i="3"/>
  <c r="N101" i="3"/>
  <c r="L101" i="3"/>
  <c r="B101" i="3"/>
  <c r="T100" i="3"/>
  <c r="P100" i="3"/>
  <c r="X100" i="3" s="1"/>
  <c r="Z100" i="3" s="1"/>
  <c r="H100" i="3"/>
  <c r="D100" i="3"/>
  <c r="L100" i="3" s="1"/>
  <c r="N100" i="3" s="1"/>
  <c r="T98" i="3"/>
  <c r="Z98" i="3" s="1"/>
  <c r="P98" i="3"/>
  <c r="X98" i="3" s="1"/>
  <c r="H98" i="3"/>
  <c r="N98" i="3" s="1"/>
  <c r="D98" i="3"/>
  <c r="L98" i="3" s="1"/>
  <c r="B98" i="3"/>
  <c r="X97" i="3"/>
  <c r="T97" i="3"/>
  <c r="Z97" i="3" s="1"/>
  <c r="P97" i="3"/>
  <c r="L97" i="3"/>
  <c r="H97" i="3"/>
  <c r="N97" i="3" s="1"/>
  <c r="D97" i="3"/>
  <c r="B97" i="3"/>
  <c r="T96" i="3"/>
  <c r="X96" i="3" s="1"/>
  <c r="Z96" i="3" s="1"/>
  <c r="P96" i="3"/>
  <c r="N96" i="3"/>
  <c r="H96" i="3"/>
  <c r="L96" i="3" s="1"/>
  <c r="D96" i="3"/>
  <c r="B96" i="3"/>
  <c r="T95" i="3"/>
  <c r="P95" i="3"/>
  <c r="X95" i="3" s="1"/>
  <c r="Z95" i="3" s="1"/>
  <c r="H95" i="3"/>
  <c r="D95" i="3"/>
  <c r="L95" i="3" s="1"/>
  <c r="N95" i="3" s="1"/>
  <c r="B95" i="3"/>
  <c r="T94" i="3"/>
  <c r="P94" i="3"/>
  <c r="X94" i="3" s="1"/>
  <c r="H94" i="3"/>
  <c r="D94" i="3"/>
  <c r="L94" i="3" s="1"/>
  <c r="B94" i="3"/>
  <c r="X93" i="3"/>
  <c r="T93" i="3"/>
  <c r="Z93" i="3" s="1"/>
  <c r="P93" i="3"/>
  <c r="L93" i="3"/>
  <c r="H93" i="3"/>
  <c r="N93" i="3" s="1"/>
  <c r="D93" i="3"/>
  <c r="B93" i="3"/>
  <c r="T92" i="3"/>
  <c r="X92" i="3" s="1"/>
  <c r="Z92" i="3" s="1"/>
  <c r="P92" i="3"/>
  <c r="H92" i="3"/>
  <c r="L92" i="3" s="1"/>
  <c r="N92" i="3" s="1"/>
  <c r="D92" i="3"/>
  <c r="B92" i="3"/>
  <c r="T91" i="3"/>
  <c r="P91" i="3"/>
  <c r="X91" i="3" s="1"/>
  <c r="Z91" i="3" s="1"/>
  <c r="N91" i="3"/>
  <c r="H91" i="3"/>
  <c r="D91" i="3"/>
  <c r="L91" i="3" s="1"/>
  <c r="B91" i="3"/>
  <c r="T90" i="3"/>
  <c r="Z90" i="3" s="1"/>
  <c r="P90" i="3"/>
  <c r="X90" i="3" s="1"/>
  <c r="H90" i="3"/>
  <c r="N90" i="3" s="1"/>
  <c r="D90" i="3"/>
  <c r="L90" i="3" s="1"/>
  <c r="B90" i="3"/>
  <c r="X89" i="3"/>
  <c r="T89" i="3"/>
  <c r="Z89" i="3" s="1"/>
  <c r="P89" i="3"/>
  <c r="L89" i="3"/>
  <c r="H89" i="3"/>
  <c r="N89" i="3" s="1"/>
  <c r="D89" i="3"/>
  <c r="B89" i="3"/>
  <c r="T88" i="3"/>
  <c r="X88" i="3" s="1"/>
  <c r="Z88" i="3" s="1"/>
  <c r="P88" i="3"/>
  <c r="H88" i="3"/>
  <c r="L88" i="3" s="1"/>
  <c r="N88" i="3" s="1"/>
  <c r="D88" i="3"/>
  <c r="B88" i="3"/>
  <c r="T87" i="3"/>
  <c r="P87" i="3"/>
  <c r="X87" i="3" s="1"/>
  <c r="Z87" i="3" s="1"/>
  <c r="H87" i="3"/>
  <c r="D87" i="3"/>
  <c r="L87" i="3" s="1"/>
  <c r="N87" i="3" s="1"/>
  <c r="B87" i="3"/>
  <c r="T86" i="3"/>
  <c r="P86" i="3"/>
  <c r="X86" i="3" s="1"/>
  <c r="H86" i="3"/>
  <c r="D86" i="3"/>
  <c r="L86" i="3" s="1"/>
  <c r="B86" i="3"/>
  <c r="X85" i="3"/>
  <c r="T85" i="3"/>
  <c r="Z85" i="3" s="1"/>
  <c r="P85" i="3"/>
  <c r="L85" i="3"/>
  <c r="H85" i="3"/>
  <c r="N85" i="3" s="1"/>
  <c r="D85" i="3"/>
  <c r="B85" i="3"/>
  <c r="Z84" i="3"/>
  <c r="X84" i="3"/>
  <c r="T84" i="3"/>
  <c r="P84" i="3"/>
  <c r="H84" i="3"/>
  <c r="L84" i="3" s="1"/>
  <c r="N84" i="3" s="1"/>
  <c r="D84" i="3"/>
  <c r="B84" i="3"/>
  <c r="T83" i="3"/>
  <c r="P83" i="3"/>
  <c r="X83" i="3" s="1"/>
  <c r="Z83" i="3" s="1"/>
  <c r="H83" i="3"/>
  <c r="D83" i="3"/>
  <c r="L83" i="3" s="1"/>
  <c r="N83" i="3" s="1"/>
  <c r="B83" i="3"/>
  <c r="T82" i="3"/>
  <c r="P82" i="3"/>
  <c r="X82" i="3" s="1"/>
  <c r="H82" i="3"/>
  <c r="D82" i="3"/>
  <c r="L82" i="3" s="1"/>
  <c r="B82" i="3"/>
  <c r="X81" i="3"/>
  <c r="T81" i="3"/>
  <c r="Z81" i="3" s="1"/>
  <c r="P81" i="3"/>
  <c r="L81" i="3"/>
  <c r="H81" i="3"/>
  <c r="N81" i="3" s="1"/>
  <c r="D81" i="3"/>
  <c r="B81" i="3"/>
  <c r="T80" i="3"/>
  <c r="X80" i="3" s="1"/>
  <c r="Z80" i="3" s="1"/>
  <c r="P80" i="3"/>
  <c r="N80" i="3"/>
  <c r="L80" i="3"/>
  <c r="H80" i="3"/>
  <c r="D80" i="3"/>
  <c r="B80" i="3"/>
  <c r="T79" i="3"/>
  <c r="P79" i="3"/>
  <c r="X79" i="3" s="1"/>
  <c r="Z79" i="3" s="1"/>
  <c r="H79" i="3"/>
  <c r="D79" i="3"/>
  <c r="L79" i="3" s="1"/>
  <c r="N79" i="3" s="1"/>
  <c r="B79" i="3"/>
  <c r="T78" i="3"/>
  <c r="P78" i="3"/>
  <c r="X78" i="3" s="1"/>
  <c r="H78" i="3"/>
  <c r="D78" i="3"/>
  <c r="L78" i="3" s="1"/>
  <c r="B78" i="3"/>
  <c r="X77" i="3"/>
  <c r="T77" i="3"/>
  <c r="Z77" i="3" s="1"/>
  <c r="P77" i="3"/>
  <c r="L77" i="3"/>
  <c r="H77" i="3"/>
  <c r="N77" i="3" s="1"/>
  <c r="D77" i="3"/>
  <c r="B77" i="3"/>
  <c r="Z76" i="3"/>
  <c r="X76" i="3"/>
  <c r="T76" i="3"/>
  <c r="P76" i="3"/>
  <c r="N76" i="3"/>
  <c r="H76" i="3"/>
  <c r="L76" i="3" s="1"/>
  <c r="D76" i="3"/>
  <c r="B76" i="3"/>
  <c r="T75" i="3"/>
  <c r="P75" i="3"/>
  <c r="X75" i="3" s="1"/>
  <c r="Z75" i="3" s="1"/>
  <c r="N75" i="3"/>
  <c r="H75" i="3"/>
  <c r="D75" i="3"/>
  <c r="L75" i="3" s="1"/>
  <c r="B75" i="3"/>
  <c r="T74" i="3"/>
  <c r="P74" i="3"/>
  <c r="X74" i="3" s="1"/>
  <c r="H74" i="3"/>
  <c r="N74" i="3" s="1"/>
  <c r="D74" i="3"/>
  <c r="L74" i="3" s="1"/>
  <c r="B74" i="3"/>
  <c r="X73" i="3"/>
  <c r="T73" i="3"/>
  <c r="Z73" i="3" s="1"/>
  <c r="P73" i="3"/>
  <c r="L73" i="3"/>
  <c r="H73" i="3"/>
  <c r="N73" i="3" s="1"/>
  <c r="D73" i="3"/>
  <c r="B73" i="3"/>
  <c r="Z72" i="3"/>
  <c r="T72" i="3"/>
  <c r="X72" i="3" s="1"/>
  <c r="P72" i="3"/>
  <c r="N72" i="3"/>
  <c r="L72" i="3"/>
  <c r="H72" i="3"/>
  <c r="D72" i="3"/>
  <c r="B72" i="3"/>
  <c r="T71" i="3"/>
  <c r="P71" i="3"/>
  <c r="X71" i="3" s="1"/>
  <c r="Z71" i="3" s="1"/>
  <c r="H71" i="3"/>
  <c r="D71" i="3"/>
  <c r="L71" i="3" s="1"/>
  <c r="N71" i="3" s="1"/>
  <c r="B71" i="3"/>
  <c r="T70" i="3"/>
  <c r="P70" i="3"/>
  <c r="X70" i="3" s="1"/>
  <c r="H70" i="3"/>
  <c r="D70" i="3"/>
  <c r="L70" i="3" s="1"/>
  <c r="B70" i="3"/>
  <c r="X69" i="3"/>
  <c r="T69" i="3"/>
  <c r="Z69" i="3" s="1"/>
  <c r="P69" i="3"/>
  <c r="L69" i="3"/>
  <c r="H69" i="3"/>
  <c r="N69" i="3" s="1"/>
  <c r="D69" i="3"/>
  <c r="B69" i="3"/>
  <c r="Z68" i="3"/>
  <c r="X68" i="3"/>
  <c r="T68" i="3"/>
  <c r="P68" i="3"/>
  <c r="H68" i="3"/>
  <c r="L68" i="3" s="1"/>
  <c r="N68" i="3" s="1"/>
  <c r="D68" i="3"/>
  <c r="B68" i="3"/>
  <c r="T67" i="3"/>
  <c r="P67" i="3"/>
  <c r="X67" i="3" s="1"/>
  <c r="Z67" i="3" s="1"/>
  <c r="H67" i="3"/>
  <c r="D67" i="3"/>
  <c r="L67" i="3" s="1"/>
  <c r="N67" i="3" s="1"/>
  <c r="B67" i="3"/>
  <c r="T66" i="3"/>
  <c r="P66" i="3"/>
  <c r="X66" i="3" s="1"/>
  <c r="H66" i="3"/>
  <c r="D66" i="3"/>
  <c r="L66" i="3" s="1"/>
  <c r="B66" i="3"/>
  <c r="X65" i="3"/>
  <c r="T65" i="3"/>
  <c r="Z65" i="3" s="1"/>
  <c r="P65" i="3"/>
  <c r="L65" i="3"/>
  <c r="H65" i="3"/>
  <c r="N65" i="3" s="1"/>
  <c r="D65" i="3"/>
  <c r="B65" i="3"/>
  <c r="T64" i="3"/>
  <c r="X64" i="3" s="1"/>
  <c r="Z64" i="3" s="1"/>
  <c r="P64" i="3"/>
  <c r="N64" i="3"/>
  <c r="L64" i="3"/>
  <c r="H64" i="3"/>
  <c r="D64" i="3"/>
  <c r="B64" i="3"/>
  <c r="T63" i="3"/>
  <c r="P63" i="3"/>
  <c r="X63" i="3" s="1"/>
  <c r="Z63" i="3" s="1"/>
  <c r="H63" i="3"/>
  <c r="D63" i="3"/>
  <c r="L63" i="3" s="1"/>
  <c r="N63" i="3" s="1"/>
  <c r="B63" i="3"/>
  <c r="T62" i="3"/>
  <c r="P62" i="3"/>
  <c r="X62" i="3" s="1"/>
  <c r="H62" i="3"/>
  <c r="D62" i="3"/>
  <c r="L62" i="3" s="1"/>
  <c r="B62" i="3"/>
  <c r="X61" i="3"/>
  <c r="T61" i="3"/>
  <c r="Z61" i="3" s="1"/>
  <c r="P61" i="3"/>
  <c r="L61" i="3"/>
  <c r="H61" i="3"/>
  <c r="N61" i="3" s="1"/>
  <c r="D61" i="3"/>
  <c r="B61" i="3"/>
  <c r="Z60" i="3"/>
  <c r="X60" i="3"/>
  <c r="T60" i="3"/>
  <c r="P60" i="3"/>
  <c r="H60" i="3"/>
  <c r="L60" i="3" s="1"/>
  <c r="N60" i="3" s="1"/>
  <c r="D60" i="3"/>
  <c r="B60" i="3"/>
  <c r="T59" i="3"/>
  <c r="P59" i="3"/>
  <c r="X59" i="3" s="1"/>
  <c r="Z59" i="3" s="1"/>
  <c r="H59" i="3"/>
  <c r="D59" i="3"/>
  <c r="L59" i="3" s="1"/>
  <c r="N59" i="3" s="1"/>
  <c r="B59" i="3"/>
  <c r="T58" i="3"/>
  <c r="P58" i="3"/>
  <c r="X58" i="3" s="1"/>
  <c r="H58" i="3"/>
  <c r="D58" i="3"/>
  <c r="L58" i="3" s="1"/>
  <c r="B58" i="3"/>
  <c r="X57" i="3"/>
  <c r="T57" i="3"/>
  <c r="Z57" i="3" s="1"/>
  <c r="P57" i="3"/>
  <c r="L57" i="3"/>
  <c r="H57" i="3"/>
  <c r="N57" i="3" s="1"/>
  <c r="D57" i="3"/>
  <c r="B57" i="3"/>
  <c r="T56" i="3"/>
  <c r="X56" i="3" s="1"/>
  <c r="Z56" i="3" s="1"/>
  <c r="P56" i="3"/>
  <c r="N56" i="3"/>
  <c r="L56" i="3"/>
  <c r="H56" i="3"/>
  <c r="D56" i="3"/>
  <c r="B56" i="3"/>
  <c r="T55" i="3"/>
  <c r="P55" i="3"/>
  <c r="X55" i="3" s="1"/>
  <c r="Z55" i="3" s="1"/>
  <c r="N55" i="3"/>
  <c r="H55" i="3"/>
  <c r="D55" i="3"/>
  <c r="L55" i="3" s="1"/>
  <c r="B55" i="3"/>
  <c r="T54" i="3"/>
  <c r="Z54" i="3" s="1"/>
  <c r="P54" i="3"/>
  <c r="X54" i="3" s="1"/>
  <c r="H54" i="3"/>
  <c r="N54" i="3" s="1"/>
  <c r="D54" i="3"/>
  <c r="L54" i="3" s="1"/>
  <c r="B54" i="3"/>
  <c r="X53" i="3"/>
  <c r="T53" i="3"/>
  <c r="Z53" i="3" s="1"/>
  <c r="P53" i="3"/>
  <c r="L53" i="3"/>
  <c r="H53" i="3"/>
  <c r="N53" i="3" s="1"/>
  <c r="D53" i="3"/>
  <c r="B53" i="3"/>
  <c r="Z52" i="3"/>
  <c r="X52" i="3"/>
  <c r="T52" i="3"/>
  <c r="P52" i="3"/>
  <c r="H52" i="3"/>
  <c r="L52" i="3" s="1"/>
  <c r="N52" i="3" s="1"/>
  <c r="D52" i="3"/>
  <c r="B52" i="3"/>
  <c r="T51" i="3"/>
  <c r="P51" i="3"/>
  <c r="X51" i="3" s="1"/>
  <c r="Z51" i="3" s="1"/>
  <c r="H51" i="3"/>
  <c r="D51" i="3"/>
  <c r="L51" i="3" s="1"/>
  <c r="N51" i="3" s="1"/>
  <c r="B51" i="3"/>
  <c r="T50" i="3"/>
  <c r="Z50" i="3" s="1"/>
  <c r="P50" i="3"/>
  <c r="X50" i="3" s="1"/>
  <c r="H50" i="3"/>
  <c r="D50" i="3"/>
  <c r="L50" i="3" s="1"/>
  <c r="B50" i="3"/>
  <c r="X49" i="3"/>
  <c r="T49" i="3"/>
  <c r="Z49" i="3" s="1"/>
  <c r="P49" i="3"/>
  <c r="L49" i="3"/>
  <c r="H49" i="3"/>
  <c r="N49" i="3" s="1"/>
  <c r="D49" i="3"/>
  <c r="B49" i="3"/>
  <c r="T48" i="3"/>
  <c r="X48" i="3" s="1"/>
  <c r="Z48" i="3" s="1"/>
  <c r="P48" i="3"/>
  <c r="N48" i="3"/>
  <c r="L48" i="3"/>
  <c r="H48" i="3"/>
  <c r="D48" i="3"/>
  <c r="B48" i="3"/>
  <c r="T47" i="3"/>
  <c r="P47" i="3"/>
  <c r="X47" i="3" s="1"/>
  <c r="Z47" i="3" s="1"/>
  <c r="H47" i="3"/>
  <c r="D47" i="3"/>
  <c r="L47" i="3" s="1"/>
  <c r="N47" i="3" s="1"/>
  <c r="B47" i="3"/>
  <c r="T46" i="3"/>
  <c r="Z46" i="3" s="1"/>
  <c r="P46" i="3"/>
  <c r="X46" i="3" s="1"/>
  <c r="H46" i="3"/>
  <c r="D46" i="3"/>
  <c r="L46" i="3" s="1"/>
  <c r="B46" i="3"/>
  <c r="X45" i="3"/>
  <c r="T45" i="3"/>
  <c r="Z45" i="3" s="1"/>
  <c r="P45" i="3"/>
  <c r="L45" i="3"/>
  <c r="H45" i="3"/>
  <c r="N45" i="3" s="1"/>
  <c r="D45" i="3"/>
  <c r="B45" i="3"/>
  <c r="Z44" i="3"/>
  <c r="X44" i="3"/>
  <c r="T44" i="3"/>
  <c r="P44" i="3"/>
  <c r="H44" i="3"/>
  <c r="L44" i="3" s="1"/>
  <c r="N44" i="3" s="1"/>
  <c r="D44" i="3"/>
  <c r="B44" i="3"/>
  <c r="T43" i="3"/>
  <c r="P43" i="3"/>
  <c r="X43" i="3" s="1"/>
  <c r="Z43" i="3" s="1"/>
  <c r="H43" i="3"/>
  <c r="D43" i="3"/>
  <c r="L43" i="3" s="1"/>
  <c r="N43" i="3" s="1"/>
  <c r="B43" i="3"/>
  <c r="T42" i="3"/>
  <c r="Z42" i="3" s="1"/>
  <c r="P42" i="3"/>
  <c r="X42" i="3" s="1"/>
  <c r="H42" i="3"/>
  <c r="D42" i="3"/>
  <c r="L42" i="3" s="1"/>
  <c r="B42" i="3"/>
  <c r="X41" i="3"/>
  <c r="T41" i="3"/>
  <c r="Z41" i="3" s="1"/>
  <c r="P41" i="3"/>
  <c r="L41" i="3"/>
  <c r="H41" i="3"/>
  <c r="N41" i="3" s="1"/>
  <c r="D41" i="3"/>
  <c r="B41" i="3"/>
  <c r="T40" i="3"/>
  <c r="X40" i="3" s="1"/>
  <c r="Z40" i="3" s="1"/>
  <c r="P40" i="3"/>
  <c r="N40" i="3"/>
  <c r="L40" i="3"/>
  <c r="H40" i="3"/>
  <c r="D40" i="3"/>
  <c r="B40" i="3"/>
  <c r="T39" i="3"/>
  <c r="P39" i="3"/>
  <c r="X39" i="3" s="1"/>
  <c r="Z39" i="3" s="1"/>
  <c r="H39" i="3"/>
  <c r="D39" i="3"/>
  <c r="L39" i="3" s="1"/>
  <c r="N39" i="3" s="1"/>
  <c r="B39" i="3"/>
  <c r="T38" i="3"/>
  <c r="Z38" i="3" s="1"/>
  <c r="P38" i="3"/>
  <c r="X38" i="3" s="1"/>
  <c r="H38" i="3"/>
  <c r="D38" i="3"/>
  <c r="L38" i="3" s="1"/>
  <c r="B38" i="3"/>
  <c r="X37" i="3"/>
  <c r="T37" i="3"/>
  <c r="Z37" i="3" s="1"/>
  <c r="P37" i="3"/>
  <c r="L37" i="3"/>
  <c r="H37" i="3"/>
  <c r="N37" i="3" s="1"/>
  <c r="D37" i="3"/>
  <c r="B37" i="3"/>
  <c r="Z36" i="3"/>
  <c r="X36" i="3"/>
  <c r="T36" i="3"/>
  <c r="P36" i="3"/>
  <c r="N36" i="3"/>
  <c r="H36" i="3"/>
  <c r="L36" i="3" s="1"/>
  <c r="D36" i="3"/>
  <c r="B36" i="3"/>
  <c r="T35" i="3"/>
  <c r="P35" i="3"/>
  <c r="X35" i="3" s="1"/>
  <c r="Z35" i="3" s="1"/>
  <c r="H35" i="3"/>
  <c r="D35" i="3"/>
  <c r="L35" i="3" s="1"/>
  <c r="N35" i="3" s="1"/>
  <c r="B35" i="3"/>
  <c r="T34" i="3"/>
  <c r="P34" i="3"/>
  <c r="X34" i="3" s="1"/>
  <c r="H34" i="3"/>
  <c r="N34" i="3" s="1"/>
  <c r="D34" i="3"/>
  <c r="L34" i="3" s="1"/>
  <c r="B34" i="3"/>
  <c r="X33" i="3"/>
  <c r="T33" i="3"/>
  <c r="Z33" i="3" s="1"/>
  <c r="P33" i="3"/>
  <c r="L33" i="3"/>
  <c r="H33" i="3"/>
  <c r="N33" i="3" s="1"/>
  <c r="D33" i="3"/>
  <c r="B33" i="3"/>
  <c r="T32" i="3"/>
  <c r="X32" i="3" s="1"/>
  <c r="Z32" i="3" s="1"/>
  <c r="P32" i="3"/>
  <c r="N32" i="3"/>
  <c r="L32" i="3"/>
  <c r="H32" i="3"/>
  <c r="D32" i="3"/>
  <c r="B32" i="3"/>
  <c r="T31" i="3"/>
  <c r="P31" i="3"/>
  <c r="X31" i="3" s="1"/>
  <c r="Z31" i="3" s="1"/>
  <c r="H31" i="3"/>
  <c r="D31" i="3"/>
  <c r="L31" i="3" s="1"/>
  <c r="N31" i="3" s="1"/>
  <c r="B31" i="3"/>
  <c r="T30" i="3"/>
  <c r="P30" i="3"/>
  <c r="X30" i="3" s="1"/>
  <c r="H30" i="3"/>
  <c r="N30" i="3" s="1"/>
  <c r="D30" i="3"/>
  <c r="L30" i="3" s="1"/>
  <c r="B30" i="3"/>
  <c r="X29" i="3"/>
  <c r="T29" i="3"/>
  <c r="Z29" i="3" s="1"/>
  <c r="P29" i="3"/>
  <c r="L29" i="3"/>
  <c r="H29" i="3"/>
  <c r="N29" i="3" s="1"/>
  <c r="D29" i="3"/>
  <c r="B29" i="3"/>
  <c r="Z28" i="3"/>
  <c r="X28" i="3"/>
  <c r="T28" i="3"/>
  <c r="P28" i="3"/>
  <c r="H28" i="3"/>
  <c r="L28" i="3" s="1"/>
  <c r="N28" i="3" s="1"/>
  <c r="D28" i="3"/>
  <c r="B28" i="3"/>
  <c r="T27" i="3"/>
  <c r="P27" i="3"/>
  <c r="X27" i="3" s="1"/>
  <c r="Z27" i="3" s="1"/>
  <c r="H27" i="3"/>
  <c r="D27" i="3"/>
  <c r="L27" i="3" s="1"/>
  <c r="N27" i="3" s="1"/>
  <c r="B27" i="3"/>
  <c r="T26" i="3"/>
  <c r="P26" i="3"/>
  <c r="X26" i="3" s="1"/>
  <c r="H26" i="3"/>
  <c r="N26" i="3" s="1"/>
  <c r="D26" i="3"/>
  <c r="L26" i="3" s="1"/>
  <c r="B26" i="3"/>
  <c r="X25" i="3"/>
  <c r="T25" i="3"/>
  <c r="Z25" i="3" s="1"/>
  <c r="P25" i="3"/>
  <c r="L25" i="3"/>
  <c r="H25" i="3"/>
  <c r="N25" i="3" s="1"/>
  <c r="D25" i="3"/>
  <c r="B25" i="3"/>
  <c r="T24" i="3"/>
  <c r="X24" i="3" s="1"/>
  <c r="Z24" i="3" s="1"/>
  <c r="P24" i="3"/>
  <c r="N24" i="3"/>
  <c r="L24" i="3"/>
  <c r="H24" i="3"/>
  <c r="D24" i="3"/>
  <c r="B24" i="3"/>
  <c r="T23" i="3"/>
  <c r="P23" i="3"/>
  <c r="X23" i="3" s="1"/>
  <c r="Z23" i="3" s="1"/>
  <c r="H23" i="3"/>
  <c r="D23" i="3"/>
  <c r="L23" i="3" s="1"/>
  <c r="N23" i="3" s="1"/>
  <c r="B23" i="3"/>
  <c r="T22" i="3"/>
  <c r="P22" i="3"/>
  <c r="X22" i="3" s="1"/>
  <c r="H22" i="3"/>
  <c r="N22" i="3" s="1"/>
  <c r="D22" i="3"/>
  <c r="L22" i="3" s="1"/>
  <c r="B22" i="3"/>
  <c r="X21" i="3"/>
  <c r="T21" i="3"/>
  <c r="Z21" i="3" s="1"/>
  <c r="P21" i="3"/>
  <c r="L21" i="3"/>
  <c r="H21" i="3"/>
  <c r="N21" i="3" s="1"/>
  <c r="D21" i="3"/>
  <c r="B21" i="3"/>
  <c r="Z20" i="3"/>
  <c r="X20" i="3"/>
  <c r="T20" i="3"/>
  <c r="P20" i="3"/>
  <c r="N20" i="3"/>
  <c r="H20" i="3"/>
  <c r="L20" i="3" s="1"/>
  <c r="D20" i="3"/>
  <c r="B20" i="3"/>
  <c r="T19" i="3"/>
  <c r="P19" i="3"/>
  <c r="X19" i="3" s="1"/>
  <c r="Z19" i="3" s="1"/>
  <c r="N19" i="3"/>
  <c r="H19" i="3"/>
  <c r="D19" i="3"/>
  <c r="L19" i="3" s="1"/>
  <c r="B19" i="3"/>
  <c r="T18" i="3"/>
  <c r="Z18" i="3" s="1"/>
  <c r="P18" i="3"/>
  <c r="X18" i="3" s="1"/>
  <c r="H18" i="3"/>
  <c r="N18" i="3" s="1"/>
  <c r="D18" i="3"/>
  <c r="L18" i="3" s="1"/>
  <c r="B18" i="3"/>
  <c r="X17" i="3"/>
  <c r="T17" i="3"/>
  <c r="Z17" i="3" s="1"/>
  <c r="P17" i="3"/>
  <c r="L17" i="3"/>
  <c r="H17" i="3"/>
  <c r="N17" i="3" s="1"/>
  <c r="D17" i="3"/>
  <c r="B17" i="3"/>
  <c r="T16" i="3"/>
  <c r="X16" i="3" s="1"/>
  <c r="Z16" i="3" s="1"/>
  <c r="P16" i="3"/>
  <c r="N16" i="3"/>
  <c r="L16" i="3"/>
  <c r="H16" i="3"/>
  <c r="D16" i="3"/>
  <c r="B16" i="3"/>
  <c r="T15" i="3"/>
  <c r="P15" i="3"/>
  <c r="X15" i="3" s="1"/>
  <c r="Z15" i="3" s="1"/>
  <c r="H15" i="3"/>
  <c r="D15" i="3"/>
  <c r="L15" i="3" s="1"/>
  <c r="N15" i="3" s="1"/>
  <c r="B15" i="3"/>
  <c r="T14" i="3"/>
  <c r="Z14" i="3" s="1"/>
  <c r="P14" i="3"/>
  <c r="X14" i="3" s="1"/>
  <c r="H14" i="3"/>
  <c r="N14" i="3" s="1"/>
  <c r="D14" i="3"/>
  <c r="L14" i="3" s="1"/>
  <c r="B14" i="3"/>
  <c r="X13" i="3"/>
  <c r="T13" i="3"/>
  <c r="T12" i="3" s="1"/>
  <c r="P13" i="3"/>
  <c r="P12" i="3" s="1"/>
  <c r="L13" i="3"/>
  <c r="H13" i="3"/>
  <c r="N13" i="3" s="1"/>
  <c r="D13" i="3"/>
  <c r="D12" i="3" s="1"/>
  <c r="B13" i="3"/>
  <c r="D4" i="3"/>
  <c r="L40" i="70" l="1"/>
  <c r="N40" i="70" s="1"/>
  <c r="X34" i="14"/>
  <c r="X25" i="4"/>
  <c r="X33" i="4"/>
  <c r="X24" i="14"/>
  <c r="X50" i="70"/>
  <c r="Z50" i="70" s="1"/>
  <c r="X52" i="70"/>
  <c r="Z52" i="70" s="1"/>
  <c r="X61" i="70"/>
  <c r="L48" i="70"/>
  <c r="L52" i="70"/>
  <c r="N52" i="70" s="1"/>
  <c r="L61" i="70"/>
  <c r="N61" i="70" s="1"/>
  <c r="L69" i="70"/>
  <c r="N69" i="70" s="1"/>
  <c r="X48" i="70"/>
  <c r="X46" i="70"/>
  <c r="Z46" i="70" s="1"/>
  <c r="X63" i="70"/>
  <c r="Z63" i="70" s="1"/>
  <c r="X40" i="70"/>
  <c r="Z40" i="70" s="1"/>
  <c r="N48" i="70"/>
  <c r="L44" i="70"/>
  <c r="X57" i="70"/>
  <c r="Z57" i="70" s="1"/>
  <c r="X31" i="70"/>
  <c r="Z31" i="70" s="1"/>
  <c r="X30" i="70"/>
  <c r="Z30" i="70" s="1"/>
  <c r="L31" i="70"/>
  <c r="L30" i="70"/>
  <c r="N30" i="70" s="1"/>
  <c r="X33" i="29"/>
  <c r="X15" i="38"/>
  <c r="T18" i="17"/>
  <c r="T27" i="17" s="1"/>
  <c r="T31" i="17" s="1"/>
  <c r="X34" i="17"/>
  <c r="X13" i="52"/>
  <c r="L34" i="10"/>
  <c r="X25" i="13"/>
  <c r="X20" i="52"/>
  <c r="L21" i="14"/>
  <c r="X21" i="17"/>
  <c r="L29" i="17"/>
  <c r="L34" i="17"/>
  <c r="L24" i="23"/>
  <c r="L21" i="35"/>
  <c r="X25" i="35"/>
  <c r="L20" i="37"/>
  <c r="X24" i="37"/>
  <c r="L15" i="38"/>
  <c r="L34" i="38"/>
  <c r="L25" i="47"/>
  <c r="L33" i="47"/>
  <c r="L33" i="50"/>
  <c r="X29" i="26"/>
  <c r="L33" i="23"/>
  <c r="L24" i="25"/>
  <c r="L33" i="34"/>
  <c r="L22" i="35"/>
  <c r="L21" i="37"/>
  <c r="X25" i="37"/>
  <c r="P18" i="49"/>
  <c r="P27" i="49" s="1"/>
  <c r="L22" i="4"/>
  <c r="X15" i="5"/>
  <c r="X21" i="7"/>
  <c r="X16" i="8"/>
  <c r="X22" i="20"/>
  <c r="L22" i="29"/>
  <c r="L20" i="40"/>
  <c r="L34" i="41"/>
  <c r="L13" i="43"/>
  <c r="L33" i="43"/>
  <c r="L33" i="46"/>
  <c r="L25" i="26"/>
  <c r="L33" i="26"/>
  <c r="X20" i="32"/>
  <c r="L25" i="41"/>
  <c r="X29" i="32"/>
  <c r="X13" i="44"/>
  <c r="X21" i="41"/>
  <c r="X15" i="50"/>
  <c r="L29" i="5"/>
  <c r="X33" i="99"/>
  <c r="X22" i="47"/>
  <c r="X33" i="49"/>
  <c r="X15" i="14"/>
  <c r="L33" i="41"/>
  <c r="L15" i="7"/>
  <c r="L24" i="7"/>
  <c r="X25" i="8"/>
  <c r="L24" i="10"/>
  <c r="L21" i="11"/>
  <c r="X33" i="11"/>
  <c r="X25" i="16"/>
  <c r="L16" i="17"/>
  <c r="X22" i="17"/>
  <c r="L13" i="19"/>
  <c r="L29" i="44"/>
  <c r="L20" i="46"/>
  <c r="X24" i="46"/>
  <c r="L13" i="47"/>
  <c r="X16" i="4"/>
  <c r="X33" i="19"/>
  <c r="L22" i="20"/>
  <c r="L13" i="23"/>
  <c r="L22" i="23"/>
  <c r="X13" i="25"/>
  <c r="X25" i="25"/>
  <c r="X33" i="25"/>
  <c r="X22" i="26"/>
  <c r="X24" i="28"/>
  <c r="L22" i="34"/>
  <c r="X29" i="35"/>
  <c r="X22" i="37"/>
  <c r="L25" i="38"/>
  <c r="L15" i="46"/>
  <c r="L34" i="46"/>
  <c r="X13" i="47"/>
  <c r="X25" i="53"/>
  <c r="X13" i="98"/>
  <c r="X29" i="99"/>
  <c r="F27" i="5"/>
  <c r="X15" i="8"/>
  <c r="X15" i="11"/>
  <c r="X24" i="13"/>
  <c r="L34" i="14"/>
  <c r="X16" i="22"/>
  <c r="X22" i="23"/>
  <c r="X34" i="29"/>
  <c r="L16" i="34"/>
  <c r="L20" i="44"/>
  <c r="L29" i="47"/>
  <c r="X21" i="50"/>
  <c r="X21" i="53"/>
  <c r="X21" i="38"/>
  <c r="L13" i="4"/>
  <c r="X21" i="23"/>
  <c r="L20" i="38"/>
  <c r="X29" i="41"/>
  <c r="L25" i="44"/>
  <c r="X34" i="53"/>
  <c r="L21" i="26"/>
  <c r="N12" i="29"/>
  <c r="L29" i="35"/>
  <c r="X20" i="43"/>
  <c r="X29" i="50"/>
  <c r="F18" i="53"/>
  <c r="X21" i="100"/>
  <c r="L29" i="100"/>
  <c r="L13" i="5"/>
  <c r="X25" i="7"/>
  <c r="X33" i="10"/>
  <c r="X20" i="14"/>
  <c r="L13" i="16"/>
  <c r="L25" i="16"/>
  <c r="L15" i="20"/>
  <c r="X25" i="23"/>
  <c r="X33" i="23"/>
  <c r="L34" i="25"/>
  <c r="L22" i="28"/>
  <c r="L16" i="31"/>
  <c r="X22" i="31"/>
  <c r="X24" i="35"/>
  <c r="L33" i="37"/>
  <c r="L13" i="40"/>
  <c r="X20" i="41"/>
  <c r="X13" i="43"/>
  <c r="X15" i="46"/>
  <c r="X16" i="47"/>
  <c r="X25" i="47"/>
  <c r="X13" i="49"/>
  <c r="L13" i="50"/>
  <c r="V15" i="50"/>
  <c r="X24" i="53"/>
  <c r="L29" i="98"/>
  <c r="L13" i="99"/>
  <c r="X25" i="11"/>
  <c r="L13" i="17"/>
  <c r="L13" i="46"/>
  <c r="L21" i="8"/>
  <c r="L25" i="19"/>
  <c r="L24" i="47"/>
  <c r="L21" i="5"/>
  <c r="X25" i="5"/>
  <c r="X24" i="10"/>
  <c r="L29" i="11"/>
  <c r="X13" i="14"/>
  <c r="X22" i="14"/>
  <c r="X16" i="16"/>
  <c r="X22" i="19"/>
  <c r="F25" i="19"/>
  <c r="X20" i="20"/>
  <c r="X34" i="20"/>
  <c r="X34" i="26"/>
  <c r="L21" i="28"/>
  <c r="L29" i="31"/>
  <c r="L34" i="31"/>
  <c r="L25" i="35"/>
  <c r="V16" i="43"/>
  <c r="L24" i="43"/>
  <c r="L29" i="43"/>
  <c r="X15" i="47"/>
  <c r="L34" i="47"/>
  <c r="X24" i="4"/>
  <c r="X24" i="8"/>
  <c r="L20" i="11"/>
  <c r="L15" i="13"/>
  <c r="L29" i="13"/>
  <c r="L34" i="13"/>
  <c r="X16" i="14"/>
  <c r="L15" i="16"/>
  <c r="X13" i="19"/>
  <c r="L25" i="22"/>
  <c r="X34" i="23"/>
  <c r="X16" i="34"/>
  <c r="X25" i="34"/>
  <c r="L29" i="37"/>
  <c r="X16" i="38"/>
  <c r="L34" i="40"/>
  <c r="X16" i="41"/>
  <c r="L21" i="46"/>
  <c r="X25" i="46"/>
  <c r="X24" i="49"/>
  <c r="X22" i="53"/>
  <c r="X22" i="98"/>
  <c r="L16" i="5"/>
  <c r="N21" i="8"/>
  <c r="X16" i="13"/>
  <c r="Z34" i="14"/>
  <c r="J27" i="22"/>
  <c r="F29" i="50"/>
  <c r="X16" i="52"/>
  <c r="J33" i="52"/>
  <c r="R18" i="53"/>
  <c r="X21" i="4"/>
  <c r="L16" i="7"/>
  <c r="J15" i="8"/>
  <c r="L21" i="10"/>
  <c r="X20" i="11"/>
  <c r="X29" i="11"/>
  <c r="X34" i="16"/>
  <c r="L20" i="17"/>
  <c r="X25" i="19"/>
  <c r="L13" i="20"/>
  <c r="L22" i="22"/>
  <c r="X24" i="22"/>
  <c r="X13" i="23"/>
  <c r="J22" i="23"/>
  <c r="L25" i="25"/>
  <c r="L33" i="25"/>
  <c r="X16" i="28"/>
  <c r="R36" i="31"/>
  <c r="X15" i="32"/>
  <c r="X24" i="32"/>
  <c r="X22" i="34"/>
  <c r="L25" i="34"/>
  <c r="L22" i="37"/>
  <c r="J18" i="38"/>
  <c r="X22" i="40"/>
  <c r="L21" i="44"/>
  <c r="X22" i="44"/>
  <c r="X20" i="46"/>
  <c r="L22" i="46"/>
  <c r="L24" i="52"/>
  <c r="R16" i="98"/>
  <c r="X13" i="99"/>
  <c r="L34" i="100"/>
  <c r="J27" i="35"/>
  <c r="V20" i="5"/>
  <c r="L25" i="7"/>
  <c r="L24" i="14"/>
  <c r="J31" i="16"/>
  <c r="X29" i="20"/>
  <c r="F21" i="25"/>
  <c r="L15" i="28"/>
  <c r="L24" i="31"/>
  <c r="R25" i="31"/>
  <c r="J29" i="32"/>
  <c r="L21" i="40"/>
  <c r="X33" i="40"/>
  <c r="X25" i="44"/>
  <c r="X21" i="98"/>
  <c r="X20" i="4"/>
  <c r="J22" i="5"/>
  <c r="L25" i="5"/>
  <c r="X29" i="5"/>
  <c r="L25" i="11"/>
  <c r="L33" i="11"/>
  <c r="L33" i="16"/>
  <c r="X24" i="19"/>
  <c r="N22" i="20"/>
  <c r="L25" i="20"/>
  <c r="X16" i="29"/>
  <c r="L15" i="31"/>
  <c r="X34" i="32"/>
  <c r="X24" i="38"/>
  <c r="L16" i="41"/>
  <c r="V31" i="43"/>
  <c r="L25" i="46"/>
  <c r="L15" i="47"/>
  <c r="X33" i="47"/>
  <c r="X16" i="50"/>
  <c r="L25" i="50"/>
  <c r="L33" i="98"/>
  <c r="Z12" i="10"/>
  <c r="N12" i="16"/>
  <c r="F29" i="19"/>
  <c r="J36" i="35"/>
  <c r="X12" i="40"/>
  <c r="J33" i="8"/>
  <c r="J36" i="4"/>
  <c r="F18" i="5"/>
  <c r="F31" i="5"/>
  <c r="X13" i="8"/>
  <c r="J27" i="29"/>
  <c r="X13" i="32"/>
  <c r="X15" i="34"/>
  <c r="L20" i="34"/>
  <c r="L16" i="38"/>
  <c r="Z12" i="40"/>
  <c r="Z12" i="50"/>
  <c r="V16" i="50"/>
  <c r="F21" i="50"/>
  <c r="X13" i="53"/>
  <c r="X21" i="5"/>
  <c r="L29" i="7"/>
  <c r="J36" i="8"/>
  <c r="L22" i="10"/>
  <c r="R22" i="13"/>
  <c r="L21" i="17"/>
  <c r="X25" i="17"/>
  <c r="X33" i="17"/>
  <c r="L16" i="19"/>
  <c r="X29" i="19"/>
  <c r="X21" i="22"/>
  <c r="L24" i="22"/>
  <c r="X24" i="23"/>
  <c r="L13" i="25"/>
  <c r="L15" i="26"/>
  <c r="X21" i="26"/>
  <c r="L13" i="28"/>
  <c r="L25" i="28"/>
  <c r="L33" i="28"/>
  <c r="X20" i="31"/>
  <c r="X16" i="32"/>
  <c r="L21" i="32"/>
  <c r="X25" i="32"/>
  <c r="L29" i="34"/>
  <c r="L34" i="34"/>
  <c r="X16" i="35"/>
  <c r="X33" i="35"/>
  <c r="V27" i="37"/>
  <c r="X15" i="40"/>
  <c r="X29" i="40"/>
  <c r="L24" i="41"/>
  <c r="L13" i="44"/>
  <c r="X34" i="44"/>
  <c r="V16" i="46"/>
  <c r="X21" i="46"/>
  <c r="X29" i="47"/>
  <c r="J15" i="49"/>
  <c r="R22" i="49"/>
  <c r="V18" i="50"/>
  <c r="L24" i="50"/>
  <c r="L21" i="53"/>
  <c r="L16" i="98"/>
  <c r="X20" i="99"/>
  <c r="R29" i="99"/>
  <c r="J15" i="4"/>
  <c r="F16" i="5"/>
  <c r="L34" i="5"/>
  <c r="X20" i="7"/>
  <c r="J34" i="7"/>
  <c r="J21" i="10"/>
  <c r="J33" i="10"/>
  <c r="J31" i="10"/>
  <c r="L21" i="13"/>
  <c r="L33" i="19"/>
  <c r="L21" i="43"/>
  <c r="X34" i="50"/>
  <c r="X16" i="99"/>
  <c r="Z12" i="4"/>
  <c r="X15" i="4"/>
  <c r="X34" i="4"/>
  <c r="L15" i="5"/>
  <c r="F34" i="5"/>
  <c r="X13" i="7"/>
  <c r="R20" i="7"/>
  <c r="L33" i="7"/>
  <c r="X34" i="7"/>
  <c r="L34" i="8"/>
  <c r="N12" i="10"/>
  <c r="X13" i="10"/>
  <c r="X20" i="10"/>
  <c r="L20" i="13"/>
  <c r="L29" i="19"/>
  <c r="L33" i="35"/>
  <c r="X15" i="43"/>
  <c r="R20" i="44"/>
  <c r="L22" i="52"/>
  <c r="L21" i="4"/>
  <c r="V21" i="10"/>
  <c r="V24" i="13"/>
  <c r="V16" i="13"/>
  <c r="X20" i="16"/>
  <c r="V20" i="99"/>
  <c r="V21" i="99"/>
  <c r="F20" i="4"/>
  <c r="F21" i="4"/>
  <c r="L22" i="5"/>
  <c r="X24" i="5"/>
  <c r="L33" i="5"/>
  <c r="L22" i="7"/>
  <c r="R36" i="7"/>
  <c r="L22" i="8"/>
  <c r="X34" i="8"/>
  <c r="L15" i="23"/>
  <c r="L34" i="26"/>
  <c r="F22" i="41"/>
  <c r="J34" i="44"/>
  <c r="H18" i="44"/>
  <c r="J15" i="44"/>
  <c r="V34" i="53"/>
  <c r="V20" i="53"/>
  <c r="J27" i="7"/>
  <c r="R33" i="7"/>
  <c r="F24" i="11"/>
  <c r="F31" i="11"/>
  <c r="F25" i="11"/>
  <c r="F34" i="11"/>
  <c r="D18" i="11"/>
  <c r="D27" i="11" s="1"/>
  <c r="D31" i="11" s="1"/>
  <c r="N21" i="14"/>
  <c r="X13" i="17"/>
  <c r="V16" i="10"/>
  <c r="J18" i="11"/>
  <c r="J21" i="11"/>
  <c r="J22" i="11"/>
  <c r="R34" i="14"/>
  <c r="R36" i="14"/>
  <c r="R33" i="14"/>
  <c r="R25" i="14"/>
  <c r="R15" i="14"/>
  <c r="R29" i="14"/>
  <c r="X20" i="29"/>
  <c r="R29" i="32"/>
  <c r="R33" i="32"/>
  <c r="R25" i="32"/>
  <c r="R15" i="32"/>
  <c r="J20" i="98"/>
  <c r="J21" i="98"/>
  <c r="L15" i="98"/>
  <c r="D18" i="98"/>
  <c r="D27" i="98" s="1"/>
  <c r="L29" i="4"/>
  <c r="J21" i="5"/>
  <c r="X22" i="5"/>
  <c r="X33" i="5"/>
  <c r="X15" i="7"/>
  <c r="X22" i="7"/>
  <c r="X20" i="8"/>
  <c r="X33" i="8"/>
  <c r="L13" i="10"/>
  <c r="X15" i="10"/>
  <c r="J18" i="10"/>
  <c r="J22" i="10"/>
  <c r="L29" i="28"/>
  <c r="V34" i="32"/>
  <c r="V15" i="32"/>
  <c r="Z12" i="32"/>
  <c r="L22" i="40"/>
  <c r="X22" i="43"/>
  <c r="X34" i="49"/>
  <c r="R20" i="50"/>
  <c r="X12" i="50"/>
  <c r="R18" i="98"/>
  <c r="R20" i="98"/>
  <c r="R25" i="98"/>
  <c r="R15" i="98"/>
  <c r="V20" i="4"/>
  <c r="L13" i="7"/>
  <c r="R15" i="7"/>
  <c r="V21" i="8"/>
  <c r="J24" i="11"/>
  <c r="R18" i="19"/>
  <c r="L25" i="98"/>
  <c r="L21" i="99"/>
  <c r="X24" i="11"/>
  <c r="V27" i="11"/>
  <c r="L13" i="13"/>
  <c r="X21" i="13"/>
  <c r="X21" i="14"/>
  <c r="L25" i="14"/>
  <c r="X13" i="16"/>
  <c r="L22" i="16"/>
  <c r="X24" i="16"/>
  <c r="J27" i="16"/>
  <c r="L15" i="17"/>
  <c r="L20" i="19"/>
  <c r="X21" i="19"/>
  <c r="X24" i="20"/>
  <c r="L34" i="22"/>
  <c r="X15" i="23"/>
  <c r="L20" i="23"/>
  <c r="X29" i="25"/>
  <c r="X34" i="28"/>
  <c r="R33" i="29"/>
  <c r="L22" i="31"/>
  <c r="R33" i="31"/>
  <c r="D18" i="40"/>
  <c r="D27" i="40" s="1"/>
  <c r="F36" i="40"/>
  <c r="X22" i="41"/>
  <c r="X25" i="43"/>
  <c r="X34" i="43"/>
  <c r="L15" i="44"/>
  <c r="L22" i="44"/>
  <c r="V18" i="46"/>
  <c r="X20" i="47"/>
  <c r="L22" i="47"/>
  <c r="X24" i="47"/>
  <c r="L24" i="49"/>
  <c r="R25" i="49"/>
  <c r="F36" i="50"/>
  <c r="X15" i="52"/>
  <c r="L21" i="52"/>
  <c r="J29" i="52"/>
  <c r="L20" i="53"/>
  <c r="R22" i="53"/>
  <c r="L25" i="53"/>
  <c r="P18" i="98"/>
  <c r="X24" i="98"/>
  <c r="L34" i="98"/>
  <c r="J15" i="99"/>
  <c r="X22" i="99"/>
  <c r="R36" i="99"/>
  <c r="V29" i="100"/>
  <c r="V16" i="11"/>
  <c r="X20" i="13"/>
  <c r="X33" i="13"/>
  <c r="J34" i="14"/>
  <c r="L29" i="16"/>
  <c r="R36" i="16"/>
  <c r="L24" i="19"/>
  <c r="L16" i="20"/>
  <c r="F20" i="23"/>
  <c r="J36" i="23"/>
  <c r="F16" i="25"/>
  <c r="J22" i="29"/>
  <c r="R36" i="29"/>
  <c r="X16" i="31"/>
  <c r="F22" i="31"/>
  <c r="J22" i="34"/>
  <c r="J29" i="35"/>
  <c r="R29" i="40"/>
  <c r="V36" i="40"/>
  <c r="R18" i="41"/>
  <c r="V15" i="46"/>
  <c r="X34" i="46"/>
  <c r="L16" i="49"/>
  <c r="J33" i="49"/>
  <c r="F15" i="50"/>
  <c r="F16" i="50"/>
  <c r="F20" i="50"/>
  <c r="V33" i="50"/>
  <c r="J18" i="52"/>
  <c r="J25" i="99"/>
  <c r="L33" i="14"/>
  <c r="J22" i="16"/>
  <c r="J34" i="22"/>
  <c r="L34" i="37"/>
  <c r="X20" i="38"/>
  <c r="L24" i="38"/>
  <c r="F34" i="40"/>
  <c r="L16" i="43"/>
  <c r="V22" i="46"/>
  <c r="V29" i="50"/>
  <c r="J25" i="52"/>
  <c r="L20" i="98"/>
  <c r="L24" i="99"/>
  <c r="X25" i="99"/>
  <c r="L34" i="99"/>
  <c r="Z12" i="100"/>
  <c r="V16" i="100"/>
  <c r="L13" i="11"/>
  <c r="X15" i="17"/>
  <c r="F31" i="19"/>
  <c r="X15" i="22"/>
  <c r="J18" i="22"/>
  <c r="J31" i="22"/>
  <c r="J24" i="23"/>
  <c r="L15" i="25"/>
  <c r="L16" i="25"/>
  <c r="X24" i="25"/>
  <c r="F27" i="25"/>
  <c r="X20" i="26"/>
  <c r="X15" i="29"/>
  <c r="R22" i="29"/>
  <c r="L24" i="32"/>
  <c r="L21" i="34"/>
  <c r="X15" i="35"/>
  <c r="T18" i="35"/>
  <c r="T27" i="35" s="1"/>
  <c r="T31" i="35" s="1"/>
  <c r="J25" i="35"/>
  <c r="R20" i="38"/>
  <c r="L12" i="40"/>
  <c r="V25" i="40"/>
  <c r="V29" i="40"/>
  <c r="V21" i="46"/>
  <c r="V34" i="46"/>
  <c r="X16" i="49"/>
  <c r="V20" i="49"/>
  <c r="F27" i="50"/>
  <c r="F31" i="50"/>
  <c r="F34" i="50"/>
  <c r="J31" i="52"/>
  <c r="X34" i="52"/>
  <c r="F33" i="53"/>
  <c r="Z12" i="16"/>
  <c r="R29" i="16"/>
  <c r="F27" i="19"/>
  <c r="Z29" i="20"/>
  <c r="X16" i="25"/>
  <c r="F22" i="25"/>
  <c r="L29" i="25"/>
  <c r="J31" i="29"/>
  <c r="R18" i="31"/>
  <c r="V29" i="35"/>
  <c r="X15" i="37"/>
  <c r="F27" i="40"/>
  <c r="X12" i="46"/>
  <c r="J29" i="49"/>
  <c r="V27" i="50"/>
  <c r="J24" i="52"/>
  <c r="N12" i="99"/>
  <c r="X29" i="10"/>
  <c r="X21" i="11"/>
  <c r="X34" i="11"/>
  <c r="X22" i="13"/>
  <c r="X34" i="13"/>
  <c r="L29" i="14"/>
  <c r="X21" i="16"/>
  <c r="L24" i="16"/>
  <c r="J34" i="16"/>
  <c r="X16" i="19"/>
  <c r="F33" i="19"/>
  <c r="X21" i="20"/>
  <c r="X34" i="22"/>
  <c r="N12" i="23"/>
  <c r="X29" i="23"/>
  <c r="X15" i="25"/>
  <c r="R16" i="25"/>
  <c r="L22" i="25"/>
  <c r="F29" i="25"/>
  <c r="X13" i="26"/>
  <c r="L16" i="26"/>
  <c r="L24" i="28"/>
  <c r="L24" i="29"/>
  <c r="X25" i="29"/>
  <c r="L13" i="31"/>
  <c r="V15" i="35"/>
  <c r="J31" i="35"/>
  <c r="R15" i="37"/>
  <c r="R21" i="37"/>
  <c r="F18" i="38"/>
  <c r="L22" i="38"/>
  <c r="L16" i="40"/>
  <c r="V27" i="40"/>
  <c r="X24" i="41"/>
  <c r="L29" i="41"/>
  <c r="Z12" i="43"/>
  <c r="L34" i="43"/>
  <c r="X20" i="44"/>
  <c r="X21" i="44"/>
  <c r="L33" i="44"/>
  <c r="Z12" i="46"/>
  <c r="V20" i="46"/>
  <c r="X33" i="46"/>
  <c r="X21" i="47"/>
  <c r="R15" i="49"/>
  <c r="L21" i="49"/>
  <c r="X24" i="50"/>
  <c r="L29" i="50"/>
  <c r="J27" i="52"/>
  <c r="L15" i="53"/>
  <c r="X33" i="53"/>
  <c r="F24" i="98"/>
  <c r="X33" i="98"/>
  <c r="J27" i="99"/>
  <c r="F16" i="34"/>
  <c r="F24" i="34"/>
  <c r="F24" i="100"/>
  <c r="F22" i="100"/>
  <c r="F33" i="100"/>
  <c r="F34" i="100"/>
  <c r="F29" i="100"/>
  <c r="F25" i="100"/>
  <c r="F21" i="100"/>
  <c r="F15" i="100"/>
  <c r="F31" i="100"/>
  <c r="F18" i="100"/>
  <c r="F27" i="100"/>
  <c r="V27" i="5"/>
  <c r="V31" i="5"/>
  <c r="X16" i="7"/>
  <c r="V31" i="11"/>
  <c r="F31" i="13"/>
  <c r="L15" i="14"/>
  <c r="F34" i="17"/>
  <c r="F16" i="17"/>
  <c r="D18" i="17"/>
  <c r="N34" i="20"/>
  <c r="L34" i="20"/>
  <c r="R22" i="28"/>
  <c r="R15" i="28"/>
  <c r="X12" i="28"/>
  <c r="R36" i="28"/>
  <c r="R33" i="28"/>
  <c r="R25" i="28"/>
  <c r="P18" i="28"/>
  <c r="R29" i="28"/>
  <c r="Z13" i="29"/>
  <c r="X13" i="29"/>
  <c r="J31" i="4"/>
  <c r="X12" i="5"/>
  <c r="L20" i="5"/>
  <c r="J29" i="8"/>
  <c r="V20" i="10"/>
  <c r="J27" i="10"/>
  <c r="J34" i="10"/>
  <c r="X12" i="11"/>
  <c r="L15" i="11"/>
  <c r="L16" i="11"/>
  <c r="F18" i="11"/>
  <c r="X22" i="11"/>
  <c r="F29" i="11"/>
  <c r="L16" i="13"/>
  <c r="Z16" i="13"/>
  <c r="F27" i="13"/>
  <c r="V31" i="13"/>
  <c r="L13" i="14"/>
  <c r="R16" i="14"/>
  <c r="R20" i="14"/>
  <c r="J27" i="14"/>
  <c r="J31" i="14"/>
  <c r="J21" i="17"/>
  <c r="J24" i="17"/>
  <c r="F20" i="17"/>
  <c r="L25" i="17"/>
  <c r="L33" i="17"/>
  <c r="L22" i="19"/>
  <c r="N22" i="19"/>
  <c r="L15" i="22"/>
  <c r="L21" i="23"/>
  <c r="L21" i="29"/>
  <c r="J15" i="32"/>
  <c r="R20" i="100"/>
  <c r="X12" i="100"/>
  <c r="R21" i="100"/>
  <c r="R18" i="100"/>
  <c r="J36" i="20"/>
  <c r="J25" i="20"/>
  <c r="J29" i="20"/>
  <c r="J33" i="20"/>
  <c r="X13" i="5"/>
  <c r="V18" i="5"/>
  <c r="L13" i="8"/>
  <c r="X13" i="11"/>
  <c r="F34" i="13"/>
  <c r="V16" i="4"/>
  <c r="X22" i="4"/>
  <c r="J27" i="4"/>
  <c r="L33" i="4"/>
  <c r="J34" i="4"/>
  <c r="Z12" i="5"/>
  <c r="F20" i="5"/>
  <c r="J24" i="5"/>
  <c r="X34" i="5"/>
  <c r="J18" i="7"/>
  <c r="N12" i="8"/>
  <c r="V16" i="8"/>
  <c r="V20" i="8"/>
  <c r="L24" i="8"/>
  <c r="J25" i="8"/>
  <c r="X29" i="8"/>
  <c r="H18" i="10"/>
  <c r="H27" i="10" s="1"/>
  <c r="N27" i="10" s="1"/>
  <c r="Z12" i="11"/>
  <c r="F15" i="11"/>
  <c r="F16" i="11"/>
  <c r="T18" i="11"/>
  <c r="T27" i="11" s="1"/>
  <c r="Z27" i="11" s="1"/>
  <c r="V20" i="11"/>
  <c r="R22" i="11"/>
  <c r="R24" i="11"/>
  <c r="F16" i="13"/>
  <c r="R18" i="13"/>
  <c r="V20" i="13"/>
  <c r="V22" i="13"/>
  <c r="V27" i="13"/>
  <c r="L33" i="13"/>
  <c r="R15" i="16"/>
  <c r="R33" i="16"/>
  <c r="L12" i="17"/>
  <c r="J15" i="20"/>
  <c r="H18" i="20"/>
  <c r="H27" i="20" s="1"/>
  <c r="N27" i="20" s="1"/>
  <c r="L20" i="25"/>
  <c r="Z22" i="25"/>
  <c r="X22" i="25"/>
  <c r="X16" i="26"/>
  <c r="R18" i="28"/>
  <c r="X29" i="29"/>
  <c r="Z12" i="34"/>
  <c r="V16" i="34"/>
  <c r="V15" i="34"/>
  <c r="V24" i="34"/>
  <c r="V20" i="34"/>
  <c r="R36" i="35"/>
  <c r="R15" i="35"/>
  <c r="R21" i="47"/>
  <c r="P18" i="99"/>
  <c r="P27" i="99" s="1"/>
  <c r="X15" i="99"/>
  <c r="V20" i="31"/>
  <c r="V22" i="31"/>
  <c r="F20" i="37"/>
  <c r="F25" i="37"/>
  <c r="F36" i="37"/>
  <c r="F34" i="37"/>
  <c r="F33" i="37"/>
  <c r="L12" i="37"/>
  <c r="D18" i="37"/>
  <c r="D27" i="37" s="1"/>
  <c r="F31" i="37"/>
  <c r="F34" i="38"/>
  <c r="F24" i="38"/>
  <c r="F22" i="38"/>
  <c r="F20" i="38"/>
  <c r="P18" i="7"/>
  <c r="P27" i="7" s="1"/>
  <c r="R20" i="17"/>
  <c r="R21" i="17"/>
  <c r="R34" i="26"/>
  <c r="R15" i="26"/>
  <c r="X13" i="4"/>
  <c r="H18" i="4"/>
  <c r="L24" i="4"/>
  <c r="L25" i="4"/>
  <c r="J33" i="4"/>
  <c r="R24" i="5"/>
  <c r="V34" i="5"/>
  <c r="R18" i="7"/>
  <c r="R29" i="7"/>
  <c r="J24" i="8"/>
  <c r="F16" i="10"/>
  <c r="J29" i="10"/>
  <c r="X34" i="10"/>
  <c r="V22" i="11"/>
  <c r="V25" i="11"/>
  <c r="X12" i="13"/>
  <c r="J16" i="13"/>
  <c r="F20" i="13"/>
  <c r="L22" i="13"/>
  <c r="L24" i="13"/>
  <c r="L25" i="13"/>
  <c r="J18" i="14"/>
  <c r="X15" i="16"/>
  <c r="P18" i="16"/>
  <c r="P27" i="16" s="1"/>
  <c r="R25" i="16"/>
  <c r="X33" i="16"/>
  <c r="V34" i="17"/>
  <c r="V20" i="17"/>
  <c r="V16" i="17"/>
  <c r="V15" i="17"/>
  <c r="X15" i="20"/>
  <c r="Z15" i="20"/>
  <c r="N33" i="22"/>
  <c r="L33" i="22"/>
  <c r="P18" i="32"/>
  <c r="P27" i="32" s="1"/>
  <c r="L13" i="34"/>
  <c r="V22" i="34"/>
  <c r="N33" i="38"/>
  <c r="L33" i="38"/>
  <c r="F27" i="43"/>
  <c r="F20" i="43"/>
  <c r="F16" i="43"/>
  <c r="F18" i="43"/>
  <c r="F34" i="43"/>
  <c r="J18" i="50"/>
  <c r="J21" i="50"/>
  <c r="V18" i="11"/>
  <c r="V21" i="11"/>
  <c r="L16" i="4"/>
  <c r="V21" i="4"/>
  <c r="J29" i="4"/>
  <c r="R22" i="5"/>
  <c r="L20" i="7"/>
  <c r="L21" i="7"/>
  <c r="X24" i="7"/>
  <c r="R25" i="7"/>
  <c r="L34" i="7"/>
  <c r="Z12" i="8"/>
  <c r="F21" i="8"/>
  <c r="J31" i="8"/>
  <c r="F20" i="10"/>
  <c r="F21" i="10"/>
  <c r="J25" i="10"/>
  <c r="L12" i="11"/>
  <c r="X16" i="11"/>
  <c r="F20" i="11"/>
  <c r="F21" i="11"/>
  <c r="V29" i="11"/>
  <c r="Z12" i="13"/>
  <c r="F22" i="13"/>
  <c r="V34" i="13"/>
  <c r="P18" i="14"/>
  <c r="P27" i="14" s="1"/>
  <c r="L22" i="14"/>
  <c r="V18" i="16"/>
  <c r="L21" i="16"/>
  <c r="R24" i="16"/>
  <c r="X29" i="16"/>
  <c r="Z12" i="17"/>
  <c r="F15" i="17"/>
  <c r="L24" i="26"/>
  <c r="X20" i="28"/>
  <c r="J21" i="32"/>
  <c r="J34" i="32"/>
  <c r="J24" i="32"/>
  <c r="J31" i="32"/>
  <c r="J27" i="32"/>
  <c r="J36" i="32"/>
  <c r="J18" i="32"/>
  <c r="H18" i="32"/>
  <c r="N18" i="32" s="1"/>
  <c r="J22" i="32"/>
  <c r="N12" i="32"/>
  <c r="J25" i="32"/>
  <c r="F15" i="37"/>
  <c r="F29" i="37"/>
  <c r="V34" i="52"/>
  <c r="V16" i="52"/>
  <c r="Z12" i="52"/>
  <c r="T18" i="52"/>
  <c r="T27" i="52" s="1"/>
  <c r="T31" i="52" s="1"/>
  <c r="T36" i="52" s="1"/>
  <c r="Z36" i="52" s="1"/>
  <c r="V20" i="52"/>
  <c r="D18" i="19"/>
  <c r="D27" i="19" s="1"/>
  <c r="L15" i="19"/>
  <c r="H18" i="8"/>
  <c r="V34" i="11"/>
  <c r="L15" i="4"/>
  <c r="F16" i="4"/>
  <c r="L20" i="4"/>
  <c r="J24" i="4"/>
  <c r="J25" i="4"/>
  <c r="X29" i="4"/>
  <c r="N12" i="5"/>
  <c r="V16" i="5"/>
  <c r="R16" i="7"/>
  <c r="J31" i="7"/>
  <c r="F16" i="8"/>
  <c r="F20" i="8"/>
  <c r="J27" i="8"/>
  <c r="J34" i="8"/>
  <c r="J15" i="10"/>
  <c r="X16" i="10"/>
  <c r="J24" i="10"/>
  <c r="X25" i="10"/>
  <c r="J36" i="10"/>
  <c r="N12" i="11"/>
  <c r="V15" i="11"/>
  <c r="F22" i="11"/>
  <c r="L24" i="11"/>
  <c r="F27" i="11"/>
  <c r="X29" i="13"/>
  <c r="L16" i="14"/>
  <c r="L20" i="14"/>
  <c r="X25" i="14"/>
  <c r="X29" i="14"/>
  <c r="X33" i="14"/>
  <c r="L16" i="16"/>
  <c r="L20" i="16"/>
  <c r="X22" i="16"/>
  <c r="L34" i="19"/>
  <c r="Z20" i="22"/>
  <c r="X20" i="22"/>
  <c r="L29" i="22"/>
  <c r="V34" i="23"/>
  <c r="V21" i="23"/>
  <c r="V18" i="23"/>
  <c r="V20" i="23"/>
  <c r="V16" i="23"/>
  <c r="Z12" i="23"/>
  <c r="X15" i="26"/>
  <c r="Z15" i="26"/>
  <c r="L34" i="28"/>
  <c r="X12" i="32"/>
  <c r="R36" i="32"/>
  <c r="R22" i="32"/>
  <c r="V20" i="37"/>
  <c r="V29" i="37"/>
  <c r="X12" i="37"/>
  <c r="V36" i="37"/>
  <c r="T18" i="37"/>
  <c r="T27" i="37" s="1"/>
  <c r="T31" i="37" s="1"/>
  <c r="V25" i="37"/>
  <c r="V15" i="37"/>
  <c r="V33" i="37"/>
  <c r="L25" i="37"/>
  <c r="V34" i="37"/>
  <c r="R34" i="47"/>
  <c r="R36" i="47"/>
  <c r="R16" i="47"/>
  <c r="R18" i="47"/>
  <c r="R25" i="47"/>
  <c r="R29" i="47"/>
  <c r="R20" i="47"/>
  <c r="R22" i="47"/>
  <c r="R24" i="47"/>
  <c r="P18" i="47"/>
  <c r="P27" i="47" s="1"/>
  <c r="R15" i="47"/>
  <c r="N21" i="50"/>
  <c r="L21" i="50"/>
  <c r="V24" i="53"/>
  <c r="V16" i="53"/>
  <c r="V15" i="53"/>
  <c r="V36" i="53"/>
  <c r="V31" i="53"/>
  <c r="V33" i="53"/>
  <c r="V27" i="53"/>
  <c r="V29" i="53"/>
  <c r="V21" i="53"/>
  <c r="V18" i="53"/>
  <c r="Z12" i="53"/>
  <c r="V25" i="53"/>
  <c r="X12" i="53"/>
  <c r="V22" i="53"/>
  <c r="X24" i="17"/>
  <c r="F22" i="19"/>
  <c r="F24" i="19"/>
  <c r="X13" i="20"/>
  <c r="L20" i="20"/>
  <c r="L29" i="20"/>
  <c r="L13" i="22"/>
  <c r="J15" i="22"/>
  <c r="X20" i="23"/>
  <c r="J25" i="23"/>
  <c r="F15" i="25"/>
  <c r="F20" i="25"/>
  <c r="F24" i="25"/>
  <c r="F25" i="25"/>
  <c r="L20" i="26"/>
  <c r="L29" i="26"/>
  <c r="X33" i="26"/>
  <c r="X13" i="28"/>
  <c r="V16" i="29"/>
  <c r="V20" i="29"/>
  <c r="L34" i="29"/>
  <c r="L20" i="31"/>
  <c r="L21" i="31"/>
  <c r="V16" i="32"/>
  <c r="X33" i="32"/>
  <c r="J15" i="34"/>
  <c r="X20" i="34"/>
  <c r="X24" i="34"/>
  <c r="L13" i="35"/>
  <c r="J15" i="35"/>
  <c r="X20" i="35"/>
  <c r="V21" i="35"/>
  <c r="L24" i="35"/>
  <c r="L34" i="35"/>
  <c r="L13" i="37"/>
  <c r="X34" i="37"/>
  <c r="X13" i="38"/>
  <c r="L29" i="38"/>
  <c r="X21" i="40"/>
  <c r="X20" i="49"/>
  <c r="X12" i="52"/>
  <c r="R22" i="52"/>
  <c r="R15" i="52"/>
  <c r="R33" i="52"/>
  <c r="R29" i="52"/>
  <c r="R25" i="52"/>
  <c r="P18" i="52"/>
  <c r="L34" i="52"/>
  <c r="F22" i="98"/>
  <c r="F34" i="98"/>
  <c r="F33" i="98"/>
  <c r="F29" i="98"/>
  <c r="F16" i="98"/>
  <c r="F31" i="98"/>
  <c r="F15" i="98"/>
  <c r="F27" i="98"/>
  <c r="X15" i="19"/>
  <c r="R16" i="19"/>
  <c r="X20" i="19"/>
  <c r="R21" i="19"/>
  <c r="X33" i="20"/>
  <c r="V21" i="22"/>
  <c r="J25" i="22"/>
  <c r="J29" i="22"/>
  <c r="J33" i="22"/>
  <c r="L16" i="23"/>
  <c r="F18" i="23"/>
  <c r="R22" i="23"/>
  <c r="F36" i="25"/>
  <c r="X12" i="29"/>
  <c r="J34" i="29"/>
  <c r="R16" i="31"/>
  <c r="J34" i="35"/>
  <c r="Z34" i="37"/>
  <c r="L20" i="41"/>
  <c r="J36" i="43"/>
  <c r="J22" i="43"/>
  <c r="J24" i="43"/>
  <c r="N12" i="43"/>
  <c r="R21" i="52"/>
  <c r="L16" i="53"/>
  <c r="L12" i="98"/>
  <c r="F36" i="98"/>
  <c r="X20" i="17"/>
  <c r="R20" i="19"/>
  <c r="F36" i="19"/>
  <c r="V21" i="20"/>
  <c r="V22" i="20"/>
  <c r="Z33" i="20"/>
  <c r="X13" i="22"/>
  <c r="F16" i="23"/>
  <c r="X20" i="25"/>
  <c r="X21" i="25"/>
  <c r="V22" i="26"/>
  <c r="J16" i="28"/>
  <c r="J18" i="29"/>
  <c r="J24" i="29"/>
  <c r="R20" i="31"/>
  <c r="X21" i="31"/>
  <c r="V20" i="32"/>
  <c r="N12" i="34"/>
  <c r="L24" i="34"/>
  <c r="V25" i="35"/>
  <c r="J33" i="35"/>
  <c r="P18" i="37"/>
  <c r="R16" i="38"/>
  <c r="R15" i="38"/>
  <c r="R18" i="38"/>
  <c r="R22" i="38"/>
  <c r="F36" i="41"/>
  <c r="F20" i="41"/>
  <c r="F16" i="41"/>
  <c r="R34" i="43"/>
  <c r="R33" i="43"/>
  <c r="X12" i="43"/>
  <c r="F34" i="44"/>
  <c r="F21" i="44"/>
  <c r="F24" i="44"/>
  <c r="F20" i="44"/>
  <c r="F16" i="44"/>
  <c r="H18" i="49"/>
  <c r="L24" i="17"/>
  <c r="X29" i="17"/>
  <c r="X16" i="20"/>
  <c r="L24" i="20"/>
  <c r="H18" i="22"/>
  <c r="H27" i="22" s="1"/>
  <c r="N27" i="22" s="1"/>
  <c r="X25" i="22"/>
  <c r="X29" i="22"/>
  <c r="X33" i="22"/>
  <c r="J15" i="23"/>
  <c r="L29" i="23"/>
  <c r="J33" i="23"/>
  <c r="R20" i="25"/>
  <c r="R21" i="25"/>
  <c r="F31" i="25"/>
  <c r="F34" i="25"/>
  <c r="L13" i="26"/>
  <c r="J15" i="26"/>
  <c r="V21" i="26"/>
  <c r="Z29" i="26"/>
  <c r="X21" i="28"/>
  <c r="V22" i="28"/>
  <c r="Z12" i="29"/>
  <c r="J25" i="29"/>
  <c r="J29" i="29"/>
  <c r="R15" i="31"/>
  <c r="L25" i="31"/>
  <c r="R29" i="31"/>
  <c r="L34" i="32"/>
  <c r="X13" i="35"/>
  <c r="H18" i="35"/>
  <c r="N18" i="35" s="1"/>
  <c r="X34" i="35"/>
  <c r="L15" i="37"/>
  <c r="J21" i="37"/>
  <c r="X29" i="37"/>
  <c r="L25" i="40"/>
  <c r="L16" i="44"/>
  <c r="X29" i="44"/>
  <c r="J20" i="47"/>
  <c r="J22" i="47"/>
  <c r="J18" i="47"/>
  <c r="N12" i="47"/>
  <c r="X29" i="98"/>
  <c r="X24" i="100"/>
  <c r="L22" i="17"/>
  <c r="F15" i="19"/>
  <c r="F34" i="19"/>
  <c r="L21" i="20"/>
  <c r="X25" i="20"/>
  <c r="L33" i="20"/>
  <c r="L21" i="22"/>
  <c r="J36" i="22"/>
  <c r="X12" i="23"/>
  <c r="X16" i="23"/>
  <c r="F21" i="23"/>
  <c r="L25" i="23"/>
  <c r="J29" i="23"/>
  <c r="R18" i="25"/>
  <c r="F33" i="25"/>
  <c r="L22" i="26"/>
  <c r="X25" i="26"/>
  <c r="J15" i="29"/>
  <c r="X24" i="29"/>
  <c r="R25" i="29"/>
  <c r="R29" i="29"/>
  <c r="X13" i="31"/>
  <c r="P18" i="31"/>
  <c r="P27" i="31" s="1"/>
  <c r="L33" i="31"/>
  <c r="X34" i="31"/>
  <c r="T18" i="32"/>
  <c r="T27" i="32" s="1"/>
  <c r="Z27" i="32" s="1"/>
  <c r="L22" i="32"/>
  <c r="L15" i="34"/>
  <c r="L15" i="35"/>
  <c r="X21" i="35"/>
  <c r="L16" i="37"/>
  <c r="X21" i="37"/>
  <c r="J27" i="37"/>
  <c r="X33" i="37"/>
  <c r="L13" i="38"/>
  <c r="X25" i="38"/>
  <c r="F18" i="40"/>
  <c r="F15" i="40"/>
  <c r="F29" i="40"/>
  <c r="F31" i="40"/>
  <c r="F25" i="40"/>
  <c r="V36" i="41"/>
  <c r="V22" i="41"/>
  <c r="R24" i="43"/>
  <c r="R27" i="43"/>
  <c r="J33" i="43"/>
  <c r="J21" i="49"/>
  <c r="J34" i="49"/>
  <c r="J22" i="49"/>
  <c r="J25" i="49"/>
  <c r="J31" i="49"/>
  <c r="J27" i="49"/>
  <c r="J24" i="49"/>
  <c r="J36" i="49"/>
  <c r="N12" i="49"/>
  <c r="X29" i="49"/>
  <c r="X33" i="38"/>
  <c r="R15" i="40"/>
  <c r="R21" i="40"/>
  <c r="J27" i="40"/>
  <c r="J34" i="40"/>
  <c r="R36" i="40"/>
  <c r="L15" i="41"/>
  <c r="X25" i="41"/>
  <c r="X33" i="41"/>
  <c r="X16" i="43"/>
  <c r="J18" i="44"/>
  <c r="L34" i="44"/>
  <c r="T18" i="46"/>
  <c r="T27" i="46" s="1"/>
  <c r="R18" i="46"/>
  <c r="L24" i="46"/>
  <c r="X29" i="46"/>
  <c r="X15" i="49"/>
  <c r="R21" i="49"/>
  <c r="V25" i="49"/>
  <c r="R29" i="49"/>
  <c r="F22" i="50"/>
  <c r="F25" i="50"/>
  <c r="V31" i="50"/>
  <c r="V36" i="50"/>
  <c r="J34" i="52"/>
  <c r="F15" i="53"/>
  <c r="F16" i="53"/>
  <c r="X29" i="53"/>
  <c r="V25" i="98"/>
  <c r="R29" i="98"/>
  <c r="R15" i="99"/>
  <c r="J31" i="99"/>
  <c r="J36" i="99"/>
  <c r="V15" i="100"/>
  <c r="V20" i="100"/>
  <c r="X22" i="100"/>
  <c r="V25" i="100"/>
  <c r="X34" i="100"/>
  <c r="V15" i="40"/>
  <c r="P18" i="40"/>
  <c r="P27" i="40" s="1"/>
  <c r="P31" i="40" s="1"/>
  <c r="L29" i="40"/>
  <c r="R33" i="40"/>
  <c r="X15" i="41"/>
  <c r="R16" i="41"/>
  <c r="R22" i="41"/>
  <c r="V20" i="43"/>
  <c r="L24" i="44"/>
  <c r="F22" i="46"/>
  <c r="F31" i="46"/>
  <c r="F34" i="46"/>
  <c r="L16" i="47"/>
  <c r="T18" i="49"/>
  <c r="T27" i="49" s="1"/>
  <c r="F18" i="50"/>
  <c r="X22" i="50"/>
  <c r="F33" i="50"/>
  <c r="J15" i="52"/>
  <c r="X25" i="52"/>
  <c r="X29" i="52"/>
  <c r="X33" i="52"/>
  <c r="L13" i="53"/>
  <c r="F20" i="53"/>
  <c r="F21" i="53"/>
  <c r="F27" i="53"/>
  <c r="J18" i="98"/>
  <c r="L22" i="98"/>
  <c r="J18" i="99"/>
  <c r="J29" i="99"/>
  <c r="L15" i="100"/>
  <c r="L16" i="100"/>
  <c r="V18" i="100"/>
  <c r="L21" i="100"/>
  <c r="V21" i="100"/>
  <c r="V22" i="100"/>
  <c r="L25" i="100"/>
  <c r="V27" i="100"/>
  <c r="V33" i="100"/>
  <c r="V34" i="100"/>
  <c r="X29" i="38"/>
  <c r="L15" i="40"/>
  <c r="T18" i="40"/>
  <c r="T27" i="40" s="1"/>
  <c r="Z27" i="40" s="1"/>
  <c r="X24" i="40"/>
  <c r="X25" i="40"/>
  <c r="J31" i="40"/>
  <c r="X34" i="40"/>
  <c r="L13" i="41"/>
  <c r="R15" i="41"/>
  <c r="R20" i="41"/>
  <c r="V18" i="43"/>
  <c r="L22" i="43"/>
  <c r="N12" i="44"/>
  <c r="X15" i="44"/>
  <c r="X16" i="44"/>
  <c r="J33" i="44"/>
  <c r="L16" i="46"/>
  <c r="F27" i="46"/>
  <c r="V31" i="46"/>
  <c r="L20" i="47"/>
  <c r="L21" i="47"/>
  <c r="X34" i="47"/>
  <c r="X12" i="49"/>
  <c r="V15" i="49"/>
  <c r="V16" i="49"/>
  <c r="L22" i="49"/>
  <c r="L34" i="49"/>
  <c r="R36" i="49"/>
  <c r="L15" i="50"/>
  <c r="L16" i="50"/>
  <c r="R18" i="50"/>
  <c r="V20" i="50"/>
  <c r="R22" i="50"/>
  <c r="X25" i="50"/>
  <c r="J22" i="52"/>
  <c r="X24" i="52"/>
  <c r="X15" i="53"/>
  <c r="X16" i="53"/>
  <c r="L24" i="53"/>
  <c r="F31" i="53"/>
  <c r="F36" i="53"/>
  <c r="L22" i="99"/>
  <c r="R25" i="99"/>
  <c r="J33" i="99"/>
  <c r="J34" i="99"/>
  <c r="L20" i="100"/>
  <c r="V31" i="100"/>
  <c r="J21" i="40"/>
  <c r="R25" i="40"/>
  <c r="V31" i="40"/>
  <c r="V33" i="40"/>
  <c r="L20" i="43"/>
  <c r="X33" i="43"/>
  <c r="J25" i="44"/>
  <c r="J29" i="44"/>
  <c r="V27" i="46"/>
  <c r="V21" i="50"/>
  <c r="J21" i="53"/>
  <c r="F22" i="53"/>
  <c r="F25" i="53"/>
  <c r="L29" i="53"/>
  <c r="V18" i="99"/>
  <c r="L33" i="100"/>
  <c r="V36" i="100"/>
  <c r="X22" i="38"/>
  <c r="L33" i="40"/>
  <c r="V34" i="40"/>
  <c r="X13" i="41"/>
  <c r="L22" i="41"/>
  <c r="X24" i="43"/>
  <c r="J24" i="44"/>
  <c r="X33" i="44"/>
  <c r="J36" i="44"/>
  <c r="X16" i="46"/>
  <c r="X22" i="46"/>
  <c r="L29" i="46"/>
  <c r="Z12" i="49"/>
  <c r="X25" i="49"/>
  <c r="L20" i="50"/>
  <c r="V22" i="50"/>
  <c r="V25" i="50"/>
  <c r="X33" i="50"/>
  <c r="V34" i="50"/>
  <c r="N12" i="52"/>
  <c r="J36" i="52"/>
  <c r="X20" i="53"/>
  <c r="J24" i="53"/>
  <c r="F29" i="53"/>
  <c r="L33" i="53"/>
  <c r="F34" i="53"/>
  <c r="R21" i="98"/>
  <c r="R22" i="98"/>
  <c r="X25" i="98"/>
  <c r="J21" i="99"/>
  <c r="J22" i="99"/>
  <c r="R33" i="99"/>
  <c r="X34" i="99"/>
  <c r="J21" i="100"/>
  <c r="L13" i="100"/>
  <c r="R256" i="3"/>
  <c r="R246" i="3"/>
  <c r="R242" i="3"/>
  <c r="R229" i="3"/>
  <c r="R225" i="3"/>
  <c r="R221" i="3"/>
  <c r="R217" i="3"/>
  <c r="R213" i="3"/>
  <c r="R254" i="3"/>
  <c r="R239" i="3"/>
  <c r="R235" i="3"/>
  <c r="R224" i="3"/>
  <c r="R219" i="3"/>
  <c r="R215" i="3"/>
  <c r="R211" i="3"/>
  <c r="R199" i="3"/>
  <c r="R196" i="3"/>
  <c r="R266" i="3"/>
  <c r="R257" i="3"/>
  <c r="R249" i="3"/>
  <c r="R238" i="3"/>
  <c r="R234" i="3"/>
  <c r="R227" i="3"/>
  <c r="R210" i="3"/>
  <c r="R207" i="3"/>
  <c r="R202" i="3"/>
  <c r="R255" i="3"/>
  <c r="R244" i="3"/>
  <c r="R237" i="3"/>
  <c r="R232" i="3"/>
  <c r="R209" i="3"/>
  <c r="R204" i="3"/>
  <c r="R261" i="3"/>
  <c r="R250" i="3"/>
  <c r="R247" i="3"/>
  <c r="R243" i="3"/>
  <c r="R240" i="3"/>
  <c r="R231" i="3"/>
  <c r="R223" i="3"/>
  <c r="R200" i="3"/>
  <c r="R195" i="3"/>
  <c r="R265" i="3"/>
  <c r="R253" i="3"/>
  <c r="R230" i="3"/>
  <c r="R226" i="3"/>
  <c r="R222" i="3"/>
  <c r="R206" i="3"/>
  <c r="R203" i="3"/>
  <c r="R191" i="3"/>
  <c r="R241" i="3"/>
  <c r="R218" i="3"/>
  <c r="R214" i="3"/>
  <c r="R188" i="3"/>
  <c r="R185" i="3"/>
  <c r="R176" i="3"/>
  <c r="R173" i="3"/>
  <c r="R168" i="3"/>
  <c r="R164" i="3"/>
  <c r="R156" i="3"/>
  <c r="R153" i="3"/>
  <c r="R148" i="3"/>
  <c r="R140" i="3"/>
  <c r="R132" i="3"/>
  <c r="R124" i="3"/>
  <c r="R116" i="3"/>
  <c r="R108" i="3"/>
  <c r="X12" i="3"/>
  <c r="Z12" i="3" s="1"/>
  <c r="R129" i="3"/>
  <c r="R125" i="3"/>
  <c r="R252" i="3"/>
  <c r="R167" i="3"/>
  <c r="R163" i="3"/>
  <c r="R155" i="3"/>
  <c r="R147" i="3"/>
  <c r="R139" i="3"/>
  <c r="R131" i="3"/>
  <c r="R123" i="3"/>
  <c r="R115" i="3"/>
  <c r="R107" i="3"/>
  <c r="R100" i="3"/>
  <c r="R233" i="3"/>
  <c r="R161" i="3"/>
  <c r="R137" i="3"/>
  <c r="R121" i="3"/>
  <c r="R113" i="3"/>
  <c r="R190" i="3"/>
  <c r="R187" i="3"/>
  <c r="R178" i="3"/>
  <c r="R175" i="3"/>
  <c r="R166" i="3"/>
  <c r="R162" i="3"/>
  <c r="R146" i="3"/>
  <c r="R138" i="3"/>
  <c r="R130" i="3"/>
  <c r="R122" i="3"/>
  <c r="R114" i="3"/>
  <c r="R106" i="3"/>
  <c r="R228" i="3"/>
  <c r="R198" i="3"/>
  <c r="R154" i="3"/>
  <c r="R245" i="3"/>
  <c r="R182" i="3"/>
  <c r="R157" i="3"/>
  <c r="R197" i="3"/>
  <c r="R181" i="3"/>
  <c r="R145" i="3"/>
  <c r="R105" i="3"/>
  <c r="R149" i="3"/>
  <c r="R216" i="3"/>
  <c r="R208" i="3"/>
  <c r="R205" i="3"/>
  <c r="R189" i="3"/>
  <c r="R184" i="3"/>
  <c r="R180" i="3"/>
  <c r="R177" i="3"/>
  <c r="R172" i="3"/>
  <c r="R165" i="3"/>
  <c r="R160" i="3"/>
  <c r="R144" i="3"/>
  <c r="R136" i="3"/>
  <c r="R128" i="3"/>
  <c r="R120" i="3"/>
  <c r="R112" i="3"/>
  <c r="R104" i="3"/>
  <c r="R101" i="3"/>
  <c r="R236" i="3"/>
  <c r="R220" i="3"/>
  <c r="R212" i="3"/>
  <c r="R183" i="3"/>
  <c r="R171" i="3"/>
  <c r="R159" i="3"/>
  <c r="P151" i="3"/>
  <c r="R143" i="3"/>
  <c r="R135" i="3"/>
  <c r="R127" i="3"/>
  <c r="R119" i="3"/>
  <c r="R111" i="3"/>
  <c r="R103" i="3"/>
  <c r="R117" i="3"/>
  <c r="R109" i="3"/>
  <c r="R194" i="3"/>
  <c r="R192" i="3"/>
  <c r="R186" i="3"/>
  <c r="R179" i="3"/>
  <c r="R174" i="3"/>
  <c r="R170" i="3"/>
  <c r="R158" i="3"/>
  <c r="R142" i="3"/>
  <c r="R134" i="3"/>
  <c r="R126" i="3"/>
  <c r="R118" i="3"/>
  <c r="R110" i="3"/>
  <c r="R102" i="3"/>
  <c r="R251" i="3"/>
  <c r="R201" i="3"/>
  <c r="R193" i="3"/>
  <c r="R169" i="3"/>
  <c r="R141" i="3"/>
  <c r="R133" i="3"/>
  <c r="N38" i="3"/>
  <c r="N42" i="3"/>
  <c r="N46" i="3"/>
  <c r="N50" i="3"/>
  <c r="V254" i="3"/>
  <c r="V236" i="3"/>
  <c r="V228" i="3"/>
  <c r="V224" i="3"/>
  <c r="V220" i="3"/>
  <c r="V216" i="3"/>
  <c r="V212" i="3"/>
  <c r="V208" i="3"/>
  <c r="V252" i="3"/>
  <c r="V238" i="3"/>
  <c r="V234" i="3"/>
  <c r="V218" i="3"/>
  <c r="V214" i="3"/>
  <c r="V210" i="3"/>
  <c r="V202" i="3"/>
  <c r="V198" i="3"/>
  <c r="V255" i="3"/>
  <c r="V245" i="3"/>
  <c r="V241" i="3"/>
  <c r="V237" i="3"/>
  <c r="V233" i="3"/>
  <c r="V209" i="3"/>
  <c r="V201" i="3"/>
  <c r="V265" i="3"/>
  <c r="V261" i="3"/>
  <c r="V253" i="3"/>
  <c r="V247" i="3"/>
  <c r="V243" i="3"/>
  <c r="V231" i="3"/>
  <c r="V223" i="3"/>
  <c r="V203" i="3"/>
  <c r="V195" i="3"/>
  <c r="V256" i="3"/>
  <c r="V246" i="3"/>
  <c r="V242" i="3"/>
  <c r="V230" i="3"/>
  <c r="V226" i="3"/>
  <c r="V222" i="3"/>
  <c r="V206" i="3"/>
  <c r="V194" i="3"/>
  <c r="V251" i="3"/>
  <c r="V229" i="3"/>
  <c r="V225" i="3"/>
  <c r="V221" i="3"/>
  <c r="V217" i="3"/>
  <c r="V213" i="3"/>
  <c r="V205" i="3"/>
  <c r="V197" i="3"/>
  <c r="V232" i="3"/>
  <c r="V207" i="3"/>
  <c r="V196" i="3"/>
  <c r="V187" i="3"/>
  <c r="V175" i="3"/>
  <c r="V167" i="3"/>
  <c r="V163" i="3"/>
  <c r="V155" i="3"/>
  <c r="V147" i="3"/>
  <c r="V139" i="3"/>
  <c r="V131" i="3"/>
  <c r="V123" i="3"/>
  <c r="V115" i="3"/>
  <c r="V107" i="3"/>
  <c r="V144" i="3"/>
  <c r="V190" i="3"/>
  <c r="V178" i="3"/>
  <c r="V166" i="3"/>
  <c r="V162" i="3"/>
  <c r="V154" i="3"/>
  <c r="V146" i="3"/>
  <c r="V138" i="3"/>
  <c r="V130" i="3"/>
  <c r="V122" i="3"/>
  <c r="V114" i="3"/>
  <c r="V106" i="3"/>
  <c r="V219" i="3"/>
  <c r="V200" i="3"/>
  <c r="V172" i="3"/>
  <c r="V160" i="3"/>
  <c r="V128" i="3"/>
  <c r="V104" i="3"/>
  <c r="V235" i="3"/>
  <c r="V215" i="3"/>
  <c r="V189" i="3"/>
  <c r="V181" i="3"/>
  <c r="V177" i="3"/>
  <c r="V165" i="3"/>
  <c r="V161" i="3"/>
  <c r="V145" i="3"/>
  <c r="V137" i="3"/>
  <c r="V129" i="3"/>
  <c r="V121" i="3"/>
  <c r="V113" i="3"/>
  <c r="V105" i="3"/>
  <c r="V180" i="3"/>
  <c r="T151" i="3"/>
  <c r="V136" i="3"/>
  <c r="V227" i="3"/>
  <c r="V156" i="3"/>
  <c r="V140" i="3"/>
  <c r="V211" i="3"/>
  <c r="V184" i="3"/>
  <c r="V120" i="3"/>
  <c r="V112" i="3"/>
  <c r="V257" i="3"/>
  <c r="V204" i="3"/>
  <c r="V183" i="3"/>
  <c r="V179" i="3"/>
  <c r="V171" i="3"/>
  <c r="V159" i="3"/>
  <c r="V143" i="3"/>
  <c r="V135" i="3"/>
  <c r="V127" i="3"/>
  <c r="V119" i="3"/>
  <c r="V111" i="3"/>
  <c r="V103" i="3"/>
  <c r="V116" i="3"/>
  <c r="V108" i="3"/>
  <c r="V244" i="3"/>
  <c r="V240" i="3"/>
  <c r="V199" i="3"/>
  <c r="V192" i="3"/>
  <c r="V186" i="3"/>
  <c r="V182" i="3"/>
  <c r="V174" i="3"/>
  <c r="V170" i="3"/>
  <c r="V158" i="3"/>
  <c r="V142" i="3"/>
  <c r="V134" i="3"/>
  <c r="V126" i="3"/>
  <c r="V118" i="3"/>
  <c r="V110" i="3"/>
  <c r="V102" i="3"/>
  <c r="V100" i="3"/>
  <c r="V250" i="3"/>
  <c r="V239" i="3"/>
  <c r="V193" i="3"/>
  <c r="V191" i="3"/>
  <c r="V185" i="3"/>
  <c r="V173" i="3"/>
  <c r="V169" i="3"/>
  <c r="V157" i="3"/>
  <c r="V153" i="3"/>
  <c r="V149" i="3"/>
  <c r="V141" i="3"/>
  <c r="V133" i="3"/>
  <c r="V125" i="3"/>
  <c r="V117" i="3"/>
  <c r="V109" i="3"/>
  <c r="V101" i="3"/>
  <c r="V266" i="3"/>
  <c r="V188" i="3"/>
  <c r="V176" i="3"/>
  <c r="V168" i="3"/>
  <c r="V164" i="3"/>
  <c r="V148" i="3"/>
  <c r="V132" i="3"/>
  <c r="V124" i="3"/>
  <c r="Z22" i="3"/>
  <c r="Z26" i="3"/>
  <c r="Z30" i="3"/>
  <c r="Z34" i="3"/>
  <c r="N58" i="3"/>
  <c r="N62" i="3"/>
  <c r="N66" i="3"/>
  <c r="N70" i="3"/>
  <c r="N94" i="3"/>
  <c r="N191" i="3"/>
  <c r="Z58" i="3"/>
  <c r="Z62" i="3"/>
  <c r="Z66" i="3"/>
  <c r="Z70" i="3"/>
  <c r="Z94" i="3"/>
  <c r="Z74" i="3"/>
  <c r="N78" i="3"/>
  <c r="N82" i="3"/>
  <c r="N86" i="3"/>
  <c r="N173" i="3"/>
  <c r="Z185" i="3"/>
  <c r="F254" i="3"/>
  <c r="F245" i="3"/>
  <c r="F241" i="3"/>
  <c r="F233" i="3"/>
  <c r="F224" i="3"/>
  <c r="F261" i="3"/>
  <c r="F252" i="3"/>
  <c r="F247" i="3"/>
  <c r="F243" i="3"/>
  <c r="F231" i="3"/>
  <c r="F223" i="3"/>
  <c r="F218" i="3"/>
  <c r="F214" i="3"/>
  <c r="F198" i="3"/>
  <c r="F195" i="3"/>
  <c r="F255" i="3"/>
  <c r="F237" i="3"/>
  <c r="F230" i="3"/>
  <c r="F226" i="3"/>
  <c r="F222" i="3"/>
  <c r="F209" i="3"/>
  <c r="F206" i="3"/>
  <c r="F265" i="3"/>
  <c r="F253" i="3"/>
  <c r="F236" i="3"/>
  <c r="F228" i="3"/>
  <c r="F220" i="3"/>
  <c r="F216" i="3"/>
  <c r="F212" i="3"/>
  <c r="F208" i="3"/>
  <c r="F203" i="3"/>
  <c r="F256" i="3"/>
  <c r="F246" i="3"/>
  <c r="F242" i="3"/>
  <c r="F239" i="3"/>
  <c r="F235" i="3"/>
  <c r="F219" i="3"/>
  <c r="F215" i="3"/>
  <c r="F211" i="3"/>
  <c r="F199" i="3"/>
  <c r="F194" i="3"/>
  <c r="F251" i="3"/>
  <c r="F238" i="3"/>
  <c r="F234" i="3"/>
  <c r="F210" i="3"/>
  <c r="F205" i="3"/>
  <c r="F202" i="3"/>
  <c r="F257" i="3"/>
  <c r="F249" i="3"/>
  <c r="F244" i="3"/>
  <c r="F229" i="3"/>
  <c r="F187" i="3"/>
  <c r="F184" i="3"/>
  <c r="F180" i="3"/>
  <c r="F175" i="3"/>
  <c r="F172" i="3"/>
  <c r="F160" i="3"/>
  <c r="F144" i="3"/>
  <c r="F136" i="3"/>
  <c r="F128" i="3"/>
  <c r="F120" i="3"/>
  <c r="F112" i="3"/>
  <c r="F104" i="3"/>
  <c r="F141" i="3"/>
  <c r="F133" i="3"/>
  <c r="F145" i="3"/>
  <c r="F217" i="3"/>
  <c r="F213" i="3"/>
  <c r="F201" i="3"/>
  <c r="F200" i="3"/>
  <c r="F183" i="3"/>
  <c r="F171" i="3"/>
  <c r="F159" i="3"/>
  <c r="F154" i="3"/>
  <c r="F143" i="3"/>
  <c r="F135" i="3"/>
  <c r="F127" i="3"/>
  <c r="F119" i="3"/>
  <c r="F111" i="3"/>
  <c r="F103" i="3"/>
  <c r="F157" i="3"/>
  <c r="F125" i="3"/>
  <c r="F117" i="3"/>
  <c r="F109" i="3"/>
  <c r="F113" i="3"/>
  <c r="F240" i="3"/>
  <c r="F232" i="3"/>
  <c r="F221" i="3"/>
  <c r="F193" i="3"/>
  <c r="F192" i="3"/>
  <c r="F189" i="3"/>
  <c r="F186" i="3"/>
  <c r="F177" i="3"/>
  <c r="F174" i="3"/>
  <c r="F170" i="3"/>
  <c r="F165" i="3"/>
  <c r="F158" i="3"/>
  <c r="F142" i="3"/>
  <c r="F134" i="3"/>
  <c r="F126" i="3"/>
  <c r="F118" i="3"/>
  <c r="F110" i="3"/>
  <c r="F102" i="3"/>
  <c r="F266" i="3"/>
  <c r="F250" i="3"/>
  <c r="F169" i="3"/>
  <c r="F149" i="3"/>
  <c r="F101" i="3"/>
  <c r="F204" i="3"/>
  <c r="F181" i="3"/>
  <c r="F161" i="3"/>
  <c r="F137" i="3"/>
  <c r="F227" i="3"/>
  <c r="D151" i="3"/>
  <c r="F100" i="3"/>
  <c r="F207" i="3"/>
  <c r="F191" i="3"/>
  <c r="F188" i="3"/>
  <c r="F179" i="3"/>
  <c r="F176" i="3"/>
  <c r="F168" i="3"/>
  <c r="F164" i="3"/>
  <c r="F156" i="3"/>
  <c r="F148" i="3"/>
  <c r="F140" i="3"/>
  <c r="F132" i="3"/>
  <c r="F124" i="3"/>
  <c r="F116" i="3"/>
  <c r="F108" i="3"/>
  <c r="L12" i="3"/>
  <c r="F196" i="3"/>
  <c r="F182" i="3"/>
  <c r="F167" i="3"/>
  <c r="F163" i="3"/>
  <c r="F155" i="3"/>
  <c r="F147" i="3"/>
  <c r="F139" i="3"/>
  <c r="F131" i="3"/>
  <c r="F123" i="3"/>
  <c r="F115" i="3"/>
  <c r="F107" i="3"/>
  <c r="F121" i="3"/>
  <c r="F105" i="3"/>
  <c r="F225" i="3"/>
  <c r="F197" i="3"/>
  <c r="F190" i="3"/>
  <c r="F185" i="3"/>
  <c r="F178" i="3"/>
  <c r="F173" i="3"/>
  <c r="F166" i="3"/>
  <c r="F162" i="3"/>
  <c r="F153" i="3"/>
  <c r="F146" i="3"/>
  <c r="F138" i="3"/>
  <c r="F130" i="3"/>
  <c r="F122" i="3"/>
  <c r="F114" i="3"/>
  <c r="F106" i="3"/>
  <c r="F129" i="3"/>
  <c r="N153" i="3"/>
  <c r="Z78" i="3"/>
  <c r="Z82" i="3"/>
  <c r="Z86" i="3"/>
  <c r="Z173" i="3"/>
  <c r="N175" i="3"/>
  <c r="Z179" i="3"/>
  <c r="X249" i="3"/>
  <c r="P22" i="6"/>
  <c r="Z13" i="3"/>
  <c r="N198" i="3"/>
  <c r="L203" i="3"/>
  <c r="T249" i="3"/>
  <c r="N39" i="9"/>
  <c r="N80" i="9"/>
  <c r="Z42" i="12"/>
  <c r="Z78" i="12"/>
  <c r="Z161" i="12"/>
  <c r="H12" i="3"/>
  <c r="L191" i="3"/>
  <c r="X209" i="3"/>
  <c r="Z209" i="3" s="1"/>
  <c r="H88" i="9"/>
  <c r="N16" i="9"/>
  <c r="L252" i="3"/>
  <c r="H26" i="6"/>
  <c r="N22" i="6"/>
  <c r="Z49" i="9"/>
  <c r="N14" i="12"/>
  <c r="F227" i="12"/>
  <c r="F216" i="12"/>
  <c r="F212" i="12"/>
  <c r="F209" i="12"/>
  <c r="F221" i="12"/>
  <c r="F208" i="12"/>
  <c r="F204" i="12"/>
  <c r="F199" i="12"/>
  <c r="F179" i="12"/>
  <c r="F176" i="12"/>
  <c r="F215" i="12"/>
  <c r="F211" i="12"/>
  <c r="F203" i="12"/>
  <c r="F195" i="12"/>
  <c r="F190" i="12"/>
  <c r="F186" i="12"/>
  <c r="F175" i="12"/>
  <c r="F170" i="12"/>
  <c r="F167" i="12"/>
  <c r="F214" i="12"/>
  <c r="F202" i="12"/>
  <c r="F198" i="12"/>
  <c r="F194" i="12"/>
  <c r="F181" i="12"/>
  <c r="F178" i="12"/>
  <c r="F222" i="12"/>
  <c r="F217" i="12"/>
  <c r="F213" i="12"/>
  <c r="F201" i="12"/>
  <c r="F197" i="12"/>
  <c r="F193" i="12"/>
  <c r="F189" i="12"/>
  <c r="F185" i="12"/>
  <c r="F172" i="12"/>
  <c r="F169" i="12"/>
  <c r="F220" i="12"/>
  <c r="F210" i="12"/>
  <c r="F191" i="12"/>
  <c r="F187" i="12"/>
  <c r="F183" i="12"/>
  <c r="F174" i="12"/>
  <c r="F171" i="12"/>
  <c r="F223" i="12"/>
  <c r="F206" i="12"/>
  <c r="F182" i="12"/>
  <c r="F177" i="12"/>
  <c r="F205" i="12"/>
  <c r="F156" i="12"/>
  <c r="F141" i="12"/>
  <c r="F137" i="12"/>
  <c r="F129" i="12"/>
  <c r="F121" i="12"/>
  <c r="F113" i="12"/>
  <c r="F105" i="12"/>
  <c r="F97" i="12"/>
  <c r="F89" i="12"/>
  <c r="F196" i="12"/>
  <c r="F164" i="12"/>
  <c r="F159" i="12"/>
  <c r="F152" i="12"/>
  <c r="F147" i="12"/>
  <c r="F140" i="12"/>
  <c r="F136" i="12"/>
  <c r="F127" i="12"/>
  <c r="F120" i="12"/>
  <c r="F112" i="12"/>
  <c r="F104" i="12"/>
  <c r="F96" i="12"/>
  <c r="F88" i="12"/>
  <c r="F200" i="12"/>
  <c r="F155" i="12"/>
  <c r="F135" i="12"/>
  <c r="F119" i="12"/>
  <c r="F111" i="12"/>
  <c r="F103" i="12"/>
  <c r="F95" i="12"/>
  <c r="F87" i="12"/>
  <c r="F82" i="12"/>
  <c r="F180" i="12"/>
  <c r="F166" i="12"/>
  <c r="F161" i="12"/>
  <c r="F158" i="12"/>
  <c r="F154" i="12"/>
  <c r="F149" i="12"/>
  <c r="F146" i="12"/>
  <c r="F134" i="12"/>
  <c r="F118" i="12"/>
  <c r="F110" i="12"/>
  <c r="F102" i="12"/>
  <c r="F94" i="12"/>
  <c r="F86" i="12"/>
  <c r="F184" i="12"/>
  <c r="F168" i="12"/>
  <c r="F157" i="12"/>
  <c r="F145" i="12"/>
  <c r="F133" i="12"/>
  <c r="F128" i="12"/>
  <c r="F117" i="12"/>
  <c r="F109" i="12"/>
  <c r="F101" i="12"/>
  <c r="F93" i="12"/>
  <c r="F85" i="12"/>
  <c r="F207" i="12"/>
  <c r="F188" i="12"/>
  <c r="F173" i="12"/>
  <c r="F163" i="12"/>
  <c r="F160" i="12"/>
  <c r="F151" i="12"/>
  <c r="F148" i="12"/>
  <c r="F144" i="12"/>
  <c r="F139" i="12"/>
  <c r="F132" i="12"/>
  <c r="F116" i="12"/>
  <c r="F108" i="12"/>
  <c r="F100" i="12"/>
  <c r="F92" i="12"/>
  <c r="F84" i="12"/>
  <c r="F192" i="12"/>
  <c r="F143" i="12"/>
  <c r="F131" i="12"/>
  <c r="D125" i="12"/>
  <c r="F123" i="12"/>
  <c r="F115" i="12"/>
  <c r="F107" i="12"/>
  <c r="F99" i="12"/>
  <c r="F91" i="12"/>
  <c r="F83" i="12"/>
  <c r="F165" i="12"/>
  <c r="F162" i="12"/>
  <c r="F153" i="12"/>
  <c r="F150" i="12"/>
  <c r="F142" i="12"/>
  <c r="F138" i="12"/>
  <c r="F130" i="12"/>
  <c r="F122" i="12"/>
  <c r="F114" i="12"/>
  <c r="F106" i="12"/>
  <c r="F98" i="12"/>
  <c r="F90" i="12"/>
  <c r="R220" i="12"/>
  <c r="R217" i="12"/>
  <c r="R213" i="12"/>
  <c r="R210" i="12"/>
  <c r="R223" i="12"/>
  <c r="R200" i="12"/>
  <c r="R192" i="12"/>
  <c r="R188" i="12"/>
  <c r="R184" i="12"/>
  <c r="R180" i="12"/>
  <c r="R177" i="12"/>
  <c r="R216" i="12"/>
  <c r="R212" i="12"/>
  <c r="R196" i="12"/>
  <c r="R191" i="12"/>
  <c r="R187" i="12"/>
  <c r="R183" i="12"/>
  <c r="R171" i="12"/>
  <c r="R168" i="12"/>
  <c r="R221" i="12"/>
  <c r="R206" i="12"/>
  <c r="R199" i="12"/>
  <c r="R182" i="12"/>
  <c r="R179" i="12"/>
  <c r="R227" i="12"/>
  <c r="R209" i="12"/>
  <c r="R205" i="12"/>
  <c r="R190" i="12"/>
  <c r="R186" i="12"/>
  <c r="R173" i="12"/>
  <c r="R170" i="12"/>
  <c r="R222" i="12"/>
  <c r="R215" i="12"/>
  <c r="R211" i="12"/>
  <c r="R203" i="12"/>
  <c r="R195" i="12"/>
  <c r="R175" i="12"/>
  <c r="R172" i="12"/>
  <c r="R214" i="12"/>
  <c r="R207" i="12"/>
  <c r="R202" i="12"/>
  <c r="R198" i="12"/>
  <c r="R194" i="12"/>
  <c r="R178" i="12"/>
  <c r="R193" i="12"/>
  <c r="R166" i="12"/>
  <c r="R157" i="12"/>
  <c r="R145" i="12"/>
  <c r="R133" i="12"/>
  <c r="P125" i="12"/>
  <c r="R117" i="12"/>
  <c r="R109" i="12"/>
  <c r="R101" i="12"/>
  <c r="R93" i="12"/>
  <c r="R85" i="12"/>
  <c r="R197" i="12"/>
  <c r="R165" i="12"/>
  <c r="R160" i="12"/>
  <c r="R153" i="12"/>
  <c r="R148" i="12"/>
  <c r="R144" i="12"/>
  <c r="R132" i="12"/>
  <c r="R116" i="12"/>
  <c r="R108" i="12"/>
  <c r="R100" i="12"/>
  <c r="R92" i="12"/>
  <c r="R84" i="12"/>
  <c r="R181" i="12"/>
  <c r="R176" i="12"/>
  <c r="R167" i="12"/>
  <c r="R156" i="12"/>
  <c r="R143" i="12"/>
  <c r="R131" i="12"/>
  <c r="R123" i="12"/>
  <c r="R115" i="12"/>
  <c r="R107" i="12"/>
  <c r="R99" i="12"/>
  <c r="R91" i="12"/>
  <c r="R83" i="12"/>
  <c r="R201" i="12"/>
  <c r="R169" i="12"/>
  <c r="R162" i="12"/>
  <c r="R159" i="12"/>
  <c r="R150" i="12"/>
  <c r="R147" i="12"/>
  <c r="R142" i="12"/>
  <c r="R138" i="12"/>
  <c r="R130" i="12"/>
  <c r="R127" i="12"/>
  <c r="R122" i="12"/>
  <c r="R114" i="12"/>
  <c r="R106" i="12"/>
  <c r="R98" i="12"/>
  <c r="R90" i="12"/>
  <c r="R208" i="12"/>
  <c r="R204" i="12"/>
  <c r="R141" i="12"/>
  <c r="R137" i="12"/>
  <c r="R129" i="12"/>
  <c r="R121" i="12"/>
  <c r="R113" i="12"/>
  <c r="R105" i="12"/>
  <c r="R97" i="12"/>
  <c r="R89" i="12"/>
  <c r="R82" i="12"/>
  <c r="R185" i="12"/>
  <c r="R174" i="12"/>
  <c r="R164" i="12"/>
  <c r="R161" i="12"/>
  <c r="R152" i="12"/>
  <c r="R149" i="12"/>
  <c r="R140" i="12"/>
  <c r="R136" i="12"/>
  <c r="R120" i="12"/>
  <c r="R112" i="12"/>
  <c r="R104" i="12"/>
  <c r="R96" i="12"/>
  <c r="R88" i="12"/>
  <c r="R189" i="12"/>
  <c r="R155" i="12"/>
  <c r="R135" i="12"/>
  <c r="R128" i="12"/>
  <c r="R119" i="12"/>
  <c r="R111" i="12"/>
  <c r="R103" i="12"/>
  <c r="R95" i="12"/>
  <c r="R87" i="12"/>
  <c r="R163" i="12"/>
  <c r="R158" i="12"/>
  <c r="R154" i="12"/>
  <c r="R151" i="12"/>
  <c r="R146" i="12"/>
  <c r="R139" i="12"/>
  <c r="R134" i="12"/>
  <c r="R125" i="12"/>
  <c r="R118" i="12"/>
  <c r="R110" i="12"/>
  <c r="R102" i="12"/>
  <c r="R94" i="12"/>
  <c r="R86" i="12"/>
  <c r="H249" i="3"/>
  <c r="N252" i="3"/>
  <c r="X196" i="3"/>
  <c r="Z196" i="3" s="1"/>
  <c r="N214" i="3"/>
  <c r="N218" i="3"/>
  <c r="N227" i="3"/>
  <c r="Z254" i="3"/>
  <c r="N266" i="3"/>
  <c r="Z45" i="9"/>
  <c r="Z58" i="9"/>
  <c r="Z14" i="12"/>
  <c r="N22" i="12"/>
  <c r="N30" i="12"/>
  <c r="N149" i="12"/>
  <c r="Z205" i="3"/>
  <c r="X165" i="3"/>
  <c r="Z165" i="3" s="1"/>
  <c r="X177" i="3"/>
  <c r="Z177" i="3" s="1"/>
  <c r="L179" i="3"/>
  <c r="N179" i="3" s="1"/>
  <c r="X189" i="3"/>
  <c r="Z189" i="3" s="1"/>
  <c r="X224" i="3"/>
  <c r="Z224" i="3" s="1"/>
  <c r="N265" i="3"/>
  <c r="Z266" i="3"/>
  <c r="Z18" i="9"/>
  <c r="Z30" i="9"/>
  <c r="N56" i="9"/>
  <c r="N67" i="9"/>
  <c r="N42" i="12"/>
  <c r="Z149" i="12"/>
  <c r="J16" i="4"/>
  <c r="R18" i="4"/>
  <c r="J20" i="4"/>
  <c r="F22" i="4"/>
  <c r="V22" i="4"/>
  <c r="L34" i="4"/>
  <c r="Z13" i="5"/>
  <c r="R15" i="5"/>
  <c r="X16" i="5"/>
  <c r="P18" i="5"/>
  <c r="X20" i="5"/>
  <c r="L24" i="5"/>
  <c r="R25" i="5"/>
  <c r="J27" i="5"/>
  <c r="R29" i="5"/>
  <c r="J31" i="5"/>
  <c r="R33" i="5"/>
  <c r="J34" i="5"/>
  <c r="R36" i="5"/>
  <c r="R24" i="6"/>
  <c r="L12" i="7"/>
  <c r="F15" i="7"/>
  <c r="V15" i="7"/>
  <c r="D18" i="7"/>
  <c r="T18" i="7"/>
  <c r="R21" i="7"/>
  <c r="F25" i="7"/>
  <c r="V25" i="7"/>
  <c r="F29" i="7"/>
  <c r="V29" i="7"/>
  <c r="F33" i="7"/>
  <c r="V33" i="7"/>
  <c r="F36" i="7"/>
  <c r="V36" i="7"/>
  <c r="J16" i="8"/>
  <c r="R18" i="8"/>
  <c r="J20" i="8"/>
  <c r="F22" i="8"/>
  <c r="V22" i="8"/>
  <c r="F14" i="9"/>
  <c r="V14" i="9"/>
  <c r="F18" i="9"/>
  <c r="V18" i="9"/>
  <c r="V22" i="9"/>
  <c r="R23" i="9"/>
  <c r="J26" i="9"/>
  <c r="F27" i="9"/>
  <c r="F31" i="9"/>
  <c r="V34" i="9"/>
  <c r="R35" i="9"/>
  <c r="V38" i="9"/>
  <c r="J42" i="9"/>
  <c r="V46" i="9"/>
  <c r="J50" i="9"/>
  <c r="F54" i="9"/>
  <c r="V54" i="9"/>
  <c r="R55" i="9"/>
  <c r="J56" i="9"/>
  <c r="F59" i="9"/>
  <c r="F63" i="9"/>
  <c r="V66" i="9"/>
  <c r="J70" i="9"/>
  <c r="J74" i="9"/>
  <c r="F75" i="9"/>
  <c r="J78" i="9"/>
  <c r="F79" i="9"/>
  <c r="R80" i="9"/>
  <c r="F82" i="9"/>
  <c r="V82" i="9"/>
  <c r="R83" i="9"/>
  <c r="J86" i="9"/>
  <c r="R88" i="9"/>
  <c r="J92" i="9"/>
  <c r="R95" i="9"/>
  <c r="J16" i="10"/>
  <c r="R18" i="10"/>
  <c r="J20" i="10"/>
  <c r="F22" i="10"/>
  <c r="V22" i="10"/>
  <c r="Z13" i="11"/>
  <c r="R15" i="11"/>
  <c r="P18" i="11"/>
  <c r="R25" i="11"/>
  <c r="J27" i="11"/>
  <c r="R29" i="11"/>
  <c r="J31" i="11"/>
  <c r="R33" i="11"/>
  <c r="J34" i="11"/>
  <c r="R36" i="11"/>
  <c r="Z13" i="12"/>
  <c r="X14" i="12"/>
  <c r="N17" i="12"/>
  <c r="Z21" i="12"/>
  <c r="N25" i="12"/>
  <c r="Z29" i="12"/>
  <c r="N33" i="12"/>
  <c r="Z37" i="12"/>
  <c r="N41" i="12"/>
  <c r="Z45" i="12"/>
  <c r="N49" i="12"/>
  <c r="Z53" i="12"/>
  <c r="N57" i="12"/>
  <c r="Z61" i="12"/>
  <c r="N65" i="12"/>
  <c r="Z69" i="12"/>
  <c r="N73" i="12"/>
  <c r="Z77" i="12"/>
  <c r="Z172" i="12"/>
  <c r="N174" i="12"/>
  <c r="N212" i="12"/>
  <c r="V212" i="15"/>
  <c r="V206" i="15"/>
  <c r="V202" i="15"/>
  <c r="V194" i="15"/>
  <c r="V190" i="15"/>
  <c r="V186" i="15"/>
  <c r="V182" i="15"/>
  <c r="V178" i="15"/>
  <c r="V170" i="15"/>
  <c r="V162" i="15"/>
  <c r="V158" i="15"/>
  <c r="V150" i="15"/>
  <c r="V146" i="15"/>
  <c r="V134" i="15"/>
  <c r="V130" i="15"/>
  <c r="V120" i="15"/>
  <c r="V114" i="15"/>
  <c r="V106" i="15"/>
  <c r="V98" i="15"/>
  <c r="V90" i="15"/>
  <c r="V82" i="15"/>
  <c r="V215" i="15"/>
  <c r="V209" i="15"/>
  <c r="V205" i="15"/>
  <c r="V193" i="15"/>
  <c r="V189" i="15"/>
  <c r="V185" i="15"/>
  <c r="V181" i="15"/>
  <c r="V177" i="15"/>
  <c r="V173" i="15"/>
  <c r="V161" i="15"/>
  <c r="V153" i="15"/>
  <c r="V149" i="15"/>
  <c r="V141" i="15"/>
  <c r="V129" i="15"/>
  <c r="T120" i="15"/>
  <c r="V113" i="15"/>
  <c r="V105" i="15"/>
  <c r="V97" i="15"/>
  <c r="V89" i="15"/>
  <c r="V81" i="15"/>
  <c r="V208" i="15"/>
  <c r="V204" i="15"/>
  <c r="V192" i="15"/>
  <c r="V188" i="15"/>
  <c r="V184" i="15"/>
  <c r="V180" i="15"/>
  <c r="V176" i="15"/>
  <c r="V172" i="15"/>
  <c r="V164" i="15"/>
  <c r="V160" i="15"/>
  <c r="V152" i="15"/>
  <c r="V148" i="15"/>
  <c r="V140" i="15"/>
  <c r="V128" i="15"/>
  <c r="V112" i="15"/>
  <c r="V104" i="15"/>
  <c r="V96" i="15"/>
  <c r="V88" i="15"/>
  <c r="V80" i="15"/>
  <c r="V213" i="15"/>
  <c r="V191" i="15"/>
  <c r="V183" i="15"/>
  <c r="V179" i="15"/>
  <c r="V175" i="15"/>
  <c r="V163" i="15"/>
  <c r="V155" i="15"/>
  <c r="V151" i="15"/>
  <c r="V143" i="15"/>
  <c r="V139" i="15"/>
  <c r="V127" i="15"/>
  <c r="V111" i="15"/>
  <c r="V103" i="15"/>
  <c r="V95" i="15"/>
  <c r="V87" i="15"/>
  <c r="V79" i="15"/>
  <c r="V198" i="15"/>
  <c r="V174" i="15"/>
  <c r="V166" i="15"/>
  <c r="V154" i="15"/>
  <c r="V142" i="15"/>
  <c r="V138" i="15"/>
  <c r="V126" i="15"/>
  <c r="V122" i="15"/>
  <c r="V118" i="15"/>
  <c r="V110" i="15"/>
  <c r="V102" i="15"/>
  <c r="V94" i="15"/>
  <c r="V86" i="15"/>
  <c r="V219" i="15"/>
  <c r="V211" i="15"/>
  <c r="V201" i="15"/>
  <c r="V197" i="15"/>
  <c r="V169" i="15"/>
  <c r="V165" i="15"/>
  <c r="V157" i="15"/>
  <c r="V145" i="15"/>
  <c r="V137" i="15"/>
  <c r="V133" i="15"/>
  <c r="V125" i="15"/>
  <c r="V117" i="15"/>
  <c r="V109" i="15"/>
  <c r="V101" i="15"/>
  <c r="V93" i="15"/>
  <c r="V85" i="15"/>
  <c r="V214" i="15"/>
  <c r="V200" i="15"/>
  <c r="V196" i="15"/>
  <c r="V168" i="15"/>
  <c r="V156" i="15"/>
  <c r="V144" i="15"/>
  <c r="V136" i="15"/>
  <c r="V132" i="15"/>
  <c r="V124" i="15"/>
  <c r="V116" i="15"/>
  <c r="V108" i="15"/>
  <c r="V100" i="15"/>
  <c r="V92" i="15"/>
  <c r="V84" i="15"/>
  <c r="Z12" i="15"/>
  <c r="V207" i="15"/>
  <c r="V203" i="15"/>
  <c r="V199" i="15"/>
  <c r="V195" i="15"/>
  <c r="V187" i="15"/>
  <c r="V171" i="15"/>
  <c r="V167" i="15"/>
  <c r="V159" i="15"/>
  <c r="V147" i="15"/>
  <c r="V135" i="15"/>
  <c r="V131" i="15"/>
  <c r="V123" i="15"/>
  <c r="V115" i="15"/>
  <c r="V107" i="15"/>
  <c r="V99" i="15"/>
  <c r="V91" i="15"/>
  <c r="V83" i="15"/>
  <c r="Z39" i="15"/>
  <c r="Z122" i="15"/>
  <c r="Z183" i="15"/>
  <c r="N199" i="15"/>
  <c r="V237" i="18"/>
  <c r="V231" i="18"/>
  <c r="V227" i="18"/>
  <c r="V215" i="18"/>
  <c r="V211" i="18"/>
  <c r="V207" i="18"/>
  <c r="V203" i="18"/>
  <c r="V199" i="18"/>
  <c r="V195" i="18"/>
  <c r="V230" i="18"/>
  <c r="V226" i="18"/>
  <c r="V214" i="18"/>
  <c r="V210" i="18"/>
  <c r="V206" i="18"/>
  <c r="V202" i="18"/>
  <c r="V198" i="18"/>
  <c r="V194" i="18"/>
  <c r="V186" i="18"/>
  <c r="V182" i="18"/>
  <c r="V174" i="18"/>
  <c r="V170" i="18"/>
  <c r="V162" i="18"/>
  <c r="V150" i="18"/>
  <c r="V134" i="18"/>
  <c r="V126" i="18"/>
  <c r="V243" i="18"/>
  <c r="V235" i="18"/>
  <c r="V213" i="18"/>
  <c r="V205" i="18"/>
  <c r="V201" i="18"/>
  <c r="V197" i="18"/>
  <c r="V185" i="18"/>
  <c r="V177" i="18"/>
  <c r="V173" i="18"/>
  <c r="V165" i="18"/>
  <c r="V161" i="18"/>
  <c r="V149" i="18"/>
  <c r="V238" i="18"/>
  <c r="V220" i="18"/>
  <c r="V196" i="18"/>
  <c r="V188" i="18"/>
  <c r="V176" i="18"/>
  <c r="V164" i="18"/>
  <c r="V160" i="18"/>
  <c r="V223" i="18"/>
  <c r="V219" i="18"/>
  <c r="V191" i="18"/>
  <c r="V236" i="18"/>
  <c r="V222" i="18"/>
  <c r="V218" i="18"/>
  <c r="V190" i="18"/>
  <c r="V178" i="18"/>
  <c r="V166" i="18"/>
  <c r="V158" i="18"/>
  <c r="V154" i="18"/>
  <c r="V146" i="18"/>
  <c r="V138" i="18"/>
  <c r="V130" i="18"/>
  <c r="V239" i="18"/>
  <c r="V229" i="18"/>
  <c r="V225" i="18"/>
  <c r="V221" i="18"/>
  <c r="V217" i="18"/>
  <c r="V209" i="18"/>
  <c r="V193" i="18"/>
  <c r="V189" i="18"/>
  <c r="V181" i="18"/>
  <c r="V169" i="18"/>
  <c r="V157" i="18"/>
  <c r="V153" i="18"/>
  <c r="V145" i="18"/>
  <c r="V234" i="18"/>
  <c r="V228" i="18"/>
  <c r="V224" i="18"/>
  <c r="V216" i="18"/>
  <c r="V212" i="18"/>
  <c r="V208" i="18"/>
  <c r="V204" i="18"/>
  <c r="V200" i="18"/>
  <c r="V192" i="18"/>
  <c r="V184" i="18"/>
  <c r="V180" i="18"/>
  <c r="V172" i="18"/>
  <c r="V168" i="18"/>
  <c r="V156" i="18"/>
  <c r="V152" i="18"/>
  <c r="V136" i="18"/>
  <c r="V137" i="18"/>
  <c r="V125" i="18"/>
  <c r="V124" i="18"/>
  <c r="V116" i="18"/>
  <c r="V108" i="18"/>
  <c r="V100" i="18"/>
  <c r="V167" i="18"/>
  <c r="V159" i="18"/>
  <c r="V129" i="18"/>
  <c r="V128" i="18"/>
  <c r="V123" i="18"/>
  <c r="V115" i="18"/>
  <c r="V107" i="18"/>
  <c r="V99" i="18"/>
  <c r="V179" i="18"/>
  <c r="V139" i="18"/>
  <c r="V127" i="18"/>
  <c r="V122" i="18"/>
  <c r="V114" i="18"/>
  <c r="V106" i="18"/>
  <c r="V98" i="18"/>
  <c r="V175" i="18"/>
  <c r="V171" i="18"/>
  <c r="V140" i="18"/>
  <c r="V133" i="18"/>
  <c r="V132" i="18"/>
  <c r="V131" i="18"/>
  <c r="V121" i="18"/>
  <c r="V113" i="18"/>
  <c r="V105" i="18"/>
  <c r="V97" i="18"/>
  <c r="V187" i="18"/>
  <c r="V183" i="18"/>
  <c r="V155" i="18"/>
  <c r="V147" i="18"/>
  <c r="T142" i="18"/>
  <c r="V142" i="18" s="1"/>
  <c r="V120" i="18"/>
  <c r="V112" i="18"/>
  <c r="V104" i="18"/>
  <c r="V96" i="18"/>
  <c r="V144" i="18"/>
  <c r="V119" i="18"/>
  <c r="V111" i="18"/>
  <c r="V103" i="18"/>
  <c r="V95" i="18"/>
  <c r="V148" i="18"/>
  <c r="V135" i="18"/>
  <c r="V118" i="18"/>
  <c r="V110" i="18"/>
  <c r="V102" i="18"/>
  <c r="V94" i="18"/>
  <c r="V163" i="18"/>
  <c r="V151" i="18"/>
  <c r="V117" i="18"/>
  <c r="V109" i="18"/>
  <c r="V101" i="18"/>
  <c r="V93" i="18"/>
  <c r="Z78" i="18"/>
  <c r="X205" i="3"/>
  <c r="L207" i="3"/>
  <c r="N207" i="3" s="1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J20" i="5"/>
  <c r="F22" i="5"/>
  <c r="V22" i="5"/>
  <c r="F14" i="6"/>
  <c r="V14" i="6"/>
  <c r="N16" i="6"/>
  <c r="F18" i="6"/>
  <c r="V18" i="6"/>
  <c r="F22" i="6"/>
  <c r="V22" i="6"/>
  <c r="V24" i="6"/>
  <c r="F28" i="6"/>
  <c r="V28" i="6"/>
  <c r="F31" i="6"/>
  <c r="V31" i="6"/>
  <c r="N12" i="7"/>
  <c r="F18" i="7"/>
  <c r="V18" i="7"/>
  <c r="J22" i="7"/>
  <c r="R24" i="7"/>
  <c r="X29" i="7"/>
  <c r="X33" i="7"/>
  <c r="L12" i="8"/>
  <c r="F15" i="8"/>
  <c r="V15" i="8"/>
  <c r="L16" i="8"/>
  <c r="D18" i="8"/>
  <c r="T18" i="8"/>
  <c r="L20" i="8"/>
  <c r="R21" i="8"/>
  <c r="X22" i="8"/>
  <c r="F25" i="8"/>
  <c r="V25" i="8"/>
  <c r="F29" i="8"/>
  <c r="V29" i="8"/>
  <c r="F33" i="8"/>
  <c r="V33" i="8"/>
  <c r="F36" i="8"/>
  <c r="V36" i="8"/>
  <c r="L12" i="9"/>
  <c r="X14" i="9"/>
  <c r="P16" i="9"/>
  <c r="F20" i="9"/>
  <c r="V23" i="9"/>
  <c r="R24" i="9"/>
  <c r="J27" i="9"/>
  <c r="F28" i="9"/>
  <c r="J31" i="9"/>
  <c r="F32" i="9"/>
  <c r="V35" i="9"/>
  <c r="R36" i="9"/>
  <c r="J37" i="9"/>
  <c r="F40" i="9"/>
  <c r="R41" i="9"/>
  <c r="F43" i="9"/>
  <c r="V43" i="9"/>
  <c r="R44" i="9"/>
  <c r="J45" i="9"/>
  <c r="F48" i="9"/>
  <c r="R49" i="9"/>
  <c r="F51" i="9"/>
  <c r="V51" i="9"/>
  <c r="R52" i="9"/>
  <c r="X54" i="9"/>
  <c r="Z54" i="9" s="1"/>
  <c r="V55" i="9"/>
  <c r="L56" i="9"/>
  <c r="J59" i="9"/>
  <c r="F60" i="9"/>
  <c r="J63" i="9"/>
  <c r="F64" i="9"/>
  <c r="F68" i="9"/>
  <c r="R69" i="9"/>
  <c r="F71" i="9"/>
  <c r="V71" i="9"/>
  <c r="R72" i="9"/>
  <c r="J75" i="9"/>
  <c r="F76" i="9"/>
  <c r="R77" i="9"/>
  <c r="J79" i="9"/>
  <c r="X82" i="9"/>
  <c r="Z82" i="9" s="1"/>
  <c r="V83" i="9"/>
  <c r="R84" i="9"/>
  <c r="L86" i="9"/>
  <c r="D88" i="9"/>
  <c r="T88" i="9"/>
  <c r="R90" i="9"/>
  <c r="L12" i="10"/>
  <c r="F15" i="10"/>
  <c r="V15" i="10"/>
  <c r="L16" i="10"/>
  <c r="D18" i="10"/>
  <c r="T18" i="10"/>
  <c r="L20" i="10"/>
  <c r="R21" i="10"/>
  <c r="X22" i="10"/>
  <c r="F25" i="10"/>
  <c r="V25" i="10"/>
  <c r="F29" i="10"/>
  <c r="V29" i="10"/>
  <c r="F33" i="10"/>
  <c r="V33" i="10"/>
  <c r="F36" i="10"/>
  <c r="V36" i="10"/>
  <c r="J16" i="11"/>
  <c r="R18" i="11"/>
  <c r="J20" i="11"/>
  <c r="L34" i="11"/>
  <c r="H12" i="12"/>
  <c r="L127" i="12"/>
  <c r="N127" i="12" s="1"/>
  <c r="L147" i="12"/>
  <c r="N147" i="12" s="1"/>
  <c r="X153" i="12"/>
  <c r="Z153" i="12" s="1"/>
  <c r="L159" i="12"/>
  <c r="X165" i="12"/>
  <c r="Z165" i="12" s="1"/>
  <c r="X222" i="12"/>
  <c r="Z73" i="15"/>
  <c r="Z251" i="3"/>
  <c r="N12" i="4"/>
  <c r="F18" i="4"/>
  <c r="V18" i="4"/>
  <c r="J22" i="4"/>
  <c r="R24" i="4"/>
  <c r="L12" i="5"/>
  <c r="F15" i="5"/>
  <c r="V15" i="5"/>
  <c r="D18" i="5"/>
  <c r="T18" i="5"/>
  <c r="R21" i="5"/>
  <c r="F25" i="5"/>
  <c r="V25" i="5"/>
  <c r="F29" i="5"/>
  <c r="V29" i="5"/>
  <c r="F33" i="5"/>
  <c r="V33" i="5"/>
  <c r="F36" i="5"/>
  <c r="V36" i="5"/>
  <c r="J15" i="7"/>
  <c r="H18" i="7"/>
  <c r="F21" i="7"/>
  <c r="V21" i="7"/>
  <c r="J25" i="7"/>
  <c r="R27" i="7"/>
  <c r="J29" i="7"/>
  <c r="R31" i="7"/>
  <c r="J33" i="7"/>
  <c r="R34" i="7"/>
  <c r="J36" i="7"/>
  <c r="F18" i="8"/>
  <c r="V18" i="8"/>
  <c r="J22" i="8"/>
  <c r="R24" i="8"/>
  <c r="R16" i="9"/>
  <c r="F21" i="9"/>
  <c r="V24" i="9"/>
  <c r="R25" i="9"/>
  <c r="J28" i="9"/>
  <c r="F29" i="9"/>
  <c r="R30" i="9"/>
  <c r="J32" i="9"/>
  <c r="F33" i="9"/>
  <c r="V36" i="9"/>
  <c r="J40" i="9"/>
  <c r="V44" i="9"/>
  <c r="J48" i="9"/>
  <c r="V52" i="9"/>
  <c r="R53" i="9"/>
  <c r="J54" i="9"/>
  <c r="F57" i="9"/>
  <c r="R58" i="9"/>
  <c r="J60" i="9"/>
  <c r="F61" i="9"/>
  <c r="R62" i="9"/>
  <c r="J64" i="9"/>
  <c r="F65" i="9"/>
  <c r="J68" i="9"/>
  <c r="V72" i="9"/>
  <c r="R73" i="9"/>
  <c r="J76" i="9"/>
  <c r="F80" i="9"/>
  <c r="V80" i="9"/>
  <c r="R81" i="9"/>
  <c r="J82" i="9"/>
  <c r="V84" i="9"/>
  <c r="F88" i="9"/>
  <c r="V88" i="9"/>
  <c r="V90" i="9"/>
  <c r="F95" i="9"/>
  <c r="V95" i="9"/>
  <c r="F18" i="10"/>
  <c r="V18" i="10"/>
  <c r="R24" i="10"/>
  <c r="R21" i="11"/>
  <c r="F33" i="11"/>
  <c r="V33" i="11"/>
  <c r="F36" i="11"/>
  <c r="V36" i="11"/>
  <c r="Z196" i="12"/>
  <c r="L220" i="12"/>
  <c r="Z222" i="12"/>
  <c r="X15" i="13"/>
  <c r="Z52" i="15"/>
  <c r="Z163" i="15"/>
  <c r="Z27" i="18"/>
  <c r="Z67" i="18"/>
  <c r="R27" i="4"/>
  <c r="R31" i="4"/>
  <c r="R34" i="4"/>
  <c r="F24" i="7"/>
  <c r="V24" i="7"/>
  <c r="R27" i="8"/>
  <c r="R31" i="8"/>
  <c r="R34" i="8"/>
  <c r="R19" i="9"/>
  <c r="R26" i="9"/>
  <c r="R39" i="9"/>
  <c r="R42" i="9"/>
  <c r="F46" i="9"/>
  <c r="R47" i="9"/>
  <c r="F49" i="9"/>
  <c r="R50" i="9"/>
  <c r="F66" i="9"/>
  <c r="R67" i="9"/>
  <c r="F69" i="9"/>
  <c r="R70" i="9"/>
  <c r="V73" i="9"/>
  <c r="R74" i="9"/>
  <c r="F77" i="9"/>
  <c r="V77" i="9"/>
  <c r="R78" i="9"/>
  <c r="V81" i="9"/>
  <c r="R27" i="10"/>
  <c r="R31" i="10"/>
  <c r="R34" i="10"/>
  <c r="N220" i="12"/>
  <c r="H219" i="12"/>
  <c r="R214" i="15"/>
  <c r="R207" i="15"/>
  <c r="R203" i="15"/>
  <c r="R195" i="15"/>
  <c r="R187" i="15"/>
  <c r="R171" i="15"/>
  <c r="R159" i="15"/>
  <c r="R156" i="15"/>
  <c r="R147" i="15"/>
  <c r="R144" i="15"/>
  <c r="R135" i="15"/>
  <c r="R131" i="15"/>
  <c r="R115" i="15"/>
  <c r="R107" i="15"/>
  <c r="R99" i="15"/>
  <c r="R91" i="15"/>
  <c r="R83" i="15"/>
  <c r="R206" i="15"/>
  <c r="R199" i="15"/>
  <c r="R194" i="15"/>
  <c r="R190" i="15"/>
  <c r="R186" i="15"/>
  <c r="R182" i="15"/>
  <c r="R178" i="15"/>
  <c r="R167" i="15"/>
  <c r="R162" i="15"/>
  <c r="R150" i="15"/>
  <c r="R130" i="15"/>
  <c r="R123" i="15"/>
  <c r="R114" i="15"/>
  <c r="R106" i="15"/>
  <c r="R98" i="15"/>
  <c r="R90" i="15"/>
  <c r="R82" i="15"/>
  <c r="R212" i="15"/>
  <c r="R209" i="15"/>
  <c r="R205" i="15"/>
  <c r="R202" i="15"/>
  <c r="R193" i="15"/>
  <c r="R189" i="15"/>
  <c r="R185" i="15"/>
  <c r="R181" i="15"/>
  <c r="R177" i="15"/>
  <c r="R173" i="15"/>
  <c r="R170" i="15"/>
  <c r="R161" i="15"/>
  <c r="R158" i="15"/>
  <c r="R153" i="15"/>
  <c r="R149" i="15"/>
  <c r="R146" i="15"/>
  <c r="R141" i="15"/>
  <c r="R134" i="15"/>
  <c r="R129" i="15"/>
  <c r="R113" i="15"/>
  <c r="R105" i="15"/>
  <c r="R97" i="15"/>
  <c r="R89" i="15"/>
  <c r="R81" i="15"/>
  <c r="R215" i="15"/>
  <c r="R192" i="15"/>
  <c r="R184" i="15"/>
  <c r="R180" i="15"/>
  <c r="R176" i="15"/>
  <c r="R164" i="15"/>
  <c r="R152" i="15"/>
  <c r="R140" i="15"/>
  <c r="R128" i="15"/>
  <c r="P120" i="15"/>
  <c r="R112" i="15"/>
  <c r="R104" i="15"/>
  <c r="R96" i="15"/>
  <c r="R88" i="15"/>
  <c r="R80" i="15"/>
  <c r="R208" i="15"/>
  <c r="R204" i="15"/>
  <c r="R188" i="15"/>
  <c r="R175" i="15"/>
  <c r="R172" i="15"/>
  <c r="R160" i="15"/>
  <c r="R155" i="15"/>
  <c r="R148" i="15"/>
  <c r="R143" i="15"/>
  <c r="R139" i="15"/>
  <c r="R127" i="15"/>
  <c r="R111" i="15"/>
  <c r="R103" i="15"/>
  <c r="R95" i="15"/>
  <c r="R87" i="15"/>
  <c r="R213" i="15"/>
  <c r="R198" i="15"/>
  <c r="R191" i="15"/>
  <c r="R183" i="15"/>
  <c r="R179" i="15"/>
  <c r="R166" i="15"/>
  <c r="R163" i="15"/>
  <c r="R151" i="15"/>
  <c r="R138" i="15"/>
  <c r="R126" i="15"/>
  <c r="R118" i="15"/>
  <c r="R110" i="15"/>
  <c r="R102" i="15"/>
  <c r="R94" i="15"/>
  <c r="R86" i="15"/>
  <c r="R79" i="15"/>
  <c r="R219" i="15"/>
  <c r="R201" i="15"/>
  <c r="R197" i="15"/>
  <c r="R174" i="15"/>
  <c r="R169" i="15"/>
  <c r="R157" i="15"/>
  <c r="R154" i="15"/>
  <c r="R145" i="15"/>
  <c r="R142" i="15"/>
  <c r="R137" i="15"/>
  <c r="R133" i="15"/>
  <c r="R125" i="15"/>
  <c r="R122" i="15"/>
  <c r="R117" i="15"/>
  <c r="R109" i="15"/>
  <c r="R101" i="15"/>
  <c r="R93" i="15"/>
  <c r="R85" i="15"/>
  <c r="R211" i="15"/>
  <c r="R200" i="15"/>
  <c r="R196" i="15"/>
  <c r="R168" i="15"/>
  <c r="R165" i="15"/>
  <c r="R136" i="15"/>
  <c r="R132" i="15"/>
  <c r="R124" i="15"/>
  <c r="R116" i="15"/>
  <c r="R108" i="15"/>
  <c r="R100" i="15"/>
  <c r="R92" i="15"/>
  <c r="R84" i="15"/>
  <c r="X12" i="15"/>
  <c r="Z76" i="15"/>
  <c r="Z167" i="15"/>
  <c r="L194" i="3"/>
  <c r="N194" i="3" s="1"/>
  <c r="X200" i="3"/>
  <c r="Z200" i="3" s="1"/>
  <c r="R16" i="4"/>
  <c r="J18" i="4"/>
  <c r="R20" i="4"/>
  <c r="F24" i="4"/>
  <c r="V24" i="4"/>
  <c r="J15" i="5"/>
  <c r="H18" i="5"/>
  <c r="F21" i="5"/>
  <c r="V21" i="5"/>
  <c r="J25" i="5"/>
  <c r="R27" i="5"/>
  <c r="J29" i="5"/>
  <c r="R31" i="5"/>
  <c r="J33" i="5"/>
  <c r="R34" i="5"/>
  <c r="J36" i="5"/>
  <c r="D16" i="6"/>
  <c r="T16" i="6"/>
  <c r="X16" i="6" s="1"/>
  <c r="F24" i="6"/>
  <c r="X12" i="7"/>
  <c r="J21" i="7"/>
  <c r="F27" i="7"/>
  <c r="V27" i="7"/>
  <c r="F31" i="7"/>
  <c r="V31" i="7"/>
  <c r="F34" i="7"/>
  <c r="V34" i="7"/>
  <c r="L15" i="8"/>
  <c r="R16" i="8"/>
  <c r="J18" i="8"/>
  <c r="R20" i="8"/>
  <c r="X21" i="8"/>
  <c r="F24" i="8"/>
  <c r="V24" i="8"/>
  <c r="L25" i="8"/>
  <c r="L29" i="8"/>
  <c r="L33" i="8"/>
  <c r="N14" i="9"/>
  <c r="F16" i="9"/>
  <c r="V16" i="9"/>
  <c r="J22" i="9"/>
  <c r="F23" i="9"/>
  <c r="V26" i="9"/>
  <c r="R27" i="9"/>
  <c r="F30" i="9"/>
  <c r="V30" i="9"/>
  <c r="R31" i="9"/>
  <c r="J34" i="9"/>
  <c r="F35" i="9"/>
  <c r="J38" i="9"/>
  <c r="X41" i="9"/>
  <c r="Z41" i="9" s="1"/>
  <c r="V42" i="9"/>
  <c r="L43" i="9"/>
  <c r="N43" i="9" s="1"/>
  <c r="J46" i="9"/>
  <c r="X49" i="9"/>
  <c r="V50" i="9"/>
  <c r="L51" i="9"/>
  <c r="N51" i="9" s="1"/>
  <c r="F55" i="9"/>
  <c r="R56" i="9"/>
  <c r="F58" i="9"/>
  <c r="V58" i="9"/>
  <c r="R59" i="9"/>
  <c r="F62" i="9"/>
  <c r="V62" i="9"/>
  <c r="R63" i="9"/>
  <c r="J66" i="9"/>
  <c r="X69" i="9"/>
  <c r="Z69" i="9" s="1"/>
  <c r="V70" i="9"/>
  <c r="L71" i="9"/>
  <c r="N71" i="9" s="1"/>
  <c r="V74" i="9"/>
  <c r="R75" i="9"/>
  <c r="X77" i="9"/>
  <c r="Z77" i="9" s="1"/>
  <c r="V78" i="9"/>
  <c r="R79" i="9"/>
  <c r="J80" i="9"/>
  <c r="F83" i="9"/>
  <c r="R86" i="9"/>
  <c r="J88" i="9"/>
  <c r="R92" i="9"/>
  <c r="J95" i="9"/>
  <c r="L15" i="10"/>
  <c r="R16" i="10"/>
  <c r="R20" i="10"/>
  <c r="X21" i="10"/>
  <c r="F24" i="10"/>
  <c r="V24" i="10"/>
  <c r="L25" i="10"/>
  <c r="L29" i="10"/>
  <c r="L33" i="10"/>
  <c r="J15" i="11"/>
  <c r="H18" i="11"/>
  <c r="L22" i="11"/>
  <c r="J25" i="11"/>
  <c r="R27" i="11"/>
  <c r="J29" i="11"/>
  <c r="R31" i="11"/>
  <c r="J33" i="11"/>
  <c r="R34" i="11"/>
  <c r="J36" i="11"/>
  <c r="X74" i="12"/>
  <c r="Z74" i="12" s="1"/>
  <c r="L78" i="12"/>
  <c r="N78" i="12" s="1"/>
  <c r="N43" i="15"/>
  <c r="N67" i="15"/>
  <c r="Z212" i="15"/>
  <c r="N215" i="15"/>
  <c r="R239" i="18"/>
  <c r="R228" i="18"/>
  <c r="R221" i="18"/>
  <c r="R216" i="18"/>
  <c r="R212" i="18"/>
  <c r="R208" i="18"/>
  <c r="R204" i="18"/>
  <c r="R200" i="18"/>
  <c r="R189" i="18"/>
  <c r="R234" i="18"/>
  <c r="R231" i="18"/>
  <c r="R227" i="18"/>
  <c r="R224" i="18"/>
  <c r="R215" i="18"/>
  <c r="R211" i="18"/>
  <c r="R207" i="18"/>
  <c r="R203" i="18"/>
  <c r="R199" i="18"/>
  <c r="R195" i="18"/>
  <c r="R192" i="18"/>
  <c r="R183" i="18"/>
  <c r="R180" i="18"/>
  <c r="R175" i="18"/>
  <c r="R171" i="18"/>
  <c r="R168" i="18"/>
  <c r="R163" i="18"/>
  <c r="R156" i="18"/>
  <c r="R151" i="18"/>
  <c r="R135" i="18"/>
  <c r="R127" i="18"/>
  <c r="R237" i="18"/>
  <c r="R214" i="18"/>
  <c r="R206" i="18"/>
  <c r="R202" i="18"/>
  <c r="R198" i="18"/>
  <c r="R186" i="18"/>
  <c r="R174" i="18"/>
  <c r="R162" i="18"/>
  <c r="R150" i="18"/>
  <c r="P142" i="18"/>
  <c r="R243" i="18"/>
  <c r="R230" i="18"/>
  <c r="R226" i="18"/>
  <c r="R210" i="18"/>
  <c r="R197" i="18"/>
  <c r="R194" i="18"/>
  <c r="R182" i="18"/>
  <c r="R177" i="18"/>
  <c r="R170" i="18"/>
  <c r="R165" i="18"/>
  <c r="R161" i="18"/>
  <c r="R235" i="18"/>
  <c r="R220" i="18"/>
  <c r="R213" i="18"/>
  <c r="R205" i="18"/>
  <c r="R201" i="18"/>
  <c r="R238" i="18"/>
  <c r="R223" i="18"/>
  <c r="R219" i="18"/>
  <c r="R196" i="18"/>
  <c r="R191" i="18"/>
  <c r="R179" i="18"/>
  <c r="R176" i="18"/>
  <c r="R167" i="18"/>
  <c r="R164" i="18"/>
  <c r="R159" i="18"/>
  <c r="R155" i="18"/>
  <c r="R147" i="18"/>
  <c r="R144" i="18"/>
  <c r="R139" i="18"/>
  <c r="R131" i="18"/>
  <c r="R233" i="18"/>
  <c r="R222" i="18"/>
  <c r="R218" i="18"/>
  <c r="R190" i="18"/>
  <c r="R187" i="18"/>
  <c r="R158" i="18"/>
  <c r="R154" i="18"/>
  <c r="R146" i="18"/>
  <c r="R236" i="18"/>
  <c r="R229" i="18"/>
  <c r="R225" i="18"/>
  <c r="R217" i="18"/>
  <c r="R209" i="18"/>
  <c r="R193" i="18"/>
  <c r="R181" i="18"/>
  <c r="R178" i="18"/>
  <c r="R169" i="18"/>
  <c r="R166" i="18"/>
  <c r="R157" i="18"/>
  <c r="R153" i="18"/>
  <c r="R137" i="18"/>
  <c r="R117" i="18"/>
  <c r="R109" i="18"/>
  <c r="R101" i="18"/>
  <c r="R152" i="18"/>
  <c r="R149" i="18"/>
  <c r="R138" i="18"/>
  <c r="R126" i="18"/>
  <c r="R125" i="18"/>
  <c r="R124" i="18"/>
  <c r="R116" i="18"/>
  <c r="R108" i="18"/>
  <c r="R100" i="18"/>
  <c r="R93" i="18"/>
  <c r="X12" i="18"/>
  <c r="Z12" i="18" s="1"/>
  <c r="R130" i="18"/>
  <c r="R129" i="18"/>
  <c r="R128" i="18"/>
  <c r="R123" i="18"/>
  <c r="R115" i="18"/>
  <c r="R107" i="18"/>
  <c r="R99" i="18"/>
  <c r="R122" i="18"/>
  <c r="R114" i="18"/>
  <c r="R106" i="18"/>
  <c r="R98" i="18"/>
  <c r="R160" i="18"/>
  <c r="R140" i="18"/>
  <c r="R134" i="18"/>
  <c r="R133" i="18"/>
  <c r="R132" i="18"/>
  <c r="R121" i="18"/>
  <c r="R113" i="18"/>
  <c r="R105" i="18"/>
  <c r="R97" i="18"/>
  <c r="R172" i="18"/>
  <c r="R120" i="18"/>
  <c r="R112" i="18"/>
  <c r="R104" i="18"/>
  <c r="R96" i="18"/>
  <c r="R184" i="18"/>
  <c r="R173" i="18"/>
  <c r="R145" i="18"/>
  <c r="R119" i="18"/>
  <c r="R111" i="18"/>
  <c r="R103" i="18"/>
  <c r="R95" i="18"/>
  <c r="R188" i="18"/>
  <c r="R185" i="18"/>
  <c r="R148" i="18"/>
  <c r="R136" i="18"/>
  <c r="R118" i="18"/>
  <c r="R110" i="18"/>
  <c r="R102" i="18"/>
  <c r="R94" i="18"/>
  <c r="N42" i="18"/>
  <c r="Z50" i="18"/>
  <c r="Z73" i="18"/>
  <c r="X12" i="4"/>
  <c r="F27" i="4"/>
  <c r="V27" i="4"/>
  <c r="F31" i="4"/>
  <c r="V31" i="4"/>
  <c r="R16" i="5"/>
  <c r="F16" i="6"/>
  <c r="V16" i="6"/>
  <c r="F20" i="6"/>
  <c r="V20" i="6"/>
  <c r="F26" i="6"/>
  <c r="V26" i="6"/>
  <c r="Z12" i="7"/>
  <c r="F16" i="7"/>
  <c r="V16" i="7"/>
  <c r="F20" i="7"/>
  <c r="V20" i="7"/>
  <c r="J24" i="7"/>
  <c r="X12" i="8"/>
  <c r="F27" i="8"/>
  <c r="V27" i="8"/>
  <c r="F31" i="8"/>
  <c r="V31" i="8"/>
  <c r="X12" i="9"/>
  <c r="F19" i="9"/>
  <c r="V19" i="9"/>
  <c r="R20" i="9"/>
  <c r="J23" i="9"/>
  <c r="F24" i="9"/>
  <c r="V27" i="9"/>
  <c r="R28" i="9"/>
  <c r="V31" i="9"/>
  <c r="R32" i="9"/>
  <c r="J35" i="9"/>
  <c r="F36" i="9"/>
  <c r="R37" i="9"/>
  <c r="F39" i="9"/>
  <c r="V39" i="9"/>
  <c r="R40" i="9"/>
  <c r="J41" i="9"/>
  <c r="F44" i="9"/>
  <c r="R45" i="9"/>
  <c r="F47" i="9"/>
  <c r="V47" i="9"/>
  <c r="R48" i="9"/>
  <c r="J49" i="9"/>
  <c r="F52" i="9"/>
  <c r="J55" i="9"/>
  <c r="V59" i="9"/>
  <c r="R60" i="9"/>
  <c r="V63" i="9"/>
  <c r="R64" i="9"/>
  <c r="F67" i="9"/>
  <c r="V67" i="9"/>
  <c r="R68" i="9"/>
  <c r="J69" i="9"/>
  <c r="F72" i="9"/>
  <c r="V75" i="9"/>
  <c r="R76" i="9"/>
  <c r="J77" i="9"/>
  <c r="V79" i="9"/>
  <c r="J83" i="9"/>
  <c r="F84" i="9"/>
  <c r="F90" i="9"/>
  <c r="X12" i="10"/>
  <c r="F27" i="10"/>
  <c r="V27" i="10"/>
  <c r="F31" i="10"/>
  <c r="V31" i="10"/>
  <c r="R16" i="11"/>
  <c r="T12" i="12"/>
  <c r="Z220" i="12"/>
  <c r="J21" i="13"/>
  <c r="J18" i="13"/>
  <c r="J36" i="13"/>
  <c r="J33" i="13"/>
  <c r="J29" i="13"/>
  <c r="J25" i="13"/>
  <c r="H18" i="13"/>
  <c r="J15" i="13"/>
  <c r="J22" i="13"/>
  <c r="N12" i="13"/>
  <c r="J34" i="13"/>
  <c r="J31" i="13"/>
  <c r="J27" i="13"/>
  <c r="J24" i="13"/>
  <c r="N29" i="15"/>
  <c r="Z179" i="15"/>
  <c r="Z191" i="15"/>
  <c r="N18" i="18"/>
  <c r="Z19" i="18"/>
  <c r="N22" i="18"/>
  <c r="Z46" i="18"/>
  <c r="N85" i="18"/>
  <c r="Z86" i="18"/>
  <c r="Z93" i="18"/>
  <c r="R22" i="4"/>
  <c r="R22" i="8"/>
  <c r="R14" i="9"/>
  <c r="R18" i="9"/>
  <c r="R21" i="9"/>
  <c r="R29" i="9"/>
  <c r="R33" i="9"/>
  <c r="F53" i="9"/>
  <c r="R54" i="9"/>
  <c r="F56" i="9"/>
  <c r="R57" i="9"/>
  <c r="R61" i="9"/>
  <c r="R65" i="9"/>
  <c r="V68" i="9"/>
  <c r="J72" i="9"/>
  <c r="F73" i="9"/>
  <c r="V76" i="9"/>
  <c r="F81" i="9"/>
  <c r="R82" i="9"/>
  <c r="J84" i="9"/>
  <c r="F86" i="9"/>
  <c r="V86" i="9"/>
  <c r="J90" i="9"/>
  <c r="F92" i="9"/>
  <c r="V92" i="9"/>
  <c r="R22" i="10"/>
  <c r="N56" i="15"/>
  <c r="R15" i="4"/>
  <c r="P18" i="4"/>
  <c r="R25" i="4"/>
  <c r="R29" i="4"/>
  <c r="R33" i="4"/>
  <c r="J16" i="7"/>
  <c r="R15" i="8"/>
  <c r="P18" i="8"/>
  <c r="R25" i="8"/>
  <c r="R29" i="8"/>
  <c r="R33" i="8"/>
  <c r="R22" i="9"/>
  <c r="F26" i="9"/>
  <c r="V33" i="9"/>
  <c r="R34" i="9"/>
  <c r="F37" i="9"/>
  <c r="V37" i="9"/>
  <c r="R38" i="9"/>
  <c r="J39" i="9"/>
  <c r="F42" i="9"/>
  <c r="R43" i="9"/>
  <c r="F45" i="9"/>
  <c r="V45" i="9"/>
  <c r="R46" i="9"/>
  <c r="J47" i="9"/>
  <c r="F50" i="9"/>
  <c r="R51" i="9"/>
  <c r="J53" i="9"/>
  <c r="V57" i="9"/>
  <c r="V61" i="9"/>
  <c r="R66" i="9"/>
  <c r="J67" i="9"/>
  <c r="F70" i="9"/>
  <c r="J73" i="9"/>
  <c r="F74" i="9"/>
  <c r="R15" i="10"/>
  <c r="P18" i="10"/>
  <c r="R25" i="10"/>
  <c r="R29" i="10"/>
  <c r="R33" i="10"/>
  <c r="N179" i="12"/>
  <c r="N186" i="12"/>
  <c r="N35" i="15"/>
  <c r="Z47" i="15"/>
  <c r="N59" i="15"/>
  <c r="Z71" i="15"/>
  <c r="Z142" i="15"/>
  <c r="N144" i="15"/>
  <c r="Z174" i="15"/>
  <c r="Z18" i="18"/>
  <c r="Z22" i="18"/>
  <c r="N34" i="18"/>
  <c r="Z38" i="18"/>
  <c r="N58" i="18"/>
  <c r="N74" i="18"/>
  <c r="X13" i="13"/>
  <c r="X12" i="14"/>
  <c r="J21" i="14"/>
  <c r="F27" i="14"/>
  <c r="V27" i="14"/>
  <c r="F31" i="14"/>
  <c r="V31" i="14"/>
  <c r="F34" i="14"/>
  <c r="V34" i="14"/>
  <c r="L16" i="15"/>
  <c r="X20" i="15"/>
  <c r="Z20" i="15" s="1"/>
  <c r="L24" i="15"/>
  <c r="N24" i="15" s="1"/>
  <c r="X28" i="15"/>
  <c r="Z28" i="15" s="1"/>
  <c r="L32" i="15"/>
  <c r="X36" i="15"/>
  <c r="Z36" i="15" s="1"/>
  <c r="L40" i="15"/>
  <c r="N40" i="15" s="1"/>
  <c r="X44" i="15"/>
  <c r="Z44" i="15" s="1"/>
  <c r="L48" i="15"/>
  <c r="X52" i="15"/>
  <c r="L56" i="15"/>
  <c r="X60" i="15"/>
  <c r="Z60" i="15" s="1"/>
  <c r="L64" i="15"/>
  <c r="N64" i="15" s="1"/>
  <c r="X68" i="15"/>
  <c r="Z68" i="15" s="1"/>
  <c r="L72" i="15"/>
  <c r="N72" i="15" s="1"/>
  <c r="X76" i="15"/>
  <c r="F80" i="15"/>
  <c r="F88" i="15"/>
  <c r="F96" i="15"/>
  <c r="F104" i="15"/>
  <c r="F112" i="15"/>
  <c r="F123" i="15"/>
  <c r="F128" i="15"/>
  <c r="F140" i="15"/>
  <c r="F152" i="15"/>
  <c r="F164" i="15"/>
  <c r="F167" i="15"/>
  <c r="F176" i="15"/>
  <c r="F180" i="15"/>
  <c r="F184" i="15"/>
  <c r="F192" i="15"/>
  <c r="F199" i="15"/>
  <c r="J16" i="16"/>
  <c r="R18" i="16"/>
  <c r="J20" i="16"/>
  <c r="F22" i="16"/>
  <c r="V22" i="16"/>
  <c r="L34" i="16"/>
  <c r="R15" i="17"/>
  <c r="X16" i="17"/>
  <c r="P18" i="17"/>
  <c r="R25" i="17"/>
  <c r="J27" i="17"/>
  <c r="R29" i="17"/>
  <c r="J31" i="17"/>
  <c r="R33" i="17"/>
  <c r="J34" i="17"/>
  <c r="R36" i="17"/>
  <c r="D12" i="18"/>
  <c r="Z196" i="18"/>
  <c r="N213" i="18"/>
  <c r="Z29" i="21"/>
  <c r="Z50" i="21"/>
  <c r="Z57" i="21"/>
  <c r="P219" i="12"/>
  <c r="X219" i="12" s="1"/>
  <c r="R15" i="13"/>
  <c r="P18" i="13"/>
  <c r="R25" i="13"/>
  <c r="R29" i="13"/>
  <c r="R33" i="13"/>
  <c r="R36" i="13"/>
  <c r="Z12" i="14"/>
  <c r="F16" i="14"/>
  <c r="V16" i="14"/>
  <c r="F20" i="14"/>
  <c r="V20" i="14"/>
  <c r="R22" i="14"/>
  <c r="J24" i="14"/>
  <c r="X13" i="15"/>
  <c r="Z13" i="15" s="1"/>
  <c r="F81" i="15"/>
  <c r="F89" i="15"/>
  <c r="F97" i="15"/>
  <c r="F105" i="15"/>
  <c r="F113" i="15"/>
  <c r="F129" i="15"/>
  <c r="F141" i="15"/>
  <c r="F144" i="15"/>
  <c r="F149" i="15"/>
  <c r="F153" i="15"/>
  <c r="F156" i="15"/>
  <c r="F161" i="15"/>
  <c r="X167" i="15"/>
  <c r="F173" i="15"/>
  <c r="F177" i="15"/>
  <c r="F181" i="15"/>
  <c r="F185" i="15"/>
  <c r="F189" i="15"/>
  <c r="F193" i="15"/>
  <c r="X199" i="15"/>
  <c r="Z199" i="15" s="1"/>
  <c r="F205" i="15"/>
  <c r="F209" i="15"/>
  <c r="F214" i="15"/>
  <c r="L12" i="16"/>
  <c r="F15" i="16"/>
  <c r="V15" i="16"/>
  <c r="D18" i="16"/>
  <c r="T18" i="16"/>
  <c r="R21" i="16"/>
  <c r="F25" i="16"/>
  <c r="V25" i="16"/>
  <c r="F29" i="16"/>
  <c r="V29" i="16"/>
  <c r="F33" i="16"/>
  <c r="V33" i="16"/>
  <c r="F36" i="16"/>
  <c r="V36" i="16"/>
  <c r="J16" i="17"/>
  <c r="R18" i="17"/>
  <c r="J20" i="17"/>
  <c r="F22" i="17"/>
  <c r="V22" i="17"/>
  <c r="H12" i="18"/>
  <c r="Z14" i="18"/>
  <c r="X15" i="18"/>
  <c r="Z15" i="18" s="1"/>
  <c r="Z144" i="18"/>
  <c r="Z27" i="24"/>
  <c r="F82" i="15"/>
  <c r="F90" i="15"/>
  <c r="F98" i="15"/>
  <c r="F106" i="15"/>
  <c r="F114" i="15"/>
  <c r="F130" i="15"/>
  <c r="F150" i="15"/>
  <c r="F162" i="15"/>
  <c r="F165" i="15"/>
  <c r="F178" i="15"/>
  <c r="F182" i="15"/>
  <c r="F186" i="15"/>
  <c r="F190" i="15"/>
  <c r="F194" i="15"/>
  <c r="F206" i="15"/>
  <c r="F211" i="15"/>
  <c r="F18" i="16"/>
  <c r="F25" i="17"/>
  <c r="V25" i="17"/>
  <c r="F29" i="17"/>
  <c r="V29" i="17"/>
  <c r="F33" i="17"/>
  <c r="V33" i="17"/>
  <c r="F36" i="17"/>
  <c r="V36" i="17"/>
  <c r="X156" i="18"/>
  <c r="Z156" i="18" s="1"/>
  <c r="J73" i="21"/>
  <c r="J69" i="21"/>
  <c r="J65" i="21"/>
  <c r="J59" i="21"/>
  <c r="J45" i="21"/>
  <c r="J41" i="21"/>
  <c r="J37" i="21"/>
  <c r="J23" i="21"/>
  <c r="J86" i="21"/>
  <c r="J80" i="21"/>
  <c r="J72" i="21"/>
  <c r="J68" i="21"/>
  <c r="J56" i="21"/>
  <c r="J50" i="21"/>
  <c r="J40" i="21"/>
  <c r="J36" i="21"/>
  <c r="J30" i="21"/>
  <c r="N12" i="21"/>
  <c r="J77" i="21"/>
  <c r="J67" i="21"/>
  <c r="J61" i="21"/>
  <c r="J53" i="21"/>
  <c r="J47" i="21"/>
  <c r="J35" i="21"/>
  <c r="J27" i="21"/>
  <c r="J91" i="21"/>
  <c r="J84" i="21"/>
  <c r="J64" i="21"/>
  <c r="J58" i="21"/>
  <c r="J44" i="21"/>
  <c r="J34" i="21"/>
  <c r="H27" i="21"/>
  <c r="J79" i="21"/>
  <c r="J71" i="21"/>
  <c r="J55" i="21"/>
  <c r="J49" i="21"/>
  <c r="J39" i="21"/>
  <c r="J33" i="21"/>
  <c r="J25" i="21"/>
  <c r="J76" i="21"/>
  <c r="J66" i="21"/>
  <c r="J60" i="21"/>
  <c r="J52" i="21"/>
  <c r="J46" i="21"/>
  <c r="J32" i="21"/>
  <c r="J24" i="21"/>
  <c r="J75" i="21"/>
  <c r="J63" i="21"/>
  <c r="J57" i="21"/>
  <c r="J51" i="21"/>
  <c r="J43" i="21"/>
  <c r="J31" i="21"/>
  <c r="J29" i="21"/>
  <c r="J88" i="21"/>
  <c r="J82" i="21"/>
  <c r="J78" i="21"/>
  <c r="J74" i="21"/>
  <c r="J70" i="21"/>
  <c r="J62" i="21"/>
  <c r="J54" i="21"/>
  <c r="J48" i="21"/>
  <c r="J42" i="21"/>
  <c r="J38" i="21"/>
  <c r="V80" i="24"/>
  <c r="V76" i="24"/>
  <c r="V72" i="24"/>
  <c r="V68" i="24"/>
  <c r="V60" i="24"/>
  <c r="V56" i="24"/>
  <c r="V36" i="24"/>
  <c r="Z12" i="24"/>
  <c r="V79" i="24"/>
  <c r="V75" i="24"/>
  <c r="V71" i="24"/>
  <c r="V63" i="24"/>
  <c r="V59" i="24"/>
  <c r="T42" i="24"/>
  <c r="V35" i="24"/>
  <c r="V88" i="24"/>
  <c r="V82" i="24"/>
  <c r="V74" i="24"/>
  <c r="V62" i="24"/>
  <c r="V58" i="24"/>
  <c r="V34" i="24"/>
  <c r="V81" i="24"/>
  <c r="V65" i="24"/>
  <c r="V61" i="24"/>
  <c r="V53" i="24"/>
  <c r="V49" i="24"/>
  <c r="V33" i="24"/>
  <c r="V64" i="24"/>
  <c r="V52" i="24"/>
  <c r="V48" i="24"/>
  <c r="V44" i="24"/>
  <c r="V40" i="24"/>
  <c r="V32" i="24"/>
  <c r="V67" i="24"/>
  <c r="V55" i="24"/>
  <c r="V51" i="24"/>
  <c r="V47" i="24"/>
  <c r="V39" i="24"/>
  <c r="V31" i="24"/>
  <c r="V84" i="24"/>
  <c r="V78" i="24"/>
  <c r="V70" i="24"/>
  <c r="V66" i="24"/>
  <c r="V54" i="24"/>
  <c r="V50" i="24"/>
  <c r="V46" i="24"/>
  <c r="V38" i="24"/>
  <c r="V30" i="24"/>
  <c r="V77" i="24"/>
  <c r="V73" i="24"/>
  <c r="V69" i="24"/>
  <c r="V57" i="24"/>
  <c r="V45" i="24"/>
  <c r="V37" i="24"/>
  <c r="D219" i="12"/>
  <c r="L219" i="12" s="1"/>
  <c r="T219" i="12"/>
  <c r="L12" i="13"/>
  <c r="F15" i="13"/>
  <c r="V15" i="13"/>
  <c r="D18" i="13"/>
  <c r="T18" i="13"/>
  <c r="R21" i="13"/>
  <c r="F25" i="13"/>
  <c r="V25" i="13"/>
  <c r="F29" i="13"/>
  <c r="V29" i="13"/>
  <c r="F33" i="13"/>
  <c r="V33" i="13"/>
  <c r="F36" i="13"/>
  <c r="V36" i="13"/>
  <c r="J16" i="14"/>
  <c r="R18" i="14"/>
  <c r="J20" i="14"/>
  <c r="F22" i="14"/>
  <c r="V22" i="14"/>
  <c r="H12" i="15"/>
  <c r="F83" i="15"/>
  <c r="F91" i="15"/>
  <c r="F99" i="15"/>
  <c r="F107" i="15"/>
  <c r="F115" i="15"/>
  <c r="F122" i="15"/>
  <c r="F131" i="15"/>
  <c r="F135" i="15"/>
  <c r="F142" i="15"/>
  <c r="F147" i="15"/>
  <c r="F154" i="15"/>
  <c r="F159" i="15"/>
  <c r="F171" i="15"/>
  <c r="F174" i="15"/>
  <c r="F187" i="15"/>
  <c r="F195" i="15"/>
  <c r="F203" i="15"/>
  <c r="F207" i="15"/>
  <c r="H211" i="15"/>
  <c r="L211" i="15" s="1"/>
  <c r="J15" i="16"/>
  <c r="H18" i="16"/>
  <c r="F21" i="16"/>
  <c r="V21" i="16"/>
  <c r="J25" i="16"/>
  <c r="R27" i="16"/>
  <c r="J29" i="16"/>
  <c r="R31" i="16"/>
  <c r="J33" i="16"/>
  <c r="R34" i="16"/>
  <c r="J36" i="16"/>
  <c r="N12" i="17"/>
  <c r="F18" i="17"/>
  <c r="V18" i="17"/>
  <c r="J22" i="17"/>
  <c r="R24" i="17"/>
  <c r="L13" i="18"/>
  <c r="N13" i="18" s="1"/>
  <c r="X17" i="18"/>
  <c r="Z17" i="18" s="1"/>
  <c r="L21" i="18"/>
  <c r="N21" i="18" s="1"/>
  <c r="X25" i="18"/>
  <c r="Z25" i="18" s="1"/>
  <c r="L29" i="18"/>
  <c r="N29" i="18" s="1"/>
  <c r="X33" i="18"/>
  <c r="Z33" i="18" s="1"/>
  <c r="L37" i="18"/>
  <c r="N37" i="18" s="1"/>
  <c r="X41" i="18"/>
  <c r="Z41" i="18" s="1"/>
  <c r="L45" i="18"/>
  <c r="N45" i="18" s="1"/>
  <c r="X49" i="18"/>
  <c r="Z49" i="18" s="1"/>
  <c r="L53" i="18"/>
  <c r="N53" i="18" s="1"/>
  <c r="X57" i="18"/>
  <c r="Z57" i="18" s="1"/>
  <c r="N210" i="18"/>
  <c r="Z234" i="18"/>
  <c r="F18" i="13"/>
  <c r="V18" i="13"/>
  <c r="R24" i="13"/>
  <c r="L12" i="14"/>
  <c r="F15" i="14"/>
  <c r="V15" i="14"/>
  <c r="D18" i="14"/>
  <c r="T18" i="14"/>
  <c r="R21" i="14"/>
  <c r="F25" i="14"/>
  <c r="V25" i="14"/>
  <c r="F29" i="14"/>
  <c r="V29" i="14"/>
  <c r="F33" i="14"/>
  <c r="V33" i="14"/>
  <c r="F36" i="14"/>
  <c r="V36" i="14"/>
  <c r="L12" i="15"/>
  <c r="Z15" i="15"/>
  <c r="F79" i="15"/>
  <c r="F84" i="15"/>
  <c r="F92" i="15"/>
  <c r="F100" i="15"/>
  <c r="F108" i="15"/>
  <c r="F116" i="15"/>
  <c r="F124" i="15"/>
  <c r="F132" i="15"/>
  <c r="F136" i="15"/>
  <c r="F151" i="15"/>
  <c r="F163" i="15"/>
  <c r="F168" i="15"/>
  <c r="F179" i="15"/>
  <c r="F183" i="15"/>
  <c r="F191" i="15"/>
  <c r="F196" i="15"/>
  <c r="F200" i="15"/>
  <c r="F213" i="15"/>
  <c r="R16" i="16"/>
  <c r="J18" i="16"/>
  <c r="R20" i="16"/>
  <c r="F24" i="16"/>
  <c r="V24" i="16"/>
  <c r="J15" i="17"/>
  <c r="H18" i="17"/>
  <c r="F21" i="17"/>
  <c r="V21" i="17"/>
  <c r="J25" i="17"/>
  <c r="R27" i="17"/>
  <c r="J29" i="17"/>
  <c r="R31" i="17"/>
  <c r="J33" i="17"/>
  <c r="R34" i="17"/>
  <c r="J36" i="17"/>
  <c r="X176" i="18"/>
  <c r="L178" i="18"/>
  <c r="X180" i="18"/>
  <c r="Z180" i="18" s="1"/>
  <c r="N182" i="18"/>
  <c r="L182" i="18"/>
  <c r="Z46" i="21"/>
  <c r="R84" i="24"/>
  <c r="R77" i="24"/>
  <c r="R73" i="24"/>
  <c r="R69" i="24"/>
  <c r="R66" i="24"/>
  <c r="R57" i="24"/>
  <c r="R54" i="24"/>
  <c r="R50" i="24"/>
  <c r="R37" i="24"/>
  <c r="R30" i="24"/>
  <c r="R80" i="24"/>
  <c r="R76" i="24"/>
  <c r="R72" i="24"/>
  <c r="R60" i="24"/>
  <c r="R45" i="24"/>
  <c r="R36" i="24"/>
  <c r="X12" i="24"/>
  <c r="R75" i="24"/>
  <c r="R68" i="24"/>
  <c r="R63" i="24"/>
  <c r="R59" i="24"/>
  <c r="R56" i="24"/>
  <c r="R42" i="24"/>
  <c r="R35" i="24"/>
  <c r="R88" i="24"/>
  <c r="R82" i="24"/>
  <c r="R79" i="24"/>
  <c r="R71" i="24"/>
  <c r="R62" i="24"/>
  <c r="P42" i="24"/>
  <c r="R34" i="24"/>
  <c r="R74" i="24"/>
  <c r="R65" i="24"/>
  <c r="R58" i="24"/>
  <c r="R53" i="24"/>
  <c r="R49" i="24"/>
  <c r="R33" i="24"/>
  <c r="R81" i="24"/>
  <c r="R61" i="24"/>
  <c r="R52" i="24"/>
  <c r="R48" i="24"/>
  <c r="R40" i="24"/>
  <c r="R32" i="24"/>
  <c r="R67" i="24"/>
  <c r="R64" i="24"/>
  <c r="R55" i="24"/>
  <c r="R51" i="24"/>
  <c r="R47" i="24"/>
  <c r="R44" i="24"/>
  <c r="R39" i="24"/>
  <c r="R31" i="24"/>
  <c r="R78" i="24"/>
  <c r="R70" i="24"/>
  <c r="R46" i="24"/>
  <c r="R38" i="24"/>
  <c r="Z26" i="24"/>
  <c r="Z20" i="27"/>
  <c r="F21" i="13"/>
  <c r="V21" i="13"/>
  <c r="R27" i="13"/>
  <c r="R31" i="13"/>
  <c r="R34" i="13"/>
  <c r="N12" i="14"/>
  <c r="F18" i="14"/>
  <c r="V18" i="14"/>
  <c r="J22" i="14"/>
  <c r="R24" i="14"/>
  <c r="L13" i="15"/>
  <c r="N13" i="15" s="1"/>
  <c r="X17" i="15"/>
  <c r="Z17" i="15" s="1"/>
  <c r="L21" i="15"/>
  <c r="N21" i="15" s="1"/>
  <c r="X25" i="15"/>
  <c r="Z25" i="15" s="1"/>
  <c r="L29" i="15"/>
  <c r="X33" i="15"/>
  <c r="Z33" i="15" s="1"/>
  <c r="L37" i="15"/>
  <c r="X41" i="15"/>
  <c r="Z41" i="15" s="1"/>
  <c r="L45" i="15"/>
  <c r="X49" i="15"/>
  <c r="Z49" i="15" s="1"/>
  <c r="L53" i="15"/>
  <c r="N53" i="15" s="1"/>
  <c r="X57" i="15"/>
  <c r="L61" i="15"/>
  <c r="X65" i="15"/>
  <c r="Z65" i="15" s="1"/>
  <c r="L69" i="15"/>
  <c r="N69" i="15" s="1"/>
  <c r="X73" i="15"/>
  <c r="L77" i="15"/>
  <c r="F85" i="15"/>
  <c r="F93" i="15"/>
  <c r="F101" i="15"/>
  <c r="F109" i="15"/>
  <c r="F117" i="15"/>
  <c r="F125" i="15"/>
  <c r="F133" i="15"/>
  <c r="F137" i="15"/>
  <c r="F145" i="15"/>
  <c r="F148" i="15"/>
  <c r="F157" i="15"/>
  <c r="F160" i="15"/>
  <c r="F169" i="15"/>
  <c r="F172" i="15"/>
  <c r="F188" i="15"/>
  <c r="F197" i="15"/>
  <c r="F201" i="15"/>
  <c r="F204" i="15"/>
  <c r="F208" i="15"/>
  <c r="F219" i="15"/>
  <c r="X12" i="16"/>
  <c r="J21" i="16"/>
  <c r="F27" i="16"/>
  <c r="V27" i="16"/>
  <c r="F31" i="16"/>
  <c r="V31" i="16"/>
  <c r="F34" i="16"/>
  <c r="V34" i="16"/>
  <c r="R16" i="17"/>
  <c r="J18" i="17"/>
  <c r="F24" i="17"/>
  <c r="V24" i="17"/>
  <c r="X35" i="18"/>
  <c r="Z35" i="18" s="1"/>
  <c r="L39" i="18"/>
  <c r="N39" i="18" s="1"/>
  <c r="X43" i="18"/>
  <c r="Z43" i="18" s="1"/>
  <c r="L47" i="18"/>
  <c r="N47" i="18" s="1"/>
  <c r="X59" i="18"/>
  <c r="Z59" i="18" s="1"/>
  <c r="L63" i="18"/>
  <c r="N63" i="18" s="1"/>
  <c r="X67" i="18"/>
  <c r="L71" i="18"/>
  <c r="N71" i="18" s="1"/>
  <c r="X75" i="18"/>
  <c r="Z75" i="18" s="1"/>
  <c r="L79" i="18"/>
  <c r="N79" i="18" s="1"/>
  <c r="X83" i="18"/>
  <c r="L87" i="18"/>
  <c r="N87" i="18" s="1"/>
  <c r="X91" i="18"/>
  <c r="N145" i="18"/>
  <c r="X168" i="18"/>
  <c r="Z168" i="18" s="1"/>
  <c r="L170" i="18"/>
  <c r="N170" i="18" s="1"/>
  <c r="Z19" i="24"/>
  <c r="Z16" i="27"/>
  <c r="R16" i="13"/>
  <c r="J15" i="14"/>
  <c r="H18" i="14"/>
  <c r="F21" i="14"/>
  <c r="V21" i="14"/>
  <c r="J25" i="14"/>
  <c r="R27" i="14"/>
  <c r="J29" i="14"/>
  <c r="R31" i="14"/>
  <c r="J33" i="14"/>
  <c r="F86" i="15"/>
  <c r="F94" i="15"/>
  <c r="F102" i="15"/>
  <c r="F110" i="15"/>
  <c r="F118" i="15"/>
  <c r="D120" i="15"/>
  <c r="F126" i="15"/>
  <c r="F138" i="15"/>
  <c r="F166" i="15"/>
  <c r="F198" i="15"/>
  <c r="F215" i="15"/>
  <c r="F16" i="16"/>
  <c r="V16" i="16"/>
  <c r="X12" i="17"/>
  <c r="F27" i="17"/>
  <c r="V27" i="17"/>
  <c r="F31" i="17"/>
  <c r="V31" i="17"/>
  <c r="N144" i="18"/>
  <c r="X164" i="18"/>
  <c r="N194" i="18"/>
  <c r="F78" i="21"/>
  <c r="F74" i="21"/>
  <c r="F70" i="21"/>
  <c r="F62" i="21"/>
  <c r="F57" i="21"/>
  <c r="F54" i="21"/>
  <c r="F42" i="21"/>
  <c r="F38" i="21"/>
  <c r="F29" i="21"/>
  <c r="F82" i="21"/>
  <c r="F73" i="21"/>
  <c r="F69" i="21"/>
  <c r="F65" i="21"/>
  <c r="F48" i="21"/>
  <c r="F45" i="21"/>
  <c r="F41" i="21"/>
  <c r="F37" i="21"/>
  <c r="F86" i="21"/>
  <c r="F80" i="21"/>
  <c r="F72" i="21"/>
  <c r="F68" i="21"/>
  <c r="F59" i="21"/>
  <c r="F56" i="21"/>
  <c r="F40" i="21"/>
  <c r="F36" i="21"/>
  <c r="F23" i="21"/>
  <c r="L12" i="21"/>
  <c r="F67" i="21"/>
  <c r="F50" i="21"/>
  <c r="F47" i="21"/>
  <c r="F35" i="21"/>
  <c r="F30" i="21"/>
  <c r="F77" i="21"/>
  <c r="F61" i="21"/>
  <c r="F58" i="21"/>
  <c r="F53" i="21"/>
  <c r="F34" i="21"/>
  <c r="F27" i="21"/>
  <c r="F64" i="21"/>
  <c r="F49" i="21"/>
  <c r="F44" i="21"/>
  <c r="F33" i="21"/>
  <c r="D27" i="21"/>
  <c r="F25" i="21"/>
  <c r="F79" i="21"/>
  <c r="F76" i="21"/>
  <c r="F71" i="21"/>
  <c r="F60" i="21"/>
  <c r="F55" i="21"/>
  <c r="F52" i="21"/>
  <c r="F39" i="21"/>
  <c r="F32" i="21"/>
  <c r="F24" i="21"/>
  <c r="F75" i="21"/>
  <c r="F66" i="21"/>
  <c r="F63" i="21"/>
  <c r="F51" i="21"/>
  <c r="F46" i="21"/>
  <c r="F43" i="21"/>
  <c r="F31" i="21"/>
  <c r="J93" i="24"/>
  <c r="J86" i="24"/>
  <c r="J74" i="24"/>
  <c r="J58" i="24"/>
  <c r="J52" i="24"/>
  <c r="J48" i="24"/>
  <c r="J40" i="24"/>
  <c r="J32" i="24"/>
  <c r="J81" i="24"/>
  <c r="J67" i="24"/>
  <c r="J61" i="24"/>
  <c r="J55" i="24"/>
  <c r="J51" i="24"/>
  <c r="J47" i="24"/>
  <c r="J39" i="24"/>
  <c r="J31" i="24"/>
  <c r="J78" i="24"/>
  <c r="J70" i="24"/>
  <c r="J64" i="24"/>
  <c r="J46" i="24"/>
  <c r="J44" i="24"/>
  <c r="J38" i="24"/>
  <c r="J77" i="24"/>
  <c r="J73" i="24"/>
  <c r="J69" i="24"/>
  <c r="J57" i="24"/>
  <c r="J37" i="24"/>
  <c r="J90" i="24"/>
  <c r="J84" i="24"/>
  <c r="J80" i="24"/>
  <c r="J76" i="24"/>
  <c r="J72" i="24"/>
  <c r="J66" i="24"/>
  <c r="J60" i="24"/>
  <c r="J54" i="24"/>
  <c r="J50" i="24"/>
  <c r="J36" i="24"/>
  <c r="J30" i="24"/>
  <c r="N12" i="24"/>
  <c r="J75" i="24"/>
  <c r="J63" i="24"/>
  <c r="J59" i="24"/>
  <c r="J45" i="24"/>
  <c r="J35" i="24"/>
  <c r="J88" i="24"/>
  <c r="J82" i="24"/>
  <c r="J68" i="24"/>
  <c r="J62" i="24"/>
  <c r="J56" i="24"/>
  <c r="J42" i="24"/>
  <c r="J34" i="24"/>
  <c r="J79" i="24"/>
  <c r="J71" i="24"/>
  <c r="J65" i="24"/>
  <c r="J53" i="24"/>
  <c r="J49" i="24"/>
  <c r="H42" i="24"/>
  <c r="J33" i="24"/>
  <c r="Z45" i="24"/>
  <c r="J114" i="27"/>
  <c r="J108" i="27"/>
  <c r="J98" i="27"/>
  <c r="J86" i="27"/>
  <c r="J78" i="27"/>
  <c r="J72" i="27"/>
  <c r="J68" i="27"/>
  <c r="J52" i="27"/>
  <c r="J44" i="27"/>
  <c r="J38" i="27"/>
  <c r="J101" i="27"/>
  <c r="J95" i="27"/>
  <c r="J91" i="27"/>
  <c r="J83" i="27"/>
  <c r="J71" i="27"/>
  <c r="J67" i="27"/>
  <c r="J51" i="27"/>
  <c r="J43" i="27"/>
  <c r="J104" i="27"/>
  <c r="J94" i="27"/>
  <c r="J88" i="27"/>
  <c r="J80" i="27"/>
  <c r="J66" i="27"/>
  <c r="J60" i="27"/>
  <c r="J50" i="27"/>
  <c r="J42" i="27"/>
  <c r="J109" i="27"/>
  <c r="J97" i="27"/>
  <c r="J93" i="27"/>
  <c r="J85" i="27"/>
  <c r="J77" i="27"/>
  <c r="J65" i="27"/>
  <c r="J49" i="27"/>
  <c r="J41" i="27"/>
  <c r="J100" i="27"/>
  <c r="J90" i="27"/>
  <c r="J82" i="27"/>
  <c r="J76" i="27"/>
  <c r="J70" i="27"/>
  <c r="J64" i="27"/>
  <c r="H57" i="27"/>
  <c r="J48" i="27"/>
  <c r="J40" i="27"/>
  <c r="J107" i="27"/>
  <c r="J103" i="27"/>
  <c r="J99" i="27"/>
  <c r="J87" i="27"/>
  <c r="J79" i="27"/>
  <c r="J75" i="27"/>
  <c r="J63" i="27"/>
  <c r="J55" i="27"/>
  <c r="J47" i="27"/>
  <c r="J39" i="27"/>
  <c r="J96" i="27"/>
  <c r="J59" i="27"/>
  <c r="J45" i="27"/>
  <c r="J92" i="27"/>
  <c r="J69" i="27"/>
  <c r="J81" i="27"/>
  <c r="J105" i="27"/>
  <c r="J73" i="27"/>
  <c r="J61" i="27"/>
  <c r="J46" i="27"/>
  <c r="J102" i="27"/>
  <c r="J89" i="27"/>
  <c r="J84" i="27"/>
  <c r="J74" i="27"/>
  <c r="J62" i="27"/>
  <c r="J53" i="27"/>
  <c r="J110" i="27"/>
  <c r="J54" i="27"/>
  <c r="F87" i="15"/>
  <c r="F95" i="15"/>
  <c r="F103" i="15"/>
  <c r="F111" i="15"/>
  <c r="F127" i="15"/>
  <c r="F134" i="15"/>
  <c r="F139" i="15"/>
  <c r="F143" i="15"/>
  <c r="F146" i="15"/>
  <c r="F155" i="15"/>
  <c r="F158" i="15"/>
  <c r="F170" i="15"/>
  <c r="F175" i="15"/>
  <c r="F202" i="15"/>
  <c r="Z164" i="18"/>
  <c r="N166" i="18"/>
  <c r="P233" i="18"/>
  <c r="X12" i="19"/>
  <c r="J21" i="19"/>
  <c r="V27" i="19"/>
  <c r="V31" i="19"/>
  <c r="V34" i="19"/>
  <c r="R16" i="20"/>
  <c r="J18" i="20"/>
  <c r="R20" i="20"/>
  <c r="F24" i="20"/>
  <c r="V24" i="20"/>
  <c r="T12" i="21"/>
  <c r="L15" i="21"/>
  <c r="X19" i="21"/>
  <c r="P27" i="21"/>
  <c r="R35" i="21"/>
  <c r="R44" i="21"/>
  <c r="R47" i="21"/>
  <c r="R64" i="21"/>
  <c r="R67" i="21"/>
  <c r="J16" i="22"/>
  <c r="R18" i="22"/>
  <c r="J20" i="22"/>
  <c r="F22" i="22"/>
  <c r="V22" i="22"/>
  <c r="R15" i="23"/>
  <c r="P18" i="23"/>
  <c r="R25" i="23"/>
  <c r="J27" i="23"/>
  <c r="R29" i="23"/>
  <c r="J31" i="23"/>
  <c r="R33" i="23"/>
  <c r="J34" i="23"/>
  <c r="R36" i="23"/>
  <c r="D12" i="24"/>
  <c r="X14" i="24"/>
  <c r="Z14" i="24" s="1"/>
  <c r="L18" i="24"/>
  <c r="X22" i="24"/>
  <c r="Z22" i="24" s="1"/>
  <c r="L26" i="24"/>
  <c r="X12" i="25"/>
  <c r="J21" i="25"/>
  <c r="V27" i="25"/>
  <c r="V31" i="25"/>
  <c r="V34" i="25"/>
  <c r="R16" i="26"/>
  <c r="J18" i="26"/>
  <c r="R20" i="26"/>
  <c r="F24" i="26"/>
  <c r="V24" i="26"/>
  <c r="T12" i="27"/>
  <c r="Z82" i="27"/>
  <c r="R88" i="27"/>
  <c r="F103" i="27"/>
  <c r="J20" i="28"/>
  <c r="X22" i="28"/>
  <c r="J27" i="28"/>
  <c r="J31" i="28"/>
  <c r="N14" i="30"/>
  <c r="Z26" i="30"/>
  <c r="N51" i="30"/>
  <c r="Z85" i="30"/>
  <c r="N100" i="30"/>
  <c r="Z18" i="33"/>
  <c r="N42" i="33"/>
  <c r="X192" i="18"/>
  <c r="L194" i="18"/>
  <c r="L230" i="18"/>
  <c r="N230" i="18" s="1"/>
  <c r="Z12" i="19"/>
  <c r="F16" i="19"/>
  <c r="V16" i="19"/>
  <c r="F20" i="19"/>
  <c r="V20" i="19"/>
  <c r="L21" i="19"/>
  <c r="R22" i="19"/>
  <c r="J24" i="19"/>
  <c r="X34" i="19"/>
  <c r="X12" i="20"/>
  <c r="J21" i="20"/>
  <c r="F27" i="20"/>
  <c r="V27" i="20"/>
  <c r="F31" i="20"/>
  <c r="V31" i="20"/>
  <c r="F34" i="20"/>
  <c r="V34" i="20"/>
  <c r="X12" i="21"/>
  <c r="N15" i="21"/>
  <c r="L16" i="21"/>
  <c r="R27" i="21"/>
  <c r="R36" i="21"/>
  <c r="R40" i="21"/>
  <c r="X46" i="21"/>
  <c r="L48" i="21"/>
  <c r="N48" i="21" s="1"/>
  <c r="R53" i="21"/>
  <c r="R56" i="21"/>
  <c r="R61" i="21"/>
  <c r="R68" i="21"/>
  <c r="R72" i="21"/>
  <c r="R77" i="21"/>
  <c r="R80" i="21"/>
  <c r="L82" i="21"/>
  <c r="R86" i="21"/>
  <c r="L12" i="22"/>
  <c r="F15" i="22"/>
  <c r="V15" i="22"/>
  <c r="L16" i="22"/>
  <c r="D18" i="22"/>
  <c r="T18" i="22"/>
  <c r="L20" i="22"/>
  <c r="R21" i="22"/>
  <c r="X22" i="22"/>
  <c r="F25" i="22"/>
  <c r="V25" i="22"/>
  <c r="F29" i="22"/>
  <c r="V29" i="22"/>
  <c r="F33" i="22"/>
  <c r="V33" i="22"/>
  <c r="F36" i="22"/>
  <c r="V36" i="22"/>
  <c r="J16" i="23"/>
  <c r="R18" i="23"/>
  <c r="J20" i="23"/>
  <c r="F22" i="23"/>
  <c r="V22" i="23"/>
  <c r="L34" i="23"/>
  <c r="X15" i="24"/>
  <c r="Z15" i="24" s="1"/>
  <c r="X45" i="24"/>
  <c r="L71" i="24"/>
  <c r="N71" i="24" s="1"/>
  <c r="L79" i="24"/>
  <c r="N79" i="24" s="1"/>
  <c r="Z12" i="25"/>
  <c r="V16" i="25"/>
  <c r="V20" i="25"/>
  <c r="L21" i="25"/>
  <c r="R22" i="25"/>
  <c r="J24" i="25"/>
  <c r="X34" i="25"/>
  <c r="X12" i="26"/>
  <c r="J21" i="26"/>
  <c r="X24" i="26"/>
  <c r="F27" i="26"/>
  <c r="V27" i="26"/>
  <c r="F31" i="26"/>
  <c r="V31" i="26"/>
  <c r="F34" i="26"/>
  <c r="V34" i="26"/>
  <c r="X12" i="27"/>
  <c r="N15" i="27"/>
  <c r="Z24" i="27"/>
  <c r="Z27" i="27"/>
  <c r="F47" i="27"/>
  <c r="R51" i="27"/>
  <c r="R60" i="27"/>
  <c r="F62" i="27"/>
  <c r="F74" i="27"/>
  <c r="R80" i="27"/>
  <c r="F90" i="27"/>
  <c r="R91" i="27"/>
  <c r="R104" i="27"/>
  <c r="F107" i="27"/>
  <c r="Z22" i="29"/>
  <c r="X22" i="29"/>
  <c r="N39" i="30"/>
  <c r="D233" i="18"/>
  <c r="T233" i="18"/>
  <c r="R15" i="19"/>
  <c r="P18" i="19"/>
  <c r="R25" i="19"/>
  <c r="J27" i="19"/>
  <c r="R29" i="19"/>
  <c r="J31" i="19"/>
  <c r="R33" i="19"/>
  <c r="J34" i="19"/>
  <c r="R36" i="19"/>
  <c r="Z12" i="20"/>
  <c r="F16" i="20"/>
  <c r="V16" i="20"/>
  <c r="N18" i="20"/>
  <c r="F20" i="20"/>
  <c r="V20" i="20"/>
  <c r="R22" i="20"/>
  <c r="J24" i="20"/>
  <c r="R30" i="21"/>
  <c r="R37" i="21"/>
  <c r="R41" i="21"/>
  <c r="R45" i="21"/>
  <c r="R50" i="21"/>
  <c r="R65" i="21"/>
  <c r="R69" i="21"/>
  <c r="R73" i="21"/>
  <c r="N12" i="22"/>
  <c r="F18" i="22"/>
  <c r="V18" i="22"/>
  <c r="J22" i="22"/>
  <c r="R24" i="22"/>
  <c r="L12" i="23"/>
  <c r="F15" i="23"/>
  <c r="D18" i="23"/>
  <c r="T18" i="23"/>
  <c r="R21" i="23"/>
  <c r="F25" i="23"/>
  <c r="V25" i="23"/>
  <c r="F29" i="23"/>
  <c r="V29" i="23"/>
  <c r="F33" i="23"/>
  <c r="V33" i="23"/>
  <c r="F36" i="23"/>
  <c r="V36" i="23"/>
  <c r="R15" i="25"/>
  <c r="P18" i="25"/>
  <c r="R25" i="25"/>
  <c r="J27" i="25"/>
  <c r="R29" i="25"/>
  <c r="J31" i="25"/>
  <c r="R33" i="25"/>
  <c r="J34" i="25"/>
  <c r="R36" i="25"/>
  <c r="Z12" i="26"/>
  <c r="F16" i="26"/>
  <c r="V16" i="26"/>
  <c r="F20" i="26"/>
  <c r="V20" i="26"/>
  <c r="R22" i="26"/>
  <c r="J24" i="26"/>
  <c r="X27" i="27"/>
  <c r="X35" i="27"/>
  <c r="Z35" i="27" s="1"/>
  <c r="R50" i="27"/>
  <c r="D57" i="27"/>
  <c r="N84" i="27"/>
  <c r="R95" i="27"/>
  <c r="F99" i="27"/>
  <c r="T12" i="30"/>
  <c r="Z18" i="30"/>
  <c r="N35" i="30"/>
  <c r="N43" i="30"/>
  <c r="Z51" i="30"/>
  <c r="N23" i="33"/>
  <c r="Z76" i="33"/>
  <c r="J16" i="19"/>
  <c r="J20" i="19"/>
  <c r="V22" i="19"/>
  <c r="R15" i="20"/>
  <c r="P18" i="20"/>
  <c r="R25" i="20"/>
  <c r="J27" i="20"/>
  <c r="R29" i="20"/>
  <c r="J31" i="20"/>
  <c r="R33" i="20"/>
  <c r="J34" i="20"/>
  <c r="R36" i="20"/>
  <c r="R23" i="21"/>
  <c r="R38" i="21"/>
  <c r="R42" i="21"/>
  <c r="R54" i="21"/>
  <c r="R59" i="21"/>
  <c r="R62" i="21"/>
  <c r="R70" i="21"/>
  <c r="R74" i="21"/>
  <c r="R78" i="21"/>
  <c r="F21" i="22"/>
  <c r="R27" i="22"/>
  <c r="R31" i="22"/>
  <c r="R34" i="22"/>
  <c r="J16" i="25"/>
  <c r="J20" i="25"/>
  <c r="V22" i="25"/>
  <c r="P18" i="26"/>
  <c r="R25" i="26"/>
  <c r="J27" i="26"/>
  <c r="R29" i="26"/>
  <c r="J31" i="26"/>
  <c r="R33" i="26"/>
  <c r="J34" i="26"/>
  <c r="R36" i="26"/>
  <c r="F110" i="27"/>
  <c r="F105" i="27"/>
  <c r="F96" i="27"/>
  <c r="F92" i="27"/>
  <c r="F89" i="27"/>
  <c r="F84" i="27"/>
  <c r="F81" i="27"/>
  <c r="F73" i="27"/>
  <c r="F69" i="27"/>
  <c r="F61" i="27"/>
  <c r="F53" i="27"/>
  <c r="F45" i="27"/>
  <c r="F114" i="27"/>
  <c r="F72" i="27"/>
  <c r="F68" i="27"/>
  <c r="F59" i="27"/>
  <c r="F52" i="27"/>
  <c r="F44" i="27"/>
  <c r="F108" i="27"/>
  <c r="F98" i="27"/>
  <c r="F95" i="27"/>
  <c r="F91" i="27"/>
  <c r="F86" i="27"/>
  <c r="F83" i="27"/>
  <c r="F78" i="27"/>
  <c r="F71" i="27"/>
  <c r="F67" i="27"/>
  <c r="F51" i="27"/>
  <c r="F43" i="27"/>
  <c r="F38" i="27"/>
  <c r="F101" i="27"/>
  <c r="F94" i="27"/>
  <c r="F66" i="27"/>
  <c r="F50" i="27"/>
  <c r="F42" i="27"/>
  <c r="F104" i="27"/>
  <c r="F97" i="27"/>
  <c r="F93" i="27"/>
  <c r="F88" i="27"/>
  <c r="F85" i="27"/>
  <c r="F80" i="27"/>
  <c r="F77" i="27"/>
  <c r="F65" i="27"/>
  <c r="F60" i="27"/>
  <c r="F49" i="27"/>
  <c r="F41" i="27"/>
  <c r="F109" i="27"/>
  <c r="F100" i="27"/>
  <c r="F76" i="27"/>
  <c r="F64" i="27"/>
  <c r="F57" i="27"/>
  <c r="F48" i="27"/>
  <c r="F40" i="27"/>
  <c r="F46" i="27"/>
  <c r="R57" i="27"/>
  <c r="R94" i="27"/>
  <c r="R109" i="27"/>
  <c r="F20" i="28"/>
  <c r="F16" i="28"/>
  <c r="F34" i="28"/>
  <c r="F31" i="28"/>
  <c r="F27" i="28"/>
  <c r="F24" i="28"/>
  <c r="F21" i="28"/>
  <c r="F18" i="28"/>
  <c r="F36" i="28"/>
  <c r="F33" i="28"/>
  <c r="F29" i="28"/>
  <c r="F25" i="28"/>
  <c r="D18" i="28"/>
  <c r="F15" i="28"/>
  <c r="L12" i="28"/>
  <c r="Z15" i="28"/>
  <c r="X15" i="28"/>
  <c r="Z73" i="33"/>
  <c r="H233" i="18"/>
  <c r="L12" i="19"/>
  <c r="V15" i="19"/>
  <c r="T18" i="19"/>
  <c r="V25" i="19"/>
  <c r="V29" i="19"/>
  <c r="V33" i="19"/>
  <c r="V36" i="19"/>
  <c r="J16" i="20"/>
  <c r="R18" i="20"/>
  <c r="J20" i="20"/>
  <c r="F22" i="20"/>
  <c r="X15" i="21"/>
  <c r="L19" i="21"/>
  <c r="R31" i="21"/>
  <c r="R43" i="21"/>
  <c r="R48" i="21"/>
  <c r="R51" i="21"/>
  <c r="R63" i="21"/>
  <c r="R75" i="21"/>
  <c r="R82" i="21"/>
  <c r="R16" i="22"/>
  <c r="R20" i="22"/>
  <c r="F24" i="22"/>
  <c r="V24" i="22"/>
  <c r="H18" i="23"/>
  <c r="R27" i="23"/>
  <c r="R31" i="23"/>
  <c r="R34" i="23"/>
  <c r="L14" i="24"/>
  <c r="X18" i="24"/>
  <c r="Z18" i="24" s="1"/>
  <c r="L22" i="24"/>
  <c r="X26" i="24"/>
  <c r="L12" i="25"/>
  <c r="V15" i="25"/>
  <c r="D18" i="25"/>
  <c r="T18" i="25"/>
  <c r="V25" i="25"/>
  <c r="V29" i="25"/>
  <c r="V33" i="25"/>
  <c r="V36" i="25"/>
  <c r="J16" i="26"/>
  <c r="R18" i="26"/>
  <c r="J20" i="26"/>
  <c r="F22" i="26"/>
  <c r="X15" i="27"/>
  <c r="Z15" i="27" s="1"/>
  <c r="L19" i="27"/>
  <c r="F70" i="27"/>
  <c r="R71" i="27"/>
  <c r="F82" i="27"/>
  <c r="Z90" i="27"/>
  <c r="Z109" i="27"/>
  <c r="X109" i="27"/>
  <c r="J24" i="28"/>
  <c r="J21" i="28"/>
  <c r="J18" i="28"/>
  <c r="J36" i="28"/>
  <c r="J33" i="28"/>
  <c r="J29" i="28"/>
  <c r="J25" i="28"/>
  <c r="H18" i="28"/>
  <c r="J15" i="28"/>
  <c r="J22" i="28"/>
  <c r="N12" i="28"/>
  <c r="P18" i="29"/>
  <c r="N23" i="30"/>
  <c r="Z31" i="30"/>
  <c r="Z35" i="30"/>
  <c r="Z43" i="30"/>
  <c r="R70" i="33"/>
  <c r="R62" i="33"/>
  <c r="R58" i="33"/>
  <c r="R38" i="33"/>
  <c r="P30" i="33"/>
  <c r="R76" i="33"/>
  <c r="R69" i="33"/>
  <c r="R61" i="33"/>
  <c r="R54" i="33"/>
  <c r="R49" i="33"/>
  <c r="R46" i="33"/>
  <c r="R42" i="33"/>
  <c r="R37" i="33"/>
  <c r="R82" i="33"/>
  <c r="R72" i="33"/>
  <c r="R68" i="33"/>
  <c r="R64" i="33"/>
  <c r="R60" i="33"/>
  <c r="R57" i="33"/>
  <c r="R36" i="33"/>
  <c r="R28" i="33"/>
  <c r="X12" i="33"/>
  <c r="R67" i="33"/>
  <c r="R51" i="33"/>
  <c r="R48" i="33"/>
  <c r="R35" i="33"/>
  <c r="R32" i="33"/>
  <c r="R27" i="33"/>
  <c r="R77" i="33"/>
  <c r="R74" i="33"/>
  <c r="R71" i="33"/>
  <c r="R66" i="33"/>
  <c r="R63" i="33"/>
  <c r="R59" i="33"/>
  <c r="R34" i="33"/>
  <c r="R26" i="33"/>
  <c r="R53" i="33"/>
  <c r="R50" i="33"/>
  <c r="R45" i="33"/>
  <c r="R41" i="33"/>
  <c r="R73" i="33"/>
  <c r="R65" i="33"/>
  <c r="R56" i="33"/>
  <c r="R44" i="33"/>
  <c r="R40" i="33"/>
  <c r="R33" i="33"/>
  <c r="R25" i="33"/>
  <c r="R78" i="33"/>
  <c r="R55" i="33"/>
  <c r="R52" i="33"/>
  <c r="R47" i="33"/>
  <c r="R43" i="33"/>
  <c r="R39" i="33"/>
  <c r="Z23" i="33"/>
  <c r="N54" i="33"/>
  <c r="L236" i="18"/>
  <c r="N236" i="18" s="1"/>
  <c r="N12" i="19"/>
  <c r="F18" i="19"/>
  <c r="V18" i="19"/>
  <c r="J22" i="19"/>
  <c r="R24" i="19"/>
  <c r="L12" i="20"/>
  <c r="F15" i="20"/>
  <c r="V15" i="20"/>
  <c r="D18" i="20"/>
  <c r="T18" i="20"/>
  <c r="R21" i="20"/>
  <c r="F25" i="20"/>
  <c r="V25" i="20"/>
  <c r="F29" i="20"/>
  <c r="V29" i="20"/>
  <c r="F33" i="20"/>
  <c r="V33" i="20"/>
  <c r="F36" i="20"/>
  <c r="V36" i="20"/>
  <c r="R24" i="21"/>
  <c r="R29" i="21"/>
  <c r="X30" i="21"/>
  <c r="Z30" i="21" s="1"/>
  <c r="R32" i="21"/>
  <c r="R52" i="21"/>
  <c r="R57" i="21"/>
  <c r="R60" i="21"/>
  <c r="L64" i="21"/>
  <c r="R76" i="21"/>
  <c r="X12" i="22"/>
  <c r="J21" i="22"/>
  <c r="F27" i="22"/>
  <c r="V27" i="22"/>
  <c r="F31" i="22"/>
  <c r="V31" i="22"/>
  <c r="F34" i="22"/>
  <c r="V34" i="22"/>
  <c r="R16" i="23"/>
  <c r="J18" i="23"/>
  <c r="R20" i="23"/>
  <c r="F24" i="23"/>
  <c r="V24" i="23"/>
  <c r="N12" i="25"/>
  <c r="V18" i="25"/>
  <c r="J22" i="25"/>
  <c r="R24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L12" i="27"/>
  <c r="N12" i="27" s="1"/>
  <c r="L24" i="27"/>
  <c r="Z31" i="27"/>
  <c r="F55" i="27"/>
  <c r="R83" i="27"/>
  <c r="N92" i="27"/>
  <c r="L96" i="27"/>
  <c r="L16" i="28"/>
  <c r="F22" i="28"/>
  <c r="N16" i="29"/>
  <c r="L16" i="29"/>
  <c r="N19" i="30"/>
  <c r="Z27" i="30"/>
  <c r="N29" i="30"/>
  <c r="N14" i="33"/>
  <c r="Z19" i="33"/>
  <c r="N21" i="33"/>
  <c r="Z52" i="33"/>
  <c r="Z65" i="33"/>
  <c r="N71" i="33"/>
  <c r="N77" i="33"/>
  <c r="J15" i="19"/>
  <c r="H18" i="19"/>
  <c r="V21" i="19"/>
  <c r="J25" i="19"/>
  <c r="R27" i="19"/>
  <c r="J29" i="19"/>
  <c r="R31" i="19"/>
  <c r="J33" i="19"/>
  <c r="J36" i="19"/>
  <c r="N12" i="20"/>
  <c r="F18" i="20"/>
  <c r="J22" i="20"/>
  <c r="R24" i="20"/>
  <c r="R25" i="21"/>
  <c r="R33" i="21"/>
  <c r="R46" i="21"/>
  <c r="R49" i="21"/>
  <c r="R66" i="21"/>
  <c r="Z12" i="22"/>
  <c r="F16" i="22"/>
  <c r="V16" i="22"/>
  <c r="R22" i="22"/>
  <c r="F27" i="23"/>
  <c r="V27" i="23"/>
  <c r="F31" i="23"/>
  <c r="V31" i="23"/>
  <c r="J15" i="25"/>
  <c r="H18" i="25"/>
  <c r="V21" i="25"/>
  <c r="J25" i="25"/>
  <c r="R27" i="25"/>
  <c r="J29" i="25"/>
  <c r="R31" i="25"/>
  <c r="J33" i="25"/>
  <c r="J36" i="25"/>
  <c r="N12" i="26"/>
  <c r="F18" i="26"/>
  <c r="J22" i="26"/>
  <c r="R24" i="26"/>
  <c r="N23" i="27"/>
  <c r="X36" i="27"/>
  <c r="R43" i="27"/>
  <c r="R67" i="27"/>
  <c r="X70" i="27"/>
  <c r="Z70" i="27" s="1"/>
  <c r="F87" i="27"/>
  <c r="N96" i="27"/>
  <c r="L110" i="27"/>
  <c r="L20" i="28"/>
  <c r="F20" i="29"/>
  <c r="F34" i="29"/>
  <c r="F31" i="29"/>
  <c r="F27" i="29"/>
  <c r="F24" i="29"/>
  <c r="F21" i="29"/>
  <c r="F18" i="29"/>
  <c r="F36" i="29"/>
  <c r="F33" i="29"/>
  <c r="F29" i="29"/>
  <c r="F25" i="29"/>
  <c r="D18" i="29"/>
  <c r="F15" i="29"/>
  <c r="L12" i="29"/>
  <c r="F22" i="29"/>
  <c r="N20" i="29"/>
  <c r="L20" i="29"/>
  <c r="F142" i="30"/>
  <c r="F138" i="30"/>
  <c r="F134" i="30"/>
  <c r="F130" i="30"/>
  <c r="F126" i="30"/>
  <c r="F121" i="30"/>
  <c r="F109" i="30"/>
  <c r="F90" i="30"/>
  <c r="F85" i="30"/>
  <c r="F74" i="30"/>
  <c r="F66" i="30"/>
  <c r="F58" i="30"/>
  <c r="F148" i="30"/>
  <c r="F145" i="30"/>
  <c r="F141" i="30"/>
  <c r="F137" i="30"/>
  <c r="F133" i="30"/>
  <c r="F117" i="30"/>
  <c r="F105" i="30"/>
  <c r="F100" i="30"/>
  <c r="F89" i="30"/>
  <c r="F73" i="30"/>
  <c r="F65" i="30"/>
  <c r="F57" i="30"/>
  <c r="F153" i="30"/>
  <c r="F140" i="30"/>
  <c r="F123" i="30"/>
  <c r="F120" i="30"/>
  <c r="F111" i="30"/>
  <c r="F108" i="30"/>
  <c r="F88" i="30"/>
  <c r="D82" i="30"/>
  <c r="F80" i="30"/>
  <c r="F72" i="30"/>
  <c r="F64" i="30"/>
  <c r="F157" i="30"/>
  <c r="F147" i="30"/>
  <c r="F119" i="30"/>
  <c r="F114" i="30"/>
  <c r="F107" i="30"/>
  <c r="F102" i="30"/>
  <c r="F99" i="30"/>
  <c r="F94" i="30"/>
  <c r="F87" i="30"/>
  <c r="F79" i="30"/>
  <c r="F71" i="30"/>
  <c r="F63" i="30"/>
  <c r="F129" i="30"/>
  <c r="F125" i="30"/>
  <c r="F122" i="30"/>
  <c r="F110" i="30"/>
  <c r="F98" i="30"/>
  <c r="F86" i="30"/>
  <c r="F78" i="30"/>
  <c r="F70" i="30"/>
  <c r="F62" i="30"/>
  <c r="F149" i="30"/>
  <c r="F144" i="30"/>
  <c r="F136" i="30"/>
  <c r="F132" i="30"/>
  <c r="F116" i="30"/>
  <c r="F113" i="30"/>
  <c r="F104" i="30"/>
  <c r="F101" i="30"/>
  <c r="F97" i="30"/>
  <c r="F93" i="30"/>
  <c r="F84" i="30"/>
  <c r="F77" i="30"/>
  <c r="F69" i="30"/>
  <c r="F61" i="30"/>
  <c r="F56" i="30"/>
  <c r="F139" i="30"/>
  <c r="F128" i="30"/>
  <c r="F124" i="30"/>
  <c r="F112" i="30"/>
  <c r="F96" i="30"/>
  <c r="F92" i="30"/>
  <c r="F76" i="30"/>
  <c r="F68" i="30"/>
  <c r="F60" i="30"/>
  <c r="F152" i="30"/>
  <c r="F146" i="30"/>
  <c r="F143" i="30"/>
  <c r="F135" i="30"/>
  <c r="F131" i="30"/>
  <c r="F127" i="30"/>
  <c r="F118" i="30"/>
  <c r="F115" i="30"/>
  <c r="F106" i="30"/>
  <c r="F103" i="30"/>
  <c r="F95" i="30"/>
  <c r="F91" i="30"/>
  <c r="F75" i="30"/>
  <c r="F67" i="30"/>
  <c r="F59" i="30"/>
  <c r="Z54" i="33"/>
  <c r="R27" i="20"/>
  <c r="R31" i="20"/>
  <c r="R34" i="21"/>
  <c r="R39" i="21"/>
  <c r="R55" i="21"/>
  <c r="R58" i="21"/>
  <c r="R71" i="21"/>
  <c r="R15" i="22"/>
  <c r="P18" i="22"/>
  <c r="R25" i="22"/>
  <c r="R29" i="22"/>
  <c r="R33" i="22"/>
  <c r="H18" i="26"/>
  <c r="J25" i="26"/>
  <c r="R27" i="26"/>
  <c r="J29" i="26"/>
  <c r="R31" i="26"/>
  <c r="J33" i="26"/>
  <c r="R97" i="27"/>
  <c r="R93" i="27"/>
  <c r="R90" i="27"/>
  <c r="R85" i="27"/>
  <c r="R82" i="27"/>
  <c r="R77" i="27"/>
  <c r="R70" i="27"/>
  <c r="R65" i="27"/>
  <c r="P57" i="27"/>
  <c r="R49" i="27"/>
  <c r="R41" i="27"/>
  <c r="R107" i="27"/>
  <c r="R100" i="27"/>
  <c r="R76" i="27"/>
  <c r="R64" i="27"/>
  <c r="R48" i="27"/>
  <c r="R40" i="27"/>
  <c r="R110" i="27"/>
  <c r="R103" i="27"/>
  <c r="R99" i="27"/>
  <c r="R96" i="27"/>
  <c r="R92" i="27"/>
  <c r="R87" i="27"/>
  <c r="R84" i="27"/>
  <c r="R79" i="27"/>
  <c r="R75" i="27"/>
  <c r="R63" i="27"/>
  <c r="R55" i="27"/>
  <c r="R47" i="27"/>
  <c r="R39" i="27"/>
  <c r="R102" i="27"/>
  <c r="R74" i="27"/>
  <c r="R62" i="27"/>
  <c r="R59" i="27"/>
  <c r="R54" i="27"/>
  <c r="R46" i="27"/>
  <c r="R108" i="27"/>
  <c r="R105" i="27"/>
  <c r="R98" i="27"/>
  <c r="R89" i="27"/>
  <c r="R86" i="27"/>
  <c r="R81" i="27"/>
  <c r="R78" i="27"/>
  <c r="R73" i="27"/>
  <c r="R69" i="27"/>
  <c r="R61" i="27"/>
  <c r="R53" i="27"/>
  <c r="R45" i="27"/>
  <c r="R38" i="27"/>
  <c r="R114" i="27"/>
  <c r="R101" i="27"/>
  <c r="R72" i="27"/>
  <c r="R68" i="27"/>
  <c r="R52" i="27"/>
  <c r="R44" i="27"/>
  <c r="F39" i="27"/>
  <c r="R42" i="27"/>
  <c r="F54" i="27"/>
  <c r="F63" i="27"/>
  <c r="R66" i="27"/>
  <c r="F75" i="27"/>
  <c r="F79" i="27"/>
  <c r="L107" i="27"/>
  <c r="N107" i="27" s="1"/>
  <c r="N110" i="27"/>
  <c r="Z25" i="28"/>
  <c r="X25" i="28"/>
  <c r="Z29" i="28"/>
  <c r="X29" i="28"/>
  <c r="Z33" i="28"/>
  <c r="X33" i="28"/>
  <c r="R139" i="30"/>
  <c r="R122" i="30"/>
  <c r="R110" i="30"/>
  <c r="R98" i="30"/>
  <c r="R86" i="30"/>
  <c r="R78" i="30"/>
  <c r="R70" i="30"/>
  <c r="R62" i="30"/>
  <c r="R152" i="30"/>
  <c r="R149" i="30"/>
  <c r="R146" i="30"/>
  <c r="R118" i="30"/>
  <c r="R113" i="30"/>
  <c r="R106" i="30"/>
  <c r="R101" i="30"/>
  <c r="R97" i="30"/>
  <c r="R93" i="30"/>
  <c r="R77" i="30"/>
  <c r="R69" i="30"/>
  <c r="R61" i="30"/>
  <c r="R128" i="30"/>
  <c r="R124" i="30"/>
  <c r="R121" i="30"/>
  <c r="R112" i="30"/>
  <c r="R109" i="30"/>
  <c r="R96" i="30"/>
  <c r="R92" i="30"/>
  <c r="R85" i="30"/>
  <c r="R76" i="30"/>
  <c r="R68" i="30"/>
  <c r="R60" i="30"/>
  <c r="X12" i="30"/>
  <c r="R148" i="30"/>
  <c r="R143" i="30"/>
  <c r="R135" i="30"/>
  <c r="R131" i="30"/>
  <c r="R127" i="30"/>
  <c r="R115" i="30"/>
  <c r="R103" i="30"/>
  <c r="R100" i="30"/>
  <c r="R95" i="30"/>
  <c r="R91" i="30"/>
  <c r="R75" i="30"/>
  <c r="R67" i="30"/>
  <c r="R59" i="30"/>
  <c r="R153" i="30"/>
  <c r="R142" i="30"/>
  <c r="R138" i="30"/>
  <c r="R134" i="30"/>
  <c r="R130" i="30"/>
  <c r="R126" i="30"/>
  <c r="R123" i="30"/>
  <c r="R111" i="30"/>
  <c r="R90" i="30"/>
  <c r="P82" i="30"/>
  <c r="R82" i="30" s="1"/>
  <c r="R74" i="30"/>
  <c r="R66" i="30"/>
  <c r="R58" i="30"/>
  <c r="R145" i="30"/>
  <c r="R141" i="30"/>
  <c r="R137" i="30"/>
  <c r="R133" i="30"/>
  <c r="R117" i="30"/>
  <c r="R114" i="30"/>
  <c r="R105" i="30"/>
  <c r="R102" i="30"/>
  <c r="R94" i="30"/>
  <c r="R89" i="30"/>
  <c r="R73" i="30"/>
  <c r="R65" i="30"/>
  <c r="R57" i="30"/>
  <c r="R151" i="30"/>
  <c r="R140" i="30"/>
  <c r="R129" i="30"/>
  <c r="R125" i="30"/>
  <c r="R120" i="30"/>
  <c r="R108" i="30"/>
  <c r="R88" i="30"/>
  <c r="R80" i="30"/>
  <c r="R72" i="30"/>
  <c r="R64" i="30"/>
  <c r="R157" i="30"/>
  <c r="R147" i="30"/>
  <c r="R144" i="30"/>
  <c r="R136" i="30"/>
  <c r="R132" i="30"/>
  <c r="R119" i="30"/>
  <c r="R116" i="30"/>
  <c r="R107" i="30"/>
  <c r="R104" i="30"/>
  <c r="R99" i="30"/>
  <c r="R87" i="30"/>
  <c r="R84" i="30"/>
  <c r="R79" i="30"/>
  <c r="R71" i="30"/>
  <c r="R63" i="30"/>
  <c r="R56" i="30"/>
  <c r="Z49" i="30"/>
  <c r="X151" i="30"/>
  <c r="V69" i="33"/>
  <c r="V61" i="33"/>
  <c r="V57" i="33"/>
  <c r="V49" i="33"/>
  <c r="V37" i="33"/>
  <c r="V82" i="33"/>
  <c r="V72" i="33"/>
  <c r="V68" i="33"/>
  <c r="V64" i="33"/>
  <c r="V60" i="33"/>
  <c r="V48" i="33"/>
  <c r="V36" i="33"/>
  <c r="V32" i="33"/>
  <c r="V28" i="33"/>
  <c r="Z12" i="33"/>
  <c r="V77" i="33"/>
  <c r="V71" i="33"/>
  <c r="V67" i="33"/>
  <c r="V63" i="33"/>
  <c r="V59" i="33"/>
  <c r="V51" i="33"/>
  <c r="V35" i="33"/>
  <c r="V27" i="33"/>
  <c r="V74" i="33"/>
  <c r="V66" i="33"/>
  <c r="V50" i="33"/>
  <c r="V34" i="33"/>
  <c r="V26" i="33"/>
  <c r="V73" i="33"/>
  <c r="V65" i="33"/>
  <c r="V53" i="33"/>
  <c r="V45" i="33"/>
  <c r="V41" i="33"/>
  <c r="V33" i="33"/>
  <c r="V25" i="33"/>
  <c r="V78" i="33"/>
  <c r="V56" i="33"/>
  <c r="V52" i="33"/>
  <c r="V44" i="33"/>
  <c r="V40" i="33"/>
  <c r="V30" i="33"/>
  <c r="V55" i="33"/>
  <c r="V47" i="33"/>
  <c r="V43" i="33"/>
  <c r="V39" i="33"/>
  <c r="T30" i="33"/>
  <c r="V76" i="33"/>
  <c r="V70" i="33"/>
  <c r="V62" i="33"/>
  <c r="V58" i="33"/>
  <c r="V54" i="33"/>
  <c r="V46" i="33"/>
  <c r="V42" i="33"/>
  <c r="V38" i="33"/>
  <c r="V15" i="28"/>
  <c r="T18" i="28"/>
  <c r="R21" i="28"/>
  <c r="V25" i="28"/>
  <c r="V29" i="28"/>
  <c r="V33" i="28"/>
  <c r="V36" i="28"/>
  <c r="J16" i="29"/>
  <c r="R18" i="29"/>
  <c r="J20" i="29"/>
  <c r="V22" i="29"/>
  <c r="H12" i="30"/>
  <c r="Z14" i="30"/>
  <c r="X15" i="30"/>
  <c r="Z15" i="30" s="1"/>
  <c r="L12" i="31"/>
  <c r="F15" i="31"/>
  <c r="V15" i="31"/>
  <c r="D18" i="31"/>
  <c r="T18" i="31"/>
  <c r="R21" i="31"/>
  <c r="F25" i="31"/>
  <c r="V25" i="31"/>
  <c r="F29" i="31"/>
  <c r="V29" i="31"/>
  <c r="F33" i="31"/>
  <c r="V33" i="31"/>
  <c r="F36" i="31"/>
  <c r="V36" i="31"/>
  <c r="J16" i="32"/>
  <c r="R18" i="32"/>
  <c r="J20" i="32"/>
  <c r="F22" i="32"/>
  <c r="V22" i="32"/>
  <c r="H12" i="33"/>
  <c r="Z14" i="33"/>
  <c r="X15" i="33"/>
  <c r="Z15" i="33" s="1"/>
  <c r="F27" i="33"/>
  <c r="F35" i="33"/>
  <c r="F42" i="33"/>
  <c r="F46" i="33"/>
  <c r="F51" i="33"/>
  <c r="F54" i="33"/>
  <c r="F67" i="33"/>
  <c r="F76" i="33"/>
  <c r="V36" i="34"/>
  <c r="V33" i="34"/>
  <c r="V29" i="34"/>
  <c r="V25" i="34"/>
  <c r="T18" i="34"/>
  <c r="V34" i="34"/>
  <c r="V31" i="34"/>
  <c r="V27" i="34"/>
  <c r="V21" i="34"/>
  <c r="V18" i="34"/>
  <c r="R20" i="34"/>
  <c r="X29" i="34"/>
  <c r="Z22" i="35"/>
  <c r="X22" i="35"/>
  <c r="R29" i="35"/>
  <c r="N14" i="36"/>
  <c r="Z20" i="36"/>
  <c r="R34" i="36"/>
  <c r="X46" i="36"/>
  <c r="Z46" i="36" s="1"/>
  <c r="L48" i="36"/>
  <c r="Z50" i="36"/>
  <c r="X50" i="36"/>
  <c r="R54" i="36"/>
  <c r="Z65" i="36"/>
  <c r="R75" i="36"/>
  <c r="X82" i="36"/>
  <c r="Z108" i="36"/>
  <c r="X108" i="36"/>
  <c r="N33" i="39"/>
  <c r="Z67" i="39"/>
  <c r="N69" i="39"/>
  <c r="Z25" i="42"/>
  <c r="Z87" i="42"/>
  <c r="N89" i="42"/>
  <c r="Z97" i="42"/>
  <c r="V18" i="28"/>
  <c r="R24" i="28"/>
  <c r="V15" i="29"/>
  <c r="T18" i="29"/>
  <c r="R21" i="29"/>
  <c r="V25" i="29"/>
  <c r="V29" i="29"/>
  <c r="V33" i="29"/>
  <c r="V36" i="29"/>
  <c r="L100" i="30"/>
  <c r="X106" i="30"/>
  <c r="X118" i="30"/>
  <c r="Z118" i="30" s="1"/>
  <c r="X146" i="30"/>
  <c r="Z146" i="30" s="1"/>
  <c r="L148" i="30"/>
  <c r="N148" i="30" s="1"/>
  <c r="X152" i="30"/>
  <c r="Z152" i="30" s="1"/>
  <c r="N153" i="30"/>
  <c r="N12" i="31"/>
  <c r="X15" i="31"/>
  <c r="F18" i="31"/>
  <c r="V18" i="31"/>
  <c r="J22" i="31"/>
  <c r="R24" i="31"/>
  <c r="X25" i="31"/>
  <c r="X29" i="31"/>
  <c r="X33" i="31"/>
  <c r="L12" i="32"/>
  <c r="F15" i="32"/>
  <c r="L16" i="32"/>
  <c r="D18" i="32"/>
  <c r="L20" i="32"/>
  <c r="R21" i="32"/>
  <c r="X22" i="32"/>
  <c r="F25" i="32"/>
  <c r="V25" i="32"/>
  <c r="F29" i="32"/>
  <c r="V29" i="32"/>
  <c r="F33" i="32"/>
  <c r="V33" i="32"/>
  <c r="F36" i="32"/>
  <c r="V36" i="32"/>
  <c r="L12" i="33"/>
  <c r="F28" i="33"/>
  <c r="D30" i="33"/>
  <c r="L32" i="33"/>
  <c r="N32" i="33" s="1"/>
  <c r="F36" i="33"/>
  <c r="X42" i="33"/>
  <c r="Z42" i="33" s="1"/>
  <c r="X46" i="33"/>
  <c r="L48" i="33"/>
  <c r="N48" i="33" s="1"/>
  <c r="X54" i="33"/>
  <c r="F60" i="33"/>
  <c r="F64" i="33"/>
  <c r="F68" i="33"/>
  <c r="F72" i="33"/>
  <c r="H76" i="33"/>
  <c r="L76" i="33" s="1"/>
  <c r="F82" i="33"/>
  <c r="X12" i="34"/>
  <c r="R18" i="35"/>
  <c r="R22" i="35"/>
  <c r="X12" i="35"/>
  <c r="R20" i="35"/>
  <c r="R16" i="35"/>
  <c r="R24" i="35"/>
  <c r="R21" i="35"/>
  <c r="R27" i="35"/>
  <c r="H12" i="36"/>
  <c r="X15" i="36"/>
  <c r="Z15" i="36" s="1"/>
  <c r="R42" i="36"/>
  <c r="N48" i="36"/>
  <c r="R55" i="36"/>
  <c r="Z82" i="36"/>
  <c r="J99" i="39"/>
  <c r="J91" i="39"/>
  <c r="J83" i="39"/>
  <c r="J75" i="39"/>
  <c r="J69" i="39"/>
  <c r="J63" i="39"/>
  <c r="J49" i="39"/>
  <c r="J39" i="39"/>
  <c r="J102" i="39"/>
  <c r="J96" i="39"/>
  <c r="J90" i="39"/>
  <c r="J82" i="39"/>
  <c r="J78" i="39"/>
  <c r="J74" i="39"/>
  <c r="J66" i="39"/>
  <c r="J60" i="39"/>
  <c r="J54" i="39"/>
  <c r="J38" i="39"/>
  <c r="H31" i="39"/>
  <c r="J31" i="39" s="1"/>
  <c r="J109" i="39"/>
  <c r="J101" i="39"/>
  <c r="J89" i="39"/>
  <c r="J85" i="39"/>
  <c r="J81" i="39"/>
  <c r="J71" i="39"/>
  <c r="J57" i="39"/>
  <c r="J51" i="39"/>
  <c r="J43" i="39"/>
  <c r="J37" i="39"/>
  <c r="J29" i="39"/>
  <c r="J104" i="39"/>
  <c r="J98" i="39"/>
  <c r="J88" i="39"/>
  <c r="J80" i="39"/>
  <c r="J68" i="39"/>
  <c r="J62" i="39"/>
  <c r="J56" i="39"/>
  <c r="J48" i="39"/>
  <c r="J36" i="39"/>
  <c r="J28" i="39"/>
  <c r="J113" i="39"/>
  <c r="J107" i="39"/>
  <c r="J95" i="39"/>
  <c r="J87" i="39"/>
  <c r="J77" i="39"/>
  <c r="J73" i="39"/>
  <c r="J65" i="39"/>
  <c r="J59" i="39"/>
  <c r="J53" i="39"/>
  <c r="J47" i="39"/>
  <c r="J35" i="39"/>
  <c r="J33" i="39"/>
  <c r="J100" i="39"/>
  <c r="J94" i="39"/>
  <c r="J84" i="39"/>
  <c r="J70" i="39"/>
  <c r="J50" i="39"/>
  <c r="J46" i="39"/>
  <c r="J42" i="39"/>
  <c r="J103" i="39"/>
  <c r="J97" i="39"/>
  <c r="J93" i="39"/>
  <c r="J79" i="39"/>
  <c r="J67" i="39"/>
  <c r="J61" i="39"/>
  <c r="J55" i="39"/>
  <c r="J45" i="39"/>
  <c r="J41" i="39"/>
  <c r="J27" i="39"/>
  <c r="J108" i="39"/>
  <c r="J92" i="39"/>
  <c r="J86" i="39"/>
  <c r="J76" i="39"/>
  <c r="J72" i="39"/>
  <c r="J64" i="39"/>
  <c r="J58" i="39"/>
  <c r="J52" i="39"/>
  <c r="J44" i="39"/>
  <c r="J40" i="39"/>
  <c r="J34" i="39"/>
  <c r="V21" i="28"/>
  <c r="R27" i="28"/>
  <c r="R31" i="28"/>
  <c r="R34" i="28"/>
  <c r="L13" i="29"/>
  <c r="V18" i="29"/>
  <c r="R24" i="29"/>
  <c r="L13" i="30"/>
  <c r="N13" i="30" s="1"/>
  <c r="X17" i="30"/>
  <c r="Z17" i="30" s="1"/>
  <c r="L21" i="30"/>
  <c r="N21" i="30" s="1"/>
  <c r="X25" i="30"/>
  <c r="L29" i="30"/>
  <c r="X33" i="30"/>
  <c r="Z33" i="30" s="1"/>
  <c r="L37" i="30"/>
  <c r="N37" i="30" s="1"/>
  <c r="X41" i="30"/>
  <c r="Z41" i="30" s="1"/>
  <c r="L45" i="30"/>
  <c r="N45" i="30" s="1"/>
  <c r="X49" i="30"/>
  <c r="L53" i="30"/>
  <c r="D151" i="30"/>
  <c r="L151" i="30" s="1"/>
  <c r="N151" i="30" s="1"/>
  <c r="T151" i="30"/>
  <c r="J15" i="31"/>
  <c r="H18" i="31"/>
  <c r="F21" i="31"/>
  <c r="V21" i="31"/>
  <c r="J25" i="31"/>
  <c r="R27" i="31"/>
  <c r="J29" i="31"/>
  <c r="R31" i="31"/>
  <c r="J33" i="31"/>
  <c r="R34" i="31"/>
  <c r="J36" i="31"/>
  <c r="L13" i="32"/>
  <c r="F18" i="32"/>
  <c r="V18" i="32"/>
  <c r="N20" i="32"/>
  <c r="R24" i="32"/>
  <c r="L13" i="33"/>
  <c r="X17" i="33"/>
  <c r="L21" i="33"/>
  <c r="F37" i="33"/>
  <c r="F49" i="33"/>
  <c r="F52" i="33"/>
  <c r="F61" i="33"/>
  <c r="F69" i="33"/>
  <c r="F78" i="33"/>
  <c r="X13" i="34"/>
  <c r="X21" i="34"/>
  <c r="R22" i="34"/>
  <c r="X33" i="34"/>
  <c r="P18" i="35"/>
  <c r="N26" i="36"/>
  <c r="N44" i="36"/>
  <c r="L44" i="36"/>
  <c r="N106" i="36"/>
  <c r="H105" i="36"/>
  <c r="L106" i="36"/>
  <c r="Z16" i="37"/>
  <c r="X16" i="37"/>
  <c r="Z20" i="37"/>
  <c r="X20" i="37"/>
  <c r="N24" i="37"/>
  <c r="L24" i="37"/>
  <c r="R16" i="28"/>
  <c r="R20" i="28"/>
  <c r="V24" i="28"/>
  <c r="H18" i="29"/>
  <c r="V21" i="29"/>
  <c r="R27" i="29"/>
  <c r="R31" i="29"/>
  <c r="J33" i="29"/>
  <c r="R34" i="29"/>
  <c r="J36" i="29"/>
  <c r="J18" i="31"/>
  <c r="F24" i="31"/>
  <c r="V24" i="31"/>
  <c r="F21" i="32"/>
  <c r="V21" i="32"/>
  <c r="R27" i="32"/>
  <c r="R31" i="32"/>
  <c r="R34" i="32"/>
  <c r="F25" i="33"/>
  <c r="F33" i="33"/>
  <c r="F38" i="33"/>
  <c r="F58" i="33"/>
  <c r="F62" i="33"/>
  <c r="F65" i="33"/>
  <c r="F70" i="33"/>
  <c r="F73" i="33"/>
  <c r="F36" i="34"/>
  <c r="F33" i="34"/>
  <c r="F29" i="34"/>
  <c r="F25" i="34"/>
  <c r="D18" i="34"/>
  <c r="F34" i="34"/>
  <c r="F31" i="34"/>
  <c r="F27" i="34"/>
  <c r="F21" i="34"/>
  <c r="R15" i="34"/>
  <c r="F20" i="34"/>
  <c r="Z48" i="36"/>
  <c r="R62" i="36"/>
  <c r="R70" i="36"/>
  <c r="R78" i="36"/>
  <c r="R90" i="36"/>
  <c r="N95" i="36"/>
  <c r="X13" i="37"/>
  <c r="Z16" i="39"/>
  <c r="Z86" i="39"/>
  <c r="Z109" i="39"/>
  <c r="X38" i="27"/>
  <c r="Z38" i="27" s="1"/>
  <c r="V27" i="28"/>
  <c r="V31" i="28"/>
  <c r="V34" i="28"/>
  <c r="L15" i="29"/>
  <c r="R16" i="29"/>
  <c r="R20" i="29"/>
  <c r="X21" i="29"/>
  <c r="V24" i="29"/>
  <c r="L25" i="29"/>
  <c r="L29" i="29"/>
  <c r="L33" i="29"/>
  <c r="X12" i="31"/>
  <c r="J21" i="31"/>
  <c r="X24" i="31"/>
  <c r="F27" i="31"/>
  <c r="V27" i="31"/>
  <c r="F31" i="31"/>
  <c r="V31" i="31"/>
  <c r="F34" i="31"/>
  <c r="V34" i="31"/>
  <c r="L15" i="32"/>
  <c r="R16" i="32"/>
  <c r="R20" i="32"/>
  <c r="X21" i="32"/>
  <c r="F24" i="32"/>
  <c r="V24" i="32"/>
  <c r="L25" i="32"/>
  <c r="L29" i="32"/>
  <c r="L33" i="32"/>
  <c r="X25" i="33"/>
  <c r="X33" i="33"/>
  <c r="Z33" i="33" s="1"/>
  <c r="F39" i="33"/>
  <c r="F43" i="33"/>
  <c r="F47" i="33"/>
  <c r="F50" i="33"/>
  <c r="F55" i="33"/>
  <c r="X65" i="33"/>
  <c r="X73" i="33"/>
  <c r="J34" i="34"/>
  <c r="J31" i="34"/>
  <c r="J27" i="34"/>
  <c r="J21" i="34"/>
  <c r="J36" i="34"/>
  <c r="J33" i="34"/>
  <c r="J29" i="34"/>
  <c r="J25" i="34"/>
  <c r="H18" i="34"/>
  <c r="J16" i="34"/>
  <c r="F18" i="34"/>
  <c r="R25" i="35"/>
  <c r="R33" i="35"/>
  <c r="R34" i="35"/>
  <c r="T12" i="36"/>
  <c r="R22" i="36"/>
  <c r="R58" i="36"/>
  <c r="R59" i="36"/>
  <c r="R63" i="36"/>
  <c r="R71" i="36"/>
  <c r="Z58" i="42"/>
  <c r="T107" i="27"/>
  <c r="Z12" i="28"/>
  <c r="V16" i="28"/>
  <c r="V27" i="29"/>
  <c r="V31" i="29"/>
  <c r="Z12" i="31"/>
  <c r="F16" i="31"/>
  <c r="V16" i="31"/>
  <c r="J24" i="31"/>
  <c r="F27" i="32"/>
  <c r="V27" i="32"/>
  <c r="F31" i="32"/>
  <c r="V31" i="32"/>
  <c r="F34" i="32"/>
  <c r="F40" i="33"/>
  <c r="F44" i="33"/>
  <c r="F56" i="33"/>
  <c r="F59" i="33"/>
  <c r="F63" i="33"/>
  <c r="F71" i="33"/>
  <c r="F77" i="33"/>
  <c r="L12" i="34"/>
  <c r="F15" i="34"/>
  <c r="J18" i="34"/>
  <c r="J20" i="34"/>
  <c r="F22" i="34"/>
  <c r="N16" i="35"/>
  <c r="L16" i="35"/>
  <c r="R31" i="35"/>
  <c r="D12" i="36"/>
  <c r="Z26" i="36"/>
  <c r="X26" i="36"/>
  <c r="R27" i="36"/>
  <c r="R30" i="36"/>
  <c r="N50" i="36"/>
  <c r="R66" i="36"/>
  <c r="R67" i="36"/>
  <c r="N49" i="39"/>
  <c r="Z55" i="39"/>
  <c r="Z103" i="39"/>
  <c r="Z108" i="39"/>
  <c r="F97" i="42"/>
  <c r="F92" i="42"/>
  <c r="F87" i="42"/>
  <c r="F80" i="42"/>
  <c r="F76" i="42"/>
  <c r="F72" i="42"/>
  <c r="F48" i="42"/>
  <c r="F43" i="42"/>
  <c r="F40" i="42"/>
  <c r="F35" i="42"/>
  <c r="F28" i="42"/>
  <c r="F20" i="42"/>
  <c r="L12" i="42"/>
  <c r="F100" i="42"/>
  <c r="F95" i="42"/>
  <c r="F79" i="42"/>
  <c r="F71" i="42"/>
  <c r="F62" i="42"/>
  <c r="F59" i="42"/>
  <c r="F54" i="42"/>
  <c r="F51" i="42"/>
  <c r="F39" i="42"/>
  <c r="F27" i="42"/>
  <c r="F104" i="42"/>
  <c r="F89" i="42"/>
  <c r="F86" i="42"/>
  <c r="F78" i="42"/>
  <c r="F45" i="42"/>
  <c r="F42" i="42"/>
  <c r="F38" i="42"/>
  <c r="F34" i="42"/>
  <c r="F25" i="42"/>
  <c r="F98" i="42"/>
  <c r="F85" i="42"/>
  <c r="F68" i="42"/>
  <c r="F64" i="42"/>
  <c r="F61" i="42"/>
  <c r="F56" i="42"/>
  <c r="F53" i="42"/>
  <c r="F37" i="42"/>
  <c r="F33" i="42"/>
  <c r="F91" i="42"/>
  <c r="F88" i="42"/>
  <c r="F84" i="42"/>
  <c r="F75" i="42"/>
  <c r="F47" i="42"/>
  <c r="F44" i="42"/>
  <c r="F36" i="42"/>
  <c r="F32" i="42"/>
  <c r="F19" i="42"/>
  <c r="F94" i="42"/>
  <c r="F83" i="42"/>
  <c r="F70" i="42"/>
  <c r="F67" i="42"/>
  <c r="F63" i="42"/>
  <c r="F58" i="42"/>
  <c r="F55" i="42"/>
  <c r="F50" i="42"/>
  <c r="F31" i="42"/>
  <c r="F26" i="42"/>
  <c r="F99" i="42"/>
  <c r="F90" i="42"/>
  <c r="F82" i="42"/>
  <c r="F77" i="42"/>
  <c r="F74" i="42"/>
  <c r="F66" i="42"/>
  <c r="F46" i="42"/>
  <c r="F41" i="42"/>
  <c r="F30" i="42"/>
  <c r="F93" i="42"/>
  <c r="F81" i="42"/>
  <c r="F73" i="42"/>
  <c r="F69" i="42"/>
  <c r="F65" i="42"/>
  <c r="F60" i="42"/>
  <c r="F57" i="42"/>
  <c r="F52" i="42"/>
  <c r="F49" i="42"/>
  <c r="F29" i="42"/>
  <c r="D23" i="42"/>
  <c r="F21" i="42"/>
  <c r="Z43" i="42"/>
  <c r="N45" i="42"/>
  <c r="N52" i="42"/>
  <c r="J27" i="31"/>
  <c r="J31" i="31"/>
  <c r="J34" i="31"/>
  <c r="F16" i="32"/>
  <c r="F32" i="33"/>
  <c r="F41" i="33"/>
  <c r="F45" i="33"/>
  <c r="F48" i="33"/>
  <c r="F53" i="33"/>
  <c r="X34" i="34"/>
  <c r="N20" i="35"/>
  <c r="L20" i="35"/>
  <c r="R91" i="36"/>
  <c r="R51" i="36"/>
  <c r="R48" i="36"/>
  <c r="R43" i="36"/>
  <c r="R31" i="36"/>
  <c r="R108" i="36"/>
  <c r="R101" i="36"/>
  <c r="R89" i="36"/>
  <c r="R81" i="36"/>
  <c r="R73" i="36"/>
  <c r="R50" i="36"/>
  <c r="R45" i="36"/>
  <c r="R41" i="36"/>
  <c r="R29" i="36"/>
  <c r="R26" i="36"/>
  <c r="R21" i="36"/>
  <c r="R100" i="36"/>
  <c r="R97" i="36"/>
  <c r="R88" i="36"/>
  <c r="R84" i="36"/>
  <c r="R80" i="36"/>
  <c r="R76" i="36"/>
  <c r="R72" i="36"/>
  <c r="R69" i="36"/>
  <c r="R64" i="36"/>
  <c r="R61" i="36"/>
  <c r="R56" i="36"/>
  <c r="R53" i="36"/>
  <c r="R40" i="36"/>
  <c r="R36" i="36"/>
  <c r="R28" i="36"/>
  <c r="X12" i="36"/>
  <c r="R106" i="36"/>
  <c r="R103" i="36"/>
  <c r="R87" i="36"/>
  <c r="R83" i="36"/>
  <c r="R79" i="36"/>
  <c r="R47" i="36"/>
  <c r="R44" i="36"/>
  <c r="R39" i="36"/>
  <c r="R35" i="36"/>
  <c r="R20" i="36"/>
  <c r="R112" i="36"/>
  <c r="R99" i="36"/>
  <c r="R94" i="36"/>
  <c r="R102" i="36"/>
  <c r="R93" i="36"/>
  <c r="R82" i="36"/>
  <c r="R49" i="36"/>
  <c r="R46" i="36"/>
  <c r="R33" i="36"/>
  <c r="R24" i="36"/>
  <c r="R107" i="36"/>
  <c r="R96" i="36"/>
  <c r="R92" i="36"/>
  <c r="R85" i="36"/>
  <c r="R77" i="36"/>
  <c r="R68" i="36"/>
  <c r="R65" i="36"/>
  <c r="R60" i="36"/>
  <c r="R57" i="36"/>
  <c r="R52" i="36"/>
  <c r="R37" i="36"/>
  <c r="R32" i="36"/>
  <c r="P24" i="36"/>
  <c r="L15" i="36"/>
  <c r="L20" i="36"/>
  <c r="N20" i="36" s="1"/>
  <c r="R38" i="36"/>
  <c r="N82" i="36"/>
  <c r="N102" i="36"/>
  <c r="X12" i="38"/>
  <c r="N13" i="42"/>
  <c r="J16" i="31"/>
  <c r="F26" i="33"/>
  <c r="F34" i="33"/>
  <c r="F57" i="33"/>
  <c r="F66" i="33"/>
  <c r="R21" i="34"/>
  <c r="R36" i="34"/>
  <c r="R33" i="34"/>
  <c r="R29" i="34"/>
  <c r="R25" i="34"/>
  <c r="P18" i="34"/>
  <c r="R34" i="34"/>
  <c r="R31" i="34"/>
  <c r="R27" i="34"/>
  <c r="R16" i="34"/>
  <c r="R18" i="34"/>
  <c r="F22" i="35"/>
  <c r="F20" i="35"/>
  <c r="F16" i="35"/>
  <c r="F34" i="35"/>
  <c r="F31" i="35"/>
  <c r="F27" i="35"/>
  <c r="F24" i="35"/>
  <c r="F18" i="35"/>
  <c r="F36" i="35"/>
  <c r="F33" i="35"/>
  <c r="F29" i="35"/>
  <c r="F25" i="35"/>
  <c r="D18" i="35"/>
  <c r="F15" i="35"/>
  <c r="L12" i="35"/>
  <c r="N15" i="36"/>
  <c r="R74" i="36"/>
  <c r="R86" i="36"/>
  <c r="R98" i="36"/>
  <c r="R105" i="36"/>
  <c r="V34" i="38"/>
  <c r="V31" i="38"/>
  <c r="V27" i="38"/>
  <c r="V24" i="38"/>
  <c r="V21" i="38"/>
  <c r="V18" i="38"/>
  <c r="V36" i="38"/>
  <c r="V33" i="38"/>
  <c r="V29" i="38"/>
  <c r="V25" i="38"/>
  <c r="T18" i="38"/>
  <c r="V15" i="38"/>
  <c r="V22" i="38"/>
  <c r="V20" i="38"/>
  <c r="V16" i="38"/>
  <c r="Z12" i="38"/>
  <c r="R107" i="39"/>
  <c r="R104" i="39"/>
  <c r="R88" i="39"/>
  <c r="R80" i="39"/>
  <c r="R77" i="39"/>
  <c r="R73" i="39"/>
  <c r="R68" i="39"/>
  <c r="R65" i="39"/>
  <c r="R56" i="39"/>
  <c r="R53" i="39"/>
  <c r="R48" i="39"/>
  <c r="R36" i="39"/>
  <c r="R33" i="39"/>
  <c r="R28" i="39"/>
  <c r="X12" i="39"/>
  <c r="R113" i="39"/>
  <c r="R100" i="39"/>
  <c r="R95" i="39"/>
  <c r="R87" i="39"/>
  <c r="R84" i="39"/>
  <c r="R59" i="39"/>
  <c r="R47" i="39"/>
  <c r="R35" i="39"/>
  <c r="R103" i="39"/>
  <c r="R94" i="39"/>
  <c r="R79" i="39"/>
  <c r="R70" i="39"/>
  <c r="R67" i="39"/>
  <c r="R55" i="39"/>
  <c r="R50" i="39"/>
  <c r="R46" i="39"/>
  <c r="R42" i="39"/>
  <c r="R27" i="39"/>
  <c r="R108" i="39"/>
  <c r="R97" i="39"/>
  <c r="R93" i="39"/>
  <c r="R86" i="39"/>
  <c r="R61" i="39"/>
  <c r="R58" i="39"/>
  <c r="R45" i="39"/>
  <c r="R41" i="39"/>
  <c r="R34" i="39"/>
  <c r="R92" i="39"/>
  <c r="R76" i="39"/>
  <c r="R72" i="39"/>
  <c r="R69" i="39"/>
  <c r="R64" i="39"/>
  <c r="R52" i="39"/>
  <c r="R49" i="39"/>
  <c r="R44" i="39"/>
  <c r="R40" i="39"/>
  <c r="R31" i="39"/>
  <c r="R99" i="39"/>
  <c r="R96" i="39"/>
  <c r="R91" i="39"/>
  <c r="R83" i="39"/>
  <c r="R75" i="39"/>
  <c r="R63" i="39"/>
  <c r="R60" i="39"/>
  <c r="R39" i="39"/>
  <c r="P31" i="39"/>
  <c r="R109" i="39"/>
  <c r="R102" i="39"/>
  <c r="R90" i="39"/>
  <c r="R82" i="39"/>
  <c r="R78" i="39"/>
  <c r="R74" i="39"/>
  <c r="R71" i="39"/>
  <c r="R66" i="39"/>
  <c r="R54" i="39"/>
  <c r="R51" i="39"/>
  <c r="R43" i="39"/>
  <c r="R38" i="39"/>
  <c r="R101" i="39"/>
  <c r="R98" i="39"/>
  <c r="R89" i="39"/>
  <c r="R85" i="39"/>
  <c r="R81" i="39"/>
  <c r="R62" i="39"/>
  <c r="R57" i="39"/>
  <c r="R37" i="39"/>
  <c r="R29" i="39"/>
  <c r="V33" i="35"/>
  <c r="V36" i="35"/>
  <c r="R25" i="37"/>
  <c r="R29" i="37"/>
  <c r="J31" i="37"/>
  <c r="R33" i="37"/>
  <c r="J34" i="37"/>
  <c r="R36" i="37"/>
  <c r="L21" i="38"/>
  <c r="J24" i="38"/>
  <c r="X34" i="38"/>
  <c r="Z12" i="39"/>
  <c r="X13" i="39"/>
  <c r="N16" i="39"/>
  <c r="X27" i="39"/>
  <c r="Z27" i="39" s="1"/>
  <c r="V28" i="39"/>
  <c r="V36" i="39"/>
  <c r="V48" i="39"/>
  <c r="V56" i="39"/>
  <c r="Z58" i="39"/>
  <c r="N60" i="39"/>
  <c r="V68" i="39"/>
  <c r="V80" i="39"/>
  <c r="V84" i="39"/>
  <c r="V88" i="39"/>
  <c r="V100" i="39"/>
  <c r="V104" i="39"/>
  <c r="J15" i="40"/>
  <c r="H18" i="40"/>
  <c r="F21" i="40"/>
  <c r="V21" i="40"/>
  <c r="J25" i="40"/>
  <c r="R27" i="40"/>
  <c r="J29" i="40"/>
  <c r="R31" i="40"/>
  <c r="J33" i="40"/>
  <c r="R34" i="40"/>
  <c r="J36" i="40"/>
  <c r="N12" i="41"/>
  <c r="F18" i="41"/>
  <c r="V18" i="41"/>
  <c r="N20" i="41"/>
  <c r="J22" i="41"/>
  <c r="R24" i="41"/>
  <c r="N12" i="42"/>
  <c r="L13" i="42"/>
  <c r="Z16" i="42"/>
  <c r="J20" i="42"/>
  <c r="J28" i="42"/>
  <c r="J40" i="42"/>
  <c r="L45" i="42"/>
  <c r="J48" i="42"/>
  <c r="J54" i="42"/>
  <c r="J62" i="42"/>
  <c r="J72" i="42"/>
  <c r="J76" i="42"/>
  <c r="J80" i="42"/>
  <c r="J92" i="42"/>
  <c r="H97" i="42"/>
  <c r="J100" i="42"/>
  <c r="J16" i="43"/>
  <c r="Z16" i="43"/>
  <c r="R18" i="43"/>
  <c r="J20" i="43"/>
  <c r="Z20" i="43"/>
  <c r="F22" i="43"/>
  <c r="V22" i="43"/>
  <c r="N24" i="43"/>
  <c r="Z34" i="43"/>
  <c r="N12" i="35"/>
  <c r="V18" i="35"/>
  <c r="J22" i="35"/>
  <c r="L13" i="36"/>
  <c r="N13" i="36" s="1"/>
  <c r="J16" i="37"/>
  <c r="R18" i="37"/>
  <c r="J20" i="37"/>
  <c r="F22" i="37"/>
  <c r="V22" i="37"/>
  <c r="P18" i="38"/>
  <c r="R25" i="38"/>
  <c r="J27" i="38"/>
  <c r="R29" i="38"/>
  <c r="J31" i="38"/>
  <c r="R33" i="38"/>
  <c r="J34" i="38"/>
  <c r="R36" i="38"/>
  <c r="D12" i="39"/>
  <c r="V29" i="39"/>
  <c r="V33" i="39"/>
  <c r="V37" i="39"/>
  <c r="V53" i="39"/>
  <c r="V57" i="39"/>
  <c r="V65" i="39"/>
  <c r="V73" i="39"/>
  <c r="V77" i="39"/>
  <c r="V81" i="39"/>
  <c r="V85" i="39"/>
  <c r="V89" i="39"/>
  <c r="V101" i="39"/>
  <c r="P106" i="39"/>
  <c r="R106" i="39" s="1"/>
  <c r="V107" i="39"/>
  <c r="R16" i="40"/>
  <c r="J18" i="40"/>
  <c r="R20" i="40"/>
  <c r="F24" i="40"/>
  <c r="V24" i="40"/>
  <c r="J15" i="41"/>
  <c r="H18" i="41"/>
  <c r="F21" i="41"/>
  <c r="V21" i="41"/>
  <c r="J25" i="41"/>
  <c r="R27" i="41"/>
  <c r="J29" i="41"/>
  <c r="R31" i="41"/>
  <c r="J33" i="41"/>
  <c r="R34" i="41"/>
  <c r="J36" i="41"/>
  <c r="P12" i="42"/>
  <c r="J21" i="42"/>
  <c r="J29" i="42"/>
  <c r="J35" i="42"/>
  <c r="J43" i="42"/>
  <c r="J49" i="42"/>
  <c r="J57" i="42"/>
  <c r="J65" i="42"/>
  <c r="J69" i="42"/>
  <c r="J73" i="42"/>
  <c r="J81" i="42"/>
  <c r="J87" i="42"/>
  <c r="J93" i="42"/>
  <c r="J97" i="42"/>
  <c r="L12" i="43"/>
  <c r="F15" i="43"/>
  <c r="V15" i="43"/>
  <c r="D18" i="43"/>
  <c r="T18" i="43"/>
  <c r="R21" i="43"/>
  <c r="F25" i="43"/>
  <c r="V25" i="43"/>
  <c r="J29" i="43"/>
  <c r="F31" i="43"/>
  <c r="T12" i="45"/>
  <c r="Z14" i="45"/>
  <c r="N17" i="45"/>
  <c r="L17" i="48"/>
  <c r="J16" i="38"/>
  <c r="J20" i="38"/>
  <c r="V38" i="39"/>
  <c r="V54" i="39"/>
  <c r="V62" i="39"/>
  <c r="V66" i="39"/>
  <c r="V74" i="39"/>
  <c r="V78" i="39"/>
  <c r="V82" i="39"/>
  <c r="V90" i="39"/>
  <c r="V98" i="39"/>
  <c r="V102" i="39"/>
  <c r="J18" i="41"/>
  <c r="V24" i="41"/>
  <c r="T12" i="42"/>
  <c r="H23" i="42"/>
  <c r="J30" i="42"/>
  <c r="J46" i="42"/>
  <c r="J52" i="42"/>
  <c r="J60" i="42"/>
  <c r="J66" i="42"/>
  <c r="J74" i="42"/>
  <c r="J82" i="42"/>
  <c r="J90" i="42"/>
  <c r="X99" i="42"/>
  <c r="Z99" i="42" s="1"/>
  <c r="R92" i="45"/>
  <c r="R86" i="45"/>
  <c r="R74" i="45"/>
  <c r="R70" i="45"/>
  <c r="R66" i="45"/>
  <c r="R62" i="45"/>
  <c r="R59" i="45"/>
  <c r="R54" i="45"/>
  <c r="R51" i="45"/>
  <c r="R46" i="45"/>
  <c r="R43" i="45"/>
  <c r="R30" i="45"/>
  <c r="R21" i="45"/>
  <c r="R85" i="45"/>
  <c r="R82" i="45"/>
  <c r="R73" i="45"/>
  <c r="R34" i="45"/>
  <c r="R29" i="45"/>
  <c r="R72" i="45"/>
  <c r="R69" i="45"/>
  <c r="R65" i="45"/>
  <c r="R61" i="45"/>
  <c r="R56" i="45"/>
  <c r="R53" i="45"/>
  <c r="R48" i="45"/>
  <c r="R45" i="45"/>
  <c r="R40" i="45"/>
  <c r="R28" i="45"/>
  <c r="X12" i="45"/>
  <c r="R84" i="45"/>
  <c r="R79" i="45"/>
  <c r="R39" i="45"/>
  <c r="R27" i="45"/>
  <c r="R19" i="45"/>
  <c r="R78" i="45"/>
  <c r="R71" i="45"/>
  <c r="R58" i="45"/>
  <c r="R55" i="45"/>
  <c r="R50" i="45"/>
  <c r="R47" i="45"/>
  <c r="R42" i="45"/>
  <c r="R38" i="45"/>
  <c r="R26" i="45"/>
  <c r="R88" i="45"/>
  <c r="R81" i="45"/>
  <c r="R77" i="45"/>
  <c r="R37" i="45"/>
  <c r="R33" i="45"/>
  <c r="R25" i="45"/>
  <c r="R76" i="45"/>
  <c r="R68" i="45"/>
  <c r="R64" i="45"/>
  <c r="R60" i="45"/>
  <c r="R57" i="45"/>
  <c r="R52" i="45"/>
  <c r="R49" i="45"/>
  <c r="R44" i="45"/>
  <c r="R41" i="45"/>
  <c r="R36" i="45"/>
  <c r="R32" i="45"/>
  <c r="R17" i="45"/>
  <c r="R83" i="45"/>
  <c r="R80" i="45"/>
  <c r="R75" i="45"/>
  <c r="R67" i="45"/>
  <c r="R63" i="45"/>
  <c r="R35" i="45"/>
  <c r="R31" i="45"/>
  <c r="R24" i="45"/>
  <c r="R18" i="45"/>
  <c r="P21" i="45"/>
  <c r="J18" i="35"/>
  <c r="V24" i="35"/>
  <c r="N12" i="37"/>
  <c r="F18" i="37"/>
  <c r="V18" i="37"/>
  <c r="J22" i="37"/>
  <c r="R24" i="37"/>
  <c r="L12" i="38"/>
  <c r="F15" i="38"/>
  <c r="D18" i="38"/>
  <c r="R21" i="38"/>
  <c r="F25" i="38"/>
  <c r="F29" i="38"/>
  <c r="F33" i="38"/>
  <c r="F36" i="38"/>
  <c r="V39" i="39"/>
  <c r="V43" i="39"/>
  <c r="V51" i="39"/>
  <c r="V63" i="39"/>
  <c r="V71" i="39"/>
  <c r="V75" i="39"/>
  <c r="V83" i="39"/>
  <c r="V91" i="39"/>
  <c r="V99" i="39"/>
  <c r="T106" i="39"/>
  <c r="V109" i="39"/>
  <c r="X13" i="40"/>
  <c r="F16" i="40"/>
  <c r="V16" i="40"/>
  <c r="F20" i="40"/>
  <c r="V20" i="40"/>
  <c r="R22" i="40"/>
  <c r="J24" i="40"/>
  <c r="X12" i="41"/>
  <c r="J21" i="41"/>
  <c r="F27" i="41"/>
  <c r="V27" i="41"/>
  <c r="F31" i="41"/>
  <c r="V31" i="41"/>
  <c r="F34" i="41"/>
  <c r="V34" i="41"/>
  <c r="J23" i="42"/>
  <c r="J31" i="42"/>
  <c r="J41" i="42"/>
  <c r="J55" i="42"/>
  <c r="J63" i="42"/>
  <c r="J67" i="42"/>
  <c r="J77" i="42"/>
  <c r="J83" i="42"/>
  <c r="J99" i="42"/>
  <c r="H18" i="43"/>
  <c r="F21" i="43"/>
  <c r="J25" i="43"/>
  <c r="J31" i="43"/>
  <c r="R36" i="43"/>
  <c r="R36" i="44"/>
  <c r="R33" i="44"/>
  <c r="R29" i="44"/>
  <c r="R25" i="44"/>
  <c r="P18" i="44"/>
  <c r="R15" i="44"/>
  <c r="X12" i="44"/>
  <c r="R24" i="44"/>
  <c r="R21" i="44"/>
  <c r="R18" i="44"/>
  <c r="R16" i="44"/>
  <c r="R27" i="44"/>
  <c r="Z69" i="45"/>
  <c r="N80" i="45"/>
  <c r="J21" i="35"/>
  <c r="V27" i="35"/>
  <c r="V31" i="35"/>
  <c r="V34" i="35"/>
  <c r="J15" i="37"/>
  <c r="H18" i="37"/>
  <c r="F21" i="37"/>
  <c r="V21" i="37"/>
  <c r="J25" i="37"/>
  <c r="R27" i="37"/>
  <c r="J29" i="37"/>
  <c r="R31" i="37"/>
  <c r="J33" i="37"/>
  <c r="R34" i="37"/>
  <c r="J36" i="37"/>
  <c r="N12" i="38"/>
  <c r="J22" i="38"/>
  <c r="T31" i="39"/>
  <c r="V40" i="39"/>
  <c r="X43" i="39"/>
  <c r="Z43" i="39" s="1"/>
  <c r="V44" i="39"/>
  <c r="X51" i="39"/>
  <c r="Z51" i="39" s="1"/>
  <c r="V52" i="39"/>
  <c r="L53" i="39"/>
  <c r="N53" i="39" s="1"/>
  <c r="V60" i="39"/>
  <c r="V64" i="39"/>
  <c r="L65" i="39"/>
  <c r="N65" i="39" s="1"/>
  <c r="X71" i="39"/>
  <c r="Z71" i="39" s="1"/>
  <c r="V72" i="39"/>
  <c r="L73" i="39"/>
  <c r="N73" i="39" s="1"/>
  <c r="V76" i="39"/>
  <c r="L77" i="39"/>
  <c r="V92" i="39"/>
  <c r="V96" i="39"/>
  <c r="V106" i="39"/>
  <c r="L107" i="39"/>
  <c r="X109" i="39"/>
  <c r="X16" i="40"/>
  <c r="X20" i="40"/>
  <c r="L24" i="40"/>
  <c r="Z12" i="41"/>
  <c r="V16" i="41"/>
  <c r="V20" i="41"/>
  <c r="L21" i="41"/>
  <c r="J24" i="41"/>
  <c r="X34" i="41"/>
  <c r="X19" i="42"/>
  <c r="Z19" i="42" s="1"/>
  <c r="J26" i="42"/>
  <c r="J32" i="42"/>
  <c r="J36" i="42"/>
  <c r="L41" i="42"/>
  <c r="N41" i="42" s="1"/>
  <c r="J44" i="42"/>
  <c r="J50" i="42"/>
  <c r="J58" i="42"/>
  <c r="J70" i="42"/>
  <c r="L77" i="42"/>
  <c r="N77" i="42" s="1"/>
  <c r="J84" i="42"/>
  <c r="J88" i="42"/>
  <c r="X91" i="42"/>
  <c r="Z91" i="42" s="1"/>
  <c r="J94" i="42"/>
  <c r="L99" i="42"/>
  <c r="V36" i="43"/>
  <c r="V33" i="43"/>
  <c r="V29" i="43"/>
  <c r="L15" i="43"/>
  <c r="R16" i="43"/>
  <c r="J18" i="43"/>
  <c r="R20" i="43"/>
  <c r="X21" i="43"/>
  <c r="F24" i="43"/>
  <c r="V24" i="43"/>
  <c r="L25" i="43"/>
  <c r="V27" i="43"/>
  <c r="X29" i="43"/>
  <c r="R31" i="43"/>
  <c r="J34" i="43"/>
  <c r="V34" i="44"/>
  <c r="V31" i="44"/>
  <c r="V27" i="44"/>
  <c r="V18" i="44"/>
  <c r="V36" i="44"/>
  <c r="V33" i="44"/>
  <c r="V29" i="44"/>
  <c r="V25" i="44"/>
  <c r="T18" i="44"/>
  <c r="V15" i="44"/>
  <c r="V22" i="44"/>
  <c r="V20" i="44"/>
  <c r="N15" i="45"/>
  <c r="L15" i="45"/>
  <c r="N24" i="45"/>
  <c r="J17" i="48"/>
  <c r="N17" i="48"/>
  <c r="Z12" i="35"/>
  <c r="V16" i="35"/>
  <c r="V20" i="35"/>
  <c r="J24" i="35"/>
  <c r="R16" i="37"/>
  <c r="J18" i="37"/>
  <c r="R20" i="37"/>
  <c r="F24" i="37"/>
  <c r="V24" i="37"/>
  <c r="J15" i="38"/>
  <c r="H18" i="38"/>
  <c r="F21" i="38"/>
  <c r="J25" i="38"/>
  <c r="R27" i="38"/>
  <c r="J29" i="38"/>
  <c r="R31" i="38"/>
  <c r="J33" i="38"/>
  <c r="R34" i="38"/>
  <c r="J36" i="38"/>
  <c r="V31" i="39"/>
  <c r="V41" i="39"/>
  <c r="V45" i="39"/>
  <c r="V49" i="39"/>
  <c r="V61" i="39"/>
  <c r="V69" i="39"/>
  <c r="V93" i="39"/>
  <c r="V97" i="39"/>
  <c r="H106" i="39"/>
  <c r="J16" i="40"/>
  <c r="R18" i="40"/>
  <c r="J20" i="40"/>
  <c r="F22" i="40"/>
  <c r="V22" i="40"/>
  <c r="P18" i="41"/>
  <c r="R25" i="41"/>
  <c r="J27" i="41"/>
  <c r="R29" i="41"/>
  <c r="J31" i="41"/>
  <c r="R33" i="41"/>
  <c r="J34" i="41"/>
  <c r="R36" i="41"/>
  <c r="J19" i="42"/>
  <c r="J33" i="42"/>
  <c r="J37" i="42"/>
  <c r="J47" i="42"/>
  <c r="J53" i="42"/>
  <c r="J61" i="42"/>
  <c r="J75" i="42"/>
  <c r="J85" i="42"/>
  <c r="J91" i="42"/>
  <c r="J21" i="43"/>
  <c r="R29" i="43"/>
  <c r="V16" i="44"/>
  <c r="V21" i="44"/>
  <c r="R22" i="44"/>
  <c r="X24" i="44"/>
  <c r="R31" i="44"/>
  <c r="F78" i="45"/>
  <c r="F69" i="45"/>
  <c r="F65" i="45"/>
  <c r="F61" i="45"/>
  <c r="F58" i="45"/>
  <c r="F53" i="45"/>
  <c r="F50" i="45"/>
  <c r="F45" i="45"/>
  <c r="F42" i="45"/>
  <c r="F38" i="45"/>
  <c r="F26" i="45"/>
  <c r="F18" i="45"/>
  <c r="F84" i="45"/>
  <c r="F81" i="45"/>
  <c r="F77" i="45"/>
  <c r="F37" i="45"/>
  <c r="F33" i="45"/>
  <c r="F25" i="45"/>
  <c r="F76" i="45"/>
  <c r="F71" i="45"/>
  <c r="F68" i="45"/>
  <c r="F64" i="45"/>
  <c r="F60" i="45"/>
  <c r="F55" i="45"/>
  <c r="F52" i="45"/>
  <c r="F47" i="45"/>
  <c r="F44" i="45"/>
  <c r="F36" i="45"/>
  <c r="F32" i="45"/>
  <c r="F23" i="45"/>
  <c r="F88" i="45"/>
  <c r="F83" i="45"/>
  <c r="F75" i="45"/>
  <c r="F67" i="45"/>
  <c r="F63" i="45"/>
  <c r="F35" i="45"/>
  <c r="F31" i="45"/>
  <c r="F92" i="45"/>
  <c r="F86" i="45"/>
  <c r="F74" i="45"/>
  <c r="F70" i="45"/>
  <c r="F66" i="45"/>
  <c r="F62" i="45"/>
  <c r="F57" i="45"/>
  <c r="F54" i="45"/>
  <c r="F49" i="45"/>
  <c r="F46" i="45"/>
  <c r="F41" i="45"/>
  <c r="F30" i="45"/>
  <c r="F85" i="45"/>
  <c r="F80" i="45"/>
  <c r="F73" i="45"/>
  <c r="F29" i="45"/>
  <c r="F24" i="45"/>
  <c r="F72" i="45"/>
  <c r="F59" i="45"/>
  <c r="F56" i="45"/>
  <c r="F51" i="45"/>
  <c r="F48" i="45"/>
  <c r="F43" i="45"/>
  <c r="F40" i="45"/>
  <c r="F28" i="45"/>
  <c r="F21" i="45"/>
  <c r="L12" i="45"/>
  <c r="F82" i="45"/>
  <c r="F79" i="45"/>
  <c r="F39" i="45"/>
  <c r="F34" i="45"/>
  <c r="F27" i="45"/>
  <c r="D21" i="45"/>
  <c r="F19" i="45"/>
  <c r="N23" i="45"/>
  <c r="Z45" i="45"/>
  <c r="V34" i="39"/>
  <c r="V42" i="39"/>
  <c r="V46" i="39"/>
  <c r="V50" i="39"/>
  <c r="V58" i="39"/>
  <c r="V70" i="39"/>
  <c r="V86" i="39"/>
  <c r="V94" i="39"/>
  <c r="V108" i="39"/>
  <c r="J16" i="41"/>
  <c r="J34" i="42"/>
  <c r="J38" i="42"/>
  <c r="J42" i="42"/>
  <c r="J56" i="42"/>
  <c r="J64" i="42"/>
  <c r="J68" i="42"/>
  <c r="J78" i="42"/>
  <c r="J86" i="42"/>
  <c r="J98" i="42"/>
  <c r="J104" i="42"/>
  <c r="J81" i="45"/>
  <c r="J77" i="45"/>
  <c r="J71" i="45"/>
  <c r="J55" i="45"/>
  <c r="J47" i="45"/>
  <c r="J37" i="45"/>
  <c r="J33" i="45"/>
  <c r="J25" i="45"/>
  <c r="J23" i="45"/>
  <c r="J88" i="45"/>
  <c r="J76" i="45"/>
  <c r="J68" i="45"/>
  <c r="J64" i="45"/>
  <c r="J60" i="45"/>
  <c r="J52" i="45"/>
  <c r="J44" i="45"/>
  <c r="J36" i="45"/>
  <c r="J32" i="45"/>
  <c r="J83" i="45"/>
  <c r="J75" i="45"/>
  <c r="J67" i="45"/>
  <c r="J63" i="45"/>
  <c r="J57" i="45"/>
  <c r="J49" i="45"/>
  <c r="J41" i="45"/>
  <c r="J35" i="45"/>
  <c r="J31" i="45"/>
  <c r="J17" i="45"/>
  <c r="J92" i="45"/>
  <c r="J86" i="45"/>
  <c r="J80" i="45"/>
  <c r="J74" i="45"/>
  <c r="J70" i="45"/>
  <c r="J66" i="45"/>
  <c r="J62" i="45"/>
  <c r="J54" i="45"/>
  <c r="J46" i="45"/>
  <c r="J30" i="45"/>
  <c r="J24" i="45"/>
  <c r="J85" i="45"/>
  <c r="J73" i="45"/>
  <c r="J59" i="45"/>
  <c r="J51" i="45"/>
  <c r="J43" i="45"/>
  <c r="J29" i="45"/>
  <c r="J82" i="45"/>
  <c r="J72" i="45"/>
  <c r="J56" i="45"/>
  <c r="J48" i="45"/>
  <c r="J40" i="45"/>
  <c r="J34" i="45"/>
  <c r="J28" i="45"/>
  <c r="H21" i="45"/>
  <c r="N12" i="45"/>
  <c r="J79" i="45"/>
  <c r="J69" i="45"/>
  <c r="J65" i="45"/>
  <c r="J61" i="45"/>
  <c r="J53" i="45"/>
  <c r="J45" i="45"/>
  <c r="J39" i="45"/>
  <c r="J27" i="45"/>
  <c r="J19" i="45"/>
  <c r="J84" i="45"/>
  <c r="J78" i="45"/>
  <c r="J58" i="45"/>
  <c r="J50" i="45"/>
  <c r="J42" i="45"/>
  <c r="J38" i="45"/>
  <c r="J26" i="45"/>
  <c r="J18" i="45"/>
  <c r="J16" i="35"/>
  <c r="T105" i="36"/>
  <c r="X105" i="36" s="1"/>
  <c r="Z12" i="37"/>
  <c r="F16" i="37"/>
  <c r="V16" i="37"/>
  <c r="F27" i="38"/>
  <c r="F31" i="38"/>
  <c r="V27" i="39"/>
  <c r="V35" i="39"/>
  <c r="V47" i="39"/>
  <c r="V55" i="39"/>
  <c r="V59" i="39"/>
  <c r="V67" i="39"/>
  <c r="V79" i="39"/>
  <c r="V87" i="39"/>
  <c r="V95" i="39"/>
  <c r="V103" i="39"/>
  <c r="V113" i="39"/>
  <c r="N12" i="40"/>
  <c r="L12" i="41"/>
  <c r="F15" i="41"/>
  <c r="V15" i="41"/>
  <c r="D18" i="41"/>
  <c r="T18" i="41"/>
  <c r="F25" i="41"/>
  <c r="V25" i="41"/>
  <c r="F29" i="41"/>
  <c r="V29" i="41"/>
  <c r="F33" i="41"/>
  <c r="V33" i="41"/>
  <c r="J25" i="42"/>
  <c r="J27" i="42"/>
  <c r="J39" i="42"/>
  <c r="J45" i="42"/>
  <c r="J51" i="42"/>
  <c r="J59" i="42"/>
  <c r="J71" i="42"/>
  <c r="J79" i="42"/>
  <c r="J89" i="42"/>
  <c r="F36" i="43"/>
  <c r="F33" i="43"/>
  <c r="F29" i="43"/>
  <c r="R15" i="43"/>
  <c r="P18" i="43"/>
  <c r="R25" i="43"/>
  <c r="J27" i="43"/>
  <c r="V34" i="43"/>
  <c r="V24" i="44"/>
  <c r="R23" i="45"/>
  <c r="N55" i="45"/>
  <c r="N39" i="48"/>
  <c r="J16" i="44"/>
  <c r="J20" i="44"/>
  <c r="F22" i="44"/>
  <c r="N12" i="46"/>
  <c r="F18" i="46"/>
  <c r="J22" i="46"/>
  <c r="R24" i="46"/>
  <c r="L12" i="47"/>
  <c r="F15" i="47"/>
  <c r="V15" i="47"/>
  <c r="D18" i="47"/>
  <c r="T18" i="47"/>
  <c r="X18" i="47" s="1"/>
  <c r="F25" i="47"/>
  <c r="V25" i="47"/>
  <c r="F29" i="47"/>
  <c r="V29" i="47"/>
  <c r="F33" i="47"/>
  <c r="V33" i="47"/>
  <c r="F36" i="47"/>
  <c r="V36" i="47"/>
  <c r="L12" i="48"/>
  <c r="N12" i="48" s="1"/>
  <c r="F15" i="48"/>
  <c r="V15" i="48"/>
  <c r="F19" i="48"/>
  <c r="V19" i="48"/>
  <c r="V23" i="48"/>
  <c r="J27" i="48"/>
  <c r="F28" i="48"/>
  <c r="J31" i="48"/>
  <c r="F32" i="48"/>
  <c r="V35" i="48"/>
  <c r="J37" i="48"/>
  <c r="F40" i="48"/>
  <c r="F44" i="48"/>
  <c r="V46" i="48"/>
  <c r="V54" i="48"/>
  <c r="V59" i="48"/>
  <c r="L12" i="49"/>
  <c r="X30" i="51"/>
  <c r="N35" i="51"/>
  <c r="L35" i="51"/>
  <c r="Z22" i="52"/>
  <c r="X22" i="52"/>
  <c r="X18" i="55"/>
  <c r="Z18" i="55" s="1"/>
  <c r="V52" i="56"/>
  <c r="V48" i="56"/>
  <c r="V44" i="56"/>
  <c r="V54" i="56"/>
  <c r="V38" i="56"/>
  <c r="V57" i="56"/>
  <c r="V53" i="56"/>
  <c r="V41" i="56"/>
  <c r="V33" i="56"/>
  <c r="V29" i="56"/>
  <c r="V25" i="56"/>
  <c r="T16" i="56"/>
  <c r="V56" i="56"/>
  <c r="V40" i="56"/>
  <c r="V32" i="56"/>
  <c r="V28" i="56"/>
  <c r="V24" i="56"/>
  <c r="V70" i="56"/>
  <c r="V65" i="56"/>
  <c r="V63" i="56"/>
  <c r="V59" i="56"/>
  <c r="V47" i="56"/>
  <c r="V43" i="56"/>
  <c r="V35" i="56"/>
  <c r="V23" i="56"/>
  <c r="V58" i="56"/>
  <c r="V50" i="56"/>
  <c r="V46" i="56"/>
  <c r="V42" i="56"/>
  <c r="V34" i="56"/>
  <c r="V22" i="56"/>
  <c r="V18" i="56"/>
  <c r="V14" i="56"/>
  <c r="V31" i="56"/>
  <c r="V30" i="56"/>
  <c r="V67" i="56"/>
  <c r="V20" i="56"/>
  <c r="V19" i="56"/>
  <c r="V36" i="56"/>
  <c r="V26" i="56"/>
  <c r="V21" i="56"/>
  <c r="Z12" i="56"/>
  <c r="V55" i="56"/>
  <c r="V37" i="56"/>
  <c r="V27" i="56"/>
  <c r="V16" i="56"/>
  <c r="X12" i="56"/>
  <c r="V61" i="56"/>
  <c r="L12" i="44"/>
  <c r="F15" i="44"/>
  <c r="D18" i="44"/>
  <c r="F25" i="44"/>
  <c r="F29" i="44"/>
  <c r="F33" i="44"/>
  <c r="F36" i="44"/>
  <c r="J15" i="46"/>
  <c r="Z15" i="46"/>
  <c r="H18" i="46"/>
  <c r="F21" i="46"/>
  <c r="J25" i="46"/>
  <c r="R27" i="46"/>
  <c r="J29" i="46"/>
  <c r="R31" i="46"/>
  <c r="J33" i="46"/>
  <c r="R34" i="46"/>
  <c r="J36" i="46"/>
  <c r="F18" i="47"/>
  <c r="V18" i="47"/>
  <c r="F21" i="48"/>
  <c r="V24" i="48"/>
  <c r="J28" i="48"/>
  <c r="F29" i="48"/>
  <c r="J32" i="48"/>
  <c r="F33" i="48"/>
  <c r="V36" i="48"/>
  <c r="J40" i="48"/>
  <c r="N44" i="48"/>
  <c r="L46" i="48"/>
  <c r="N46" i="48" s="1"/>
  <c r="V47" i="48"/>
  <c r="J51" i="48"/>
  <c r="F52" i="48"/>
  <c r="F53" i="48"/>
  <c r="F54" i="48"/>
  <c r="V60" i="48"/>
  <c r="P12" i="51"/>
  <c r="X14" i="51"/>
  <c r="Z30" i="51"/>
  <c r="N93" i="51"/>
  <c r="L93" i="51"/>
  <c r="Z27" i="52"/>
  <c r="H22" i="54"/>
  <c r="N16" i="54"/>
  <c r="J22" i="44"/>
  <c r="R16" i="46"/>
  <c r="J18" i="46"/>
  <c r="R20" i="46"/>
  <c r="F24" i="46"/>
  <c r="V24" i="46"/>
  <c r="J15" i="47"/>
  <c r="H18" i="47"/>
  <c r="F21" i="47"/>
  <c r="V21" i="47"/>
  <c r="J25" i="47"/>
  <c r="R27" i="47"/>
  <c r="J29" i="47"/>
  <c r="R31" i="47"/>
  <c r="J33" i="47"/>
  <c r="J36" i="47"/>
  <c r="P12" i="48"/>
  <c r="J15" i="48"/>
  <c r="J19" i="48"/>
  <c r="J21" i="48"/>
  <c r="F22" i="48"/>
  <c r="V25" i="48"/>
  <c r="J29" i="48"/>
  <c r="J33" i="48"/>
  <c r="F34" i="48"/>
  <c r="F38" i="48"/>
  <c r="F41" i="48"/>
  <c r="V41" i="48"/>
  <c r="V42" i="48"/>
  <c r="J44" i="48"/>
  <c r="J45" i="48"/>
  <c r="F46" i="48"/>
  <c r="V49" i="48"/>
  <c r="J52" i="48"/>
  <c r="N34" i="50"/>
  <c r="L34" i="50"/>
  <c r="N13" i="51"/>
  <c r="Z14" i="51"/>
  <c r="H12" i="51"/>
  <c r="N17" i="51"/>
  <c r="Z18" i="51"/>
  <c r="X22" i="51"/>
  <c r="Z22" i="51" s="1"/>
  <c r="Z26" i="51"/>
  <c r="N28" i="51"/>
  <c r="Z35" i="51"/>
  <c r="Z51" i="51"/>
  <c r="X77" i="51"/>
  <c r="Z77" i="51" s="1"/>
  <c r="L79" i="51"/>
  <c r="N79" i="51" s="1"/>
  <c r="X16" i="55"/>
  <c r="J21" i="46"/>
  <c r="F24" i="47"/>
  <c r="V24" i="47"/>
  <c r="V57" i="48"/>
  <c r="V45" i="48"/>
  <c r="V56" i="48"/>
  <c r="V64" i="48"/>
  <c r="V52" i="48"/>
  <c r="V48" i="48"/>
  <c r="T17" i="48"/>
  <c r="V17" i="48" s="1"/>
  <c r="V26" i="48"/>
  <c r="F30" i="48"/>
  <c r="V30" i="48"/>
  <c r="F35" i="48"/>
  <c r="J38" i="48"/>
  <c r="V43" i="48"/>
  <c r="F55" i="48"/>
  <c r="F59" i="48"/>
  <c r="D62" i="48"/>
  <c r="Z22" i="49"/>
  <c r="X22" i="49"/>
  <c r="V51" i="56"/>
  <c r="T71" i="58"/>
  <c r="X13" i="46"/>
  <c r="F16" i="46"/>
  <c r="F20" i="46"/>
  <c r="R22" i="46"/>
  <c r="J24" i="46"/>
  <c r="X12" i="47"/>
  <c r="J21" i="47"/>
  <c r="F27" i="47"/>
  <c r="V27" i="47"/>
  <c r="F31" i="47"/>
  <c r="V31" i="47"/>
  <c r="F34" i="47"/>
  <c r="V34" i="47"/>
  <c r="N15" i="48"/>
  <c r="F17" i="48"/>
  <c r="J23" i="48"/>
  <c r="F24" i="48"/>
  <c r="V27" i="48"/>
  <c r="V31" i="48"/>
  <c r="J35" i="48"/>
  <c r="F36" i="48"/>
  <c r="F39" i="48"/>
  <c r="V39" i="48"/>
  <c r="J41" i="48"/>
  <c r="X44" i="48"/>
  <c r="Z44" i="48" s="1"/>
  <c r="J46" i="48"/>
  <c r="F47" i="48"/>
  <c r="X48" i="48"/>
  <c r="Z48" i="48" s="1"/>
  <c r="X51" i="48"/>
  <c r="Z51" i="48" s="1"/>
  <c r="V53" i="48"/>
  <c r="J55" i="48"/>
  <c r="F56" i="48"/>
  <c r="F60" i="48"/>
  <c r="X13" i="50"/>
  <c r="T12" i="51"/>
  <c r="N20" i="51"/>
  <c r="N16" i="52"/>
  <c r="L16" i="52"/>
  <c r="N20" i="54"/>
  <c r="L20" i="54"/>
  <c r="N29" i="54"/>
  <c r="L29" i="54"/>
  <c r="F23" i="55"/>
  <c r="F37" i="55"/>
  <c r="F30" i="55"/>
  <c r="F22" i="55"/>
  <c r="F19" i="55"/>
  <c r="F16" i="55"/>
  <c r="F28" i="55"/>
  <c r="F26" i="55"/>
  <c r="F21" i="55"/>
  <c r="D16" i="55"/>
  <c r="F34" i="55"/>
  <c r="F32" i="55"/>
  <c r="F25" i="55"/>
  <c r="F24" i="55"/>
  <c r="F20" i="55"/>
  <c r="L12" i="55"/>
  <c r="F18" i="55"/>
  <c r="F14" i="55"/>
  <c r="N18" i="55"/>
  <c r="P63" i="56"/>
  <c r="V49" i="56"/>
  <c r="H44" i="61"/>
  <c r="N16" i="61"/>
  <c r="Z19" i="61"/>
  <c r="J21" i="44"/>
  <c r="F27" i="44"/>
  <c r="F31" i="44"/>
  <c r="L24" i="45"/>
  <c r="R15" i="46"/>
  <c r="P18" i="46"/>
  <c r="R25" i="46"/>
  <c r="J27" i="46"/>
  <c r="R29" i="46"/>
  <c r="J31" i="46"/>
  <c r="R33" i="46"/>
  <c r="J34" i="46"/>
  <c r="R36" i="46"/>
  <c r="Z12" i="47"/>
  <c r="F16" i="47"/>
  <c r="V16" i="47"/>
  <c r="F20" i="47"/>
  <c r="V20" i="47"/>
  <c r="J24" i="47"/>
  <c r="F20" i="48"/>
  <c r="V20" i="48"/>
  <c r="J24" i="48"/>
  <c r="V28" i="48"/>
  <c r="J30" i="48"/>
  <c r="V32" i="48"/>
  <c r="J36" i="48"/>
  <c r="V40" i="48"/>
  <c r="J47" i="48"/>
  <c r="J57" i="48"/>
  <c r="N60" i="48"/>
  <c r="H59" i="48"/>
  <c r="X20" i="50"/>
  <c r="X13" i="51"/>
  <c r="Z13" i="51" s="1"/>
  <c r="Z17" i="51"/>
  <c r="Z21" i="51"/>
  <c r="L90" i="51"/>
  <c r="F20" i="52"/>
  <c r="F16" i="52"/>
  <c r="F34" i="52"/>
  <c r="F31" i="52"/>
  <c r="F27" i="52"/>
  <c r="F24" i="52"/>
  <c r="F21" i="52"/>
  <c r="F18" i="52"/>
  <c r="F36" i="52"/>
  <c r="F33" i="52"/>
  <c r="F29" i="52"/>
  <c r="F25" i="52"/>
  <c r="D18" i="52"/>
  <c r="F15" i="52"/>
  <c r="L12" i="52"/>
  <c r="F22" i="52"/>
  <c r="N20" i="52"/>
  <c r="L20" i="52"/>
  <c r="P16" i="54"/>
  <c r="X14" i="54"/>
  <c r="N23" i="55"/>
  <c r="V45" i="56"/>
  <c r="J16" i="46"/>
  <c r="J27" i="47"/>
  <c r="J31" i="47"/>
  <c r="J34" i="47"/>
  <c r="F64" i="48"/>
  <c r="F50" i="48"/>
  <c r="F62" i="48"/>
  <c r="F57" i="48"/>
  <c r="F48" i="48"/>
  <c r="F45" i="48"/>
  <c r="V21" i="48"/>
  <c r="J25" i="48"/>
  <c r="F26" i="48"/>
  <c r="V29" i="48"/>
  <c r="V33" i="48"/>
  <c r="F37" i="48"/>
  <c r="V37" i="48"/>
  <c r="J39" i="48"/>
  <c r="F42" i="48"/>
  <c r="F43" i="48"/>
  <c r="J48" i="48"/>
  <c r="J50" i="48"/>
  <c r="V51" i="48"/>
  <c r="F34" i="49"/>
  <c r="F31" i="49"/>
  <c r="F27" i="49"/>
  <c r="F24" i="49"/>
  <c r="F21" i="49"/>
  <c r="F18" i="49"/>
  <c r="F36" i="49"/>
  <c r="F33" i="49"/>
  <c r="F29" i="49"/>
  <c r="F25" i="49"/>
  <c r="F22" i="49"/>
  <c r="F20" i="49"/>
  <c r="J27" i="44"/>
  <c r="J31" i="44"/>
  <c r="L12" i="46"/>
  <c r="F15" i="46"/>
  <c r="D18" i="46"/>
  <c r="F25" i="46"/>
  <c r="V25" i="46"/>
  <c r="F29" i="46"/>
  <c r="V29" i="46"/>
  <c r="F33" i="46"/>
  <c r="V33" i="46"/>
  <c r="J16" i="47"/>
  <c r="J53" i="48"/>
  <c r="J49" i="48"/>
  <c r="J60" i="48"/>
  <c r="J54" i="48"/>
  <c r="J20" i="48"/>
  <c r="V22" i="48"/>
  <c r="J26" i="48"/>
  <c r="F27" i="48"/>
  <c r="F31" i="48"/>
  <c r="V34" i="48"/>
  <c r="V38" i="48"/>
  <c r="J42" i="48"/>
  <c r="J43" i="48"/>
  <c r="V44" i="48"/>
  <c r="F49" i="48"/>
  <c r="F51" i="48"/>
  <c r="V55" i="48"/>
  <c r="J64" i="48"/>
  <c r="N13" i="49"/>
  <c r="L13" i="49"/>
  <c r="F16" i="49"/>
  <c r="D18" i="49"/>
  <c r="N20" i="49"/>
  <c r="L20" i="49"/>
  <c r="L18" i="51"/>
  <c r="N18" i="51" s="1"/>
  <c r="L26" i="51"/>
  <c r="N30" i="51"/>
  <c r="Z68" i="51"/>
  <c r="Z87" i="51"/>
  <c r="N34" i="53"/>
  <c r="L34" i="53"/>
  <c r="Z14" i="55"/>
  <c r="X14" i="55"/>
  <c r="P34" i="55"/>
  <c r="V39" i="56"/>
  <c r="P46" i="60"/>
  <c r="J16" i="49"/>
  <c r="R18" i="49"/>
  <c r="J20" i="49"/>
  <c r="V22" i="49"/>
  <c r="R15" i="50"/>
  <c r="P18" i="50"/>
  <c r="R25" i="50"/>
  <c r="J27" i="50"/>
  <c r="R29" i="50"/>
  <c r="J31" i="50"/>
  <c r="R33" i="50"/>
  <c r="J34" i="50"/>
  <c r="R36" i="50"/>
  <c r="D12" i="51"/>
  <c r="H90" i="51"/>
  <c r="J16" i="52"/>
  <c r="R18" i="52"/>
  <c r="J20" i="52"/>
  <c r="V22" i="52"/>
  <c r="R15" i="53"/>
  <c r="P18" i="53"/>
  <c r="R25" i="53"/>
  <c r="J27" i="53"/>
  <c r="R29" i="53"/>
  <c r="J31" i="53"/>
  <c r="R33" i="53"/>
  <c r="J34" i="53"/>
  <c r="R36" i="53"/>
  <c r="Z12" i="54"/>
  <c r="J16" i="54"/>
  <c r="R18" i="54"/>
  <c r="J20" i="54"/>
  <c r="R22" i="54"/>
  <c r="J26" i="54"/>
  <c r="R28" i="54"/>
  <c r="J29" i="54"/>
  <c r="J25" i="55"/>
  <c r="J34" i="55"/>
  <c r="J28" i="55"/>
  <c r="J24" i="55"/>
  <c r="V14" i="55"/>
  <c r="V18" i="55"/>
  <c r="J23" i="55"/>
  <c r="V25" i="55"/>
  <c r="F25" i="56"/>
  <c r="Z43" i="58"/>
  <c r="N33" i="59"/>
  <c r="N37" i="59"/>
  <c r="N19" i="60"/>
  <c r="N32" i="60"/>
  <c r="X35" i="61"/>
  <c r="N17" i="62"/>
  <c r="X31" i="62"/>
  <c r="Z31" i="62" s="1"/>
  <c r="H12" i="64"/>
  <c r="N13" i="64"/>
  <c r="V29" i="49"/>
  <c r="V33" i="49"/>
  <c r="V36" i="49"/>
  <c r="J16" i="50"/>
  <c r="J20" i="50"/>
  <c r="V25" i="52"/>
  <c r="V29" i="52"/>
  <c r="V33" i="52"/>
  <c r="V36" i="52"/>
  <c r="J16" i="53"/>
  <c r="J20" i="53"/>
  <c r="X14" i="56"/>
  <c r="Z18" i="56"/>
  <c r="N29" i="58"/>
  <c r="V18" i="49"/>
  <c r="R24" i="49"/>
  <c r="L12" i="50"/>
  <c r="D18" i="50"/>
  <c r="T18" i="50"/>
  <c r="R21" i="50"/>
  <c r="X16" i="51"/>
  <c r="Z16" i="51" s="1"/>
  <c r="L20" i="51"/>
  <c r="X24" i="51"/>
  <c r="Z24" i="51" s="1"/>
  <c r="L28" i="51"/>
  <c r="X32" i="51"/>
  <c r="Z32" i="51" s="1"/>
  <c r="L13" i="52"/>
  <c r="V18" i="52"/>
  <c r="R24" i="52"/>
  <c r="L12" i="53"/>
  <c r="D18" i="53"/>
  <c r="T18" i="53"/>
  <c r="R21" i="53"/>
  <c r="F14" i="54"/>
  <c r="V14" i="54"/>
  <c r="F18" i="54"/>
  <c r="V18" i="54"/>
  <c r="F22" i="54"/>
  <c r="V22" i="54"/>
  <c r="V24" i="54"/>
  <c r="F28" i="54"/>
  <c r="V28" i="54"/>
  <c r="F31" i="54"/>
  <c r="V31" i="54"/>
  <c r="R16" i="55"/>
  <c r="V21" i="55"/>
  <c r="F57" i="56"/>
  <c r="F48" i="56"/>
  <c r="F44" i="56"/>
  <c r="F65" i="56"/>
  <c r="F59" i="56"/>
  <c r="F47" i="56"/>
  <c r="F43" i="56"/>
  <c r="F38" i="56"/>
  <c r="F35" i="56"/>
  <c r="F53" i="56"/>
  <c r="F50" i="56"/>
  <c r="F46" i="56"/>
  <c r="F22" i="56"/>
  <c r="D16" i="56"/>
  <c r="F56" i="56"/>
  <c r="F49" i="56"/>
  <c r="F45" i="56"/>
  <c r="F40" i="56"/>
  <c r="F37" i="56"/>
  <c r="F32" i="56"/>
  <c r="F28" i="56"/>
  <c r="F21" i="56"/>
  <c r="F70" i="56"/>
  <c r="F63" i="56"/>
  <c r="F52" i="56"/>
  <c r="F20" i="56"/>
  <c r="F58" i="56"/>
  <c r="F55" i="56"/>
  <c r="F42" i="56"/>
  <c r="F39" i="56"/>
  <c r="F34" i="56"/>
  <c r="F31" i="56"/>
  <c r="F27" i="56"/>
  <c r="F18" i="56"/>
  <c r="F14" i="56"/>
  <c r="L14" i="56"/>
  <c r="F16" i="56"/>
  <c r="F33" i="56"/>
  <c r="X44" i="56"/>
  <c r="Z44" i="56" s="1"/>
  <c r="X48" i="56"/>
  <c r="Z48" i="56" s="1"/>
  <c r="F51" i="56"/>
  <c r="F54" i="56"/>
  <c r="X58" i="56"/>
  <c r="F61" i="56"/>
  <c r="J66" i="57"/>
  <c r="J59" i="57"/>
  <c r="J49" i="57"/>
  <c r="J39" i="57"/>
  <c r="J33" i="57"/>
  <c r="J29" i="57"/>
  <c r="J25" i="57"/>
  <c r="J19" i="57"/>
  <c r="J54" i="57"/>
  <c r="J48" i="57"/>
  <c r="J24" i="57"/>
  <c r="J51" i="57"/>
  <c r="J45" i="57"/>
  <c r="J41" i="57"/>
  <c r="J35" i="57"/>
  <c r="J23" i="57"/>
  <c r="H16" i="57"/>
  <c r="J38" i="57"/>
  <c r="J32" i="57"/>
  <c r="J28" i="57"/>
  <c r="J22" i="57"/>
  <c r="J63" i="57"/>
  <c r="J57" i="57"/>
  <c r="J53" i="57"/>
  <c r="J47" i="57"/>
  <c r="J37" i="57"/>
  <c r="J21" i="57"/>
  <c r="J50" i="57"/>
  <c r="J44" i="57"/>
  <c r="J40" i="57"/>
  <c r="J34" i="57"/>
  <c r="J20" i="57"/>
  <c r="J18" i="57"/>
  <c r="J14" i="57"/>
  <c r="N12" i="57"/>
  <c r="J61" i="57"/>
  <c r="J55" i="57"/>
  <c r="J43" i="57"/>
  <c r="J31" i="57"/>
  <c r="J27" i="57"/>
  <c r="N19" i="57"/>
  <c r="N39" i="57"/>
  <c r="Z41" i="57"/>
  <c r="Z19" i="59"/>
  <c r="N35" i="59"/>
  <c r="D50" i="60"/>
  <c r="L46" i="60"/>
  <c r="N46" i="60" s="1"/>
  <c r="L44" i="61"/>
  <c r="R91" i="62"/>
  <c r="R79" i="62"/>
  <c r="R76" i="62"/>
  <c r="R72" i="62"/>
  <c r="R48" i="62"/>
  <c r="R35" i="62"/>
  <c r="R23" i="62"/>
  <c r="R90" i="62"/>
  <c r="R87" i="62"/>
  <c r="R67" i="62"/>
  <c r="R62" i="62"/>
  <c r="R59" i="62"/>
  <c r="R54" i="62"/>
  <c r="R51" i="62"/>
  <c r="R42" i="62"/>
  <c r="R39" i="62"/>
  <c r="R34" i="62"/>
  <c r="R30" i="62"/>
  <c r="R22" i="62"/>
  <c r="R19" i="62"/>
  <c r="R102" i="62"/>
  <c r="R96" i="62"/>
  <c r="R93" i="62"/>
  <c r="R78" i="62"/>
  <c r="R33" i="62"/>
  <c r="R29" i="62"/>
  <c r="R21" i="62"/>
  <c r="R89" i="62"/>
  <c r="R84" i="62"/>
  <c r="R64" i="62"/>
  <c r="R61" i="62"/>
  <c r="R56" i="62"/>
  <c r="R53" i="62"/>
  <c r="R44" i="62"/>
  <c r="R41" i="62"/>
  <c r="R32" i="62"/>
  <c r="R28" i="62"/>
  <c r="X12" i="62"/>
  <c r="R92" i="62"/>
  <c r="R83" i="62"/>
  <c r="R75" i="62"/>
  <c r="R100" i="62"/>
  <c r="R86" i="62"/>
  <c r="R105" i="62"/>
  <c r="R98" i="62"/>
  <c r="R81" i="62"/>
  <c r="R77" i="62"/>
  <c r="R73" i="62"/>
  <c r="R69" i="62"/>
  <c r="R49" i="62"/>
  <c r="R37" i="62"/>
  <c r="R25" i="62"/>
  <c r="R80" i="62"/>
  <c r="R58" i="62"/>
  <c r="R40" i="62"/>
  <c r="R31" i="62"/>
  <c r="R63" i="62"/>
  <c r="R38" i="62"/>
  <c r="R27" i="62"/>
  <c r="R26" i="62"/>
  <c r="R52" i="62"/>
  <c r="R43" i="62"/>
  <c r="R20" i="62"/>
  <c r="R88" i="62"/>
  <c r="R70" i="62"/>
  <c r="R55" i="62"/>
  <c r="R17" i="62"/>
  <c r="R95" i="62"/>
  <c r="R74" i="62"/>
  <c r="R71" i="62"/>
  <c r="R65" i="62"/>
  <c r="R50" i="62"/>
  <c r="R36" i="62"/>
  <c r="R24" i="62"/>
  <c r="P17" i="62"/>
  <c r="R15" i="62"/>
  <c r="R85" i="62"/>
  <c r="R45" i="62"/>
  <c r="R14" i="62"/>
  <c r="R68" i="62"/>
  <c r="R66" i="62"/>
  <c r="R57" i="62"/>
  <c r="R82" i="62"/>
  <c r="Z14" i="66"/>
  <c r="V21" i="49"/>
  <c r="R27" i="49"/>
  <c r="R31" i="49"/>
  <c r="R34" i="49"/>
  <c r="N12" i="50"/>
  <c r="J22" i="50"/>
  <c r="R24" i="50"/>
  <c r="H18" i="52"/>
  <c r="V21" i="52"/>
  <c r="R27" i="52"/>
  <c r="R31" i="52"/>
  <c r="R34" i="52"/>
  <c r="N12" i="53"/>
  <c r="J22" i="53"/>
  <c r="R24" i="53"/>
  <c r="L12" i="54"/>
  <c r="R24" i="55"/>
  <c r="R21" i="55"/>
  <c r="R37" i="55"/>
  <c r="R30" i="55"/>
  <c r="T16" i="55"/>
  <c r="R19" i="55"/>
  <c r="X21" i="55"/>
  <c r="Z21" i="55" s="1"/>
  <c r="H16" i="56"/>
  <c r="L18" i="56"/>
  <c r="N18" i="56" s="1"/>
  <c r="F23" i="56"/>
  <c r="X36" i="56"/>
  <c r="Z36" i="56" s="1"/>
  <c r="F41" i="56"/>
  <c r="Z58" i="56"/>
  <c r="N18" i="57"/>
  <c r="J26" i="57"/>
  <c r="J46" i="57"/>
  <c r="Z33" i="59"/>
  <c r="Z32" i="60"/>
  <c r="N37" i="60"/>
  <c r="R46" i="62"/>
  <c r="R60" i="62"/>
  <c r="H95" i="62"/>
  <c r="H98" i="62" s="1"/>
  <c r="L96" i="62"/>
  <c r="N96" i="62" s="1"/>
  <c r="L15" i="49"/>
  <c r="R16" i="49"/>
  <c r="R20" i="49"/>
  <c r="X21" i="49"/>
  <c r="V24" i="49"/>
  <c r="L25" i="49"/>
  <c r="L29" i="49"/>
  <c r="L33" i="49"/>
  <c r="J15" i="50"/>
  <c r="H18" i="50"/>
  <c r="L22" i="50"/>
  <c r="J25" i="50"/>
  <c r="R27" i="50"/>
  <c r="J29" i="50"/>
  <c r="R31" i="50"/>
  <c r="J33" i="50"/>
  <c r="R34" i="50"/>
  <c r="J36" i="50"/>
  <c r="P90" i="51"/>
  <c r="X90" i="51" s="1"/>
  <c r="Z90" i="51" s="1"/>
  <c r="L15" i="52"/>
  <c r="R16" i="52"/>
  <c r="R20" i="52"/>
  <c r="X21" i="52"/>
  <c r="V24" i="52"/>
  <c r="L25" i="52"/>
  <c r="L29" i="52"/>
  <c r="L33" i="52"/>
  <c r="J15" i="53"/>
  <c r="H18" i="53"/>
  <c r="L22" i="53"/>
  <c r="J25" i="53"/>
  <c r="R27" i="53"/>
  <c r="J29" i="53"/>
  <c r="R31" i="53"/>
  <c r="J33" i="53"/>
  <c r="R34" i="53"/>
  <c r="J36" i="53"/>
  <c r="J28" i="54"/>
  <c r="V23" i="55"/>
  <c r="V37" i="55"/>
  <c r="V32" i="55"/>
  <c r="V30" i="55"/>
  <c r="V16" i="55"/>
  <c r="R23" i="55"/>
  <c r="V24" i="55"/>
  <c r="L19" i="56"/>
  <c r="N19" i="56" s="1"/>
  <c r="X19" i="56"/>
  <c r="Z19" i="56" s="1"/>
  <c r="F30" i="56"/>
  <c r="L36" i="56"/>
  <c r="X42" i="56"/>
  <c r="Z42" i="56" s="1"/>
  <c r="Z16" i="57"/>
  <c r="T59" i="57"/>
  <c r="Z28" i="57"/>
  <c r="J42" i="57"/>
  <c r="D71" i="58"/>
  <c r="Z19" i="58"/>
  <c r="Z41" i="58"/>
  <c r="Z29" i="59"/>
  <c r="H50" i="60"/>
  <c r="Z18" i="60"/>
  <c r="N19" i="61"/>
  <c r="V27" i="49"/>
  <c r="V31" i="49"/>
  <c r="R16" i="50"/>
  <c r="V27" i="52"/>
  <c r="V31" i="52"/>
  <c r="R16" i="53"/>
  <c r="D16" i="54"/>
  <c r="T16" i="54"/>
  <c r="X12" i="55"/>
  <c r="H16" i="55"/>
  <c r="V19" i="55"/>
  <c r="R20" i="55"/>
  <c r="J21" i="55"/>
  <c r="R34" i="55"/>
  <c r="F19" i="56"/>
  <c r="F29" i="56"/>
  <c r="Z34" i="56"/>
  <c r="F36" i="56"/>
  <c r="N38" i="56"/>
  <c r="L44" i="56"/>
  <c r="N44" i="56" s="1"/>
  <c r="J30" i="57"/>
  <c r="Z34" i="57"/>
  <c r="N36" i="57"/>
  <c r="Z47" i="57"/>
  <c r="Z50" i="57"/>
  <c r="X60" i="58"/>
  <c r="N62" i="58"/>
  <c r="Z35" i="59"/>
  <c r="Z46" i="59"/>
  <c r="N34" i="60"/>
  <c r="N41" i="60"/>
  <c r="V51" i="61"/>
  <c r="V37" i="61"/>
  <c r="V29" i="61"/>
  <c r="V25" i="61"/>
  <c r="T16" i="61"/>
  <c r="V48" i="61"/>
  <c r="V40" i="61"/>
  <c r="V32" i="61"/>
  <c r="V28" i="61"/>
  <c r="V24" i="61"/>
  <c r="V39" i="61"/>
  <c r="V31" i="61"/>
  <c r="V27" i="61"/>
  <c r="V23" i="61"/>
  <c r="V46" i="61"/>
  <c r="V44" i="61"/>
  <c r="V34" i="61"/>
  <c r="V22" i="61"/>
  <c r="V18" i="61"/>
  <c r="V14" i="61"/>
  <c r="V33" i="61"/>
  <c r="V21" i="61"/>
  <c r="V42" i="61"/>
  <c r="V36" i="61"/>
  <c r="V20" i="61"/>
  <c r="Z12" i="61"/>
  <c r="V35" i="61"/>
  <c r="V19" i="61"/>
  <c r="L45" i="62"/>
  <c r="N45" i="62" s="1"/>
  <c r="V16" i="54"/>
  <c r="V20" i="54"/>
  <c r="V26" i="54"/>
  <c r="L48" i="56"/>
  <c r="N48" i="56" s="1"/>
  <c r="N16" i="58"/>
  <c r="H67" i="58"/>
  <c r="L67" i="58" s="1"/>
  <c r="Z60" i="58"/>
  <c r="X19" i="61"/>
  <c r="R23" i="56"/>
  <c r="J26" i="56"/>
  <c r="R28" i="56"/>
  <c r="J30" i="56"/>
  <c r="R32" i="56"/>
  <c r="R35" i="56"/>
  <c r="J36" i="56"/>
  <c r="R40" i="56"/>
  <c r="R43" i="56"/>
  <c r="J44" i="56"/>
  <c r="R47" i="56"/>
  <c r="J48" i="56"/>
  <c r="J54" i="56"/>
  <c r="R56" i="56"/>
  <c r="R59" i="56"/>
  <c r="R65" i="56"/>
  <c r="L12" i="57"/>
  <c r="P16" i="57"/>
  <c r="F20" i="57"/>
  <c r="V23" i="57"/>
  <c r="R24" i="57"/>
  <c r="V35" i="57"/>
  <c r="F40" i="57"/>
  <c r="R41" i="57"/>
  <c r="F44" i="57"/>
  <c r="R45" i="57"/>
  <c r="F47" i="57"/>
  <c r="V47" i="57"/>
  <c r="R48" i="57"/>
  <c r="V51" i="57"/>
  <c r="F57" i="57"/>
  <c r="V57" i="57"/>
  <c r="F63" i="57"/>
  <c r="V63" i="57"/>
  <c r="Z12" i="58"/>
  <c r="R14" i="58"/>
  <c r="J16" i="58"/>
  <c r="Z16" i="58"/>
  <c r="R18" i="58"/>
  <c r="V20" i="58"/>
  <c r="R21" i="58"/>
  <c r="J24" i="58"/>
  <c r="F25" i="58"/>
  <c r="V28" i="58"/>
  <c r="V32" i="58"/>
  <c r="R33" i="58"/>
  <c r="V36" i="58"/>
  <c r="J40" i="58"/>
  <c r="V44" i="58"/>
  <c r="F49" i="58"/>
  <c r="J52" i="58"/>
  <c r="J56" i="58"/>
  <c r="F57" i="58"/>
  <c r="R58" i="58"/>
  <c r="F60" i="58"/>
  <c r="V60" i="58"/>
  <c r="R61" i="58"/>
  <c r="J62" i="58"/>
  <c r="D16" i="59"/>
  <c r="T16" i="59"/>
  <c r="X16" i="59" s="1"/>
  <c r="R19" i="59"/>
  <c r="J21" i="59"/>
  <c r="F22" i="59"/>
  <c r="V25" i="59"/>
  <c r="R26" i="59"/>
  <c r="F29" i="59"/>
  <c r="V29" i="59"/>
  <c r="R30" i="59"/>
  <c r="F33" i="59"/>
  <c r="V33" i="59"/>
  <c r="R34" i="59"/>
  <c r="J35" i="59"/>
  <c r="F38" i="59"/>
  <c r="R39" i="59"/>
  <c r="J41" i="59"/>
  <c r="F42" i="59"/>
  <c r="J45" i="59"/>
  <c r="P52" i="59"/>
  <c r="L16" i="60"/>
  <c r="J19" i="60"/>
  <c r="V21" i="60"/>
  <c r="R22" i="60"/>
  <c r="J25" i="60"/>
  <c r="F26" i="60"/>
  <c r="J29" i="60"/>
  <c r="V33" i="60"/>
  <c r="F38" i="60"/>
  <c r="F42" i="60"/>
  <c r="F48" i="60"/>
  <c r="X12" i="61"/>
  <c r="F19" i="61"/>
  <c r="R20" i="61"/>
  <c r="J23" i="61"/>
  <c r="F24" i="61"/>
  <c r="F28" i="61"/>
  <c r="F32" i="61"/>
  <c r="R33" i="61"/>
  <c r="F35" i="61"/>
  <c r="R36" i="61"/>
  <c r="J37" i="61"/>
  <c r="F40" i="61"/>
  <c r="J48" i="61"/>
  <c r="F51" i="61"/>
  <c r="V102" i="62"/>
  <c r="V96" i="62"/>
  <c r="V90" i="62"/>
  <c r="V78" i="62"/>
  <c r="V62" i="62"/>
  <c r="V54" i="62"/>
  <c r="V42" i="62"/>
  <c r="V34" i="62"/>
  <c r="V30" i="62"/>
  <c r="V22" i="62"/>
  <c r="V93" i="62"/>
  <c r="V89" i="62"/>
  <c r="V61" i="62"/>
  <c r="V53" i="62"/>
  <c r="V41" i="62"/>
  <c r="V33" i="62"/>
  <c r="V29" i="62"/>
  <c r="V21" i="62"/>
  <c r="V92" i="62"/>
  <c r="V84" i="62"/>
  <c r="V64" i="62"/>
  <c r="V56" i="62"/>
  <c r="V44" i="62"/>
  <c r="V32" i="62"/>
  <c r="V28" i="62"/>
  <c r="V20" i="62"/>
  <c r="V83" i="62"/>
  <c r="V75" i="62"/>
  <c r="V71" i="62"/>
  <c r="V63" i="62"/>
  <c r="V55" i="62"/>
  <c r="V47" i="62"/>
  <c r="V43" i="62"/>
  <c r="V31" i="62"/>
  <c r="V27" i="62"/>
  <c r="V17" i="62"/>
  <c r="V105" i="62"/>
  <c r="V100" i="62"/>
  <c r="V98" i="62"/>
  <c r="V86" i="62"/>
  <c r="V82" i="62"/>
  <c r="V74" i="62"/>
  <c r="V95" i="62"/>
  <c r="V85" i="62"/>
  <c r="V88" i="62"/>
  <c r="V80" i="62"/>
  <c r="V76" i="62"/>
  <c r="V72" i="62"/>
  <c r="V68" i="62"/>
  <c r="V60" i="62"/>
  <c r="V52" i="62"/>
  <c r="V48" i="62"/>
  <c r="V40" i="62"/>
  <c r="V36" i="62"/>
  <c r="V24" i="62"/>
  <c r="L17" i="62"/>
  <c r="N19" i="62"/>
  <c r="V25" i="62"/>
  <c r="V37" i="62"/>
  <c r="V46" i="62"/>
  <c r="L65" i="62"/>
  <c r="N65" i="62" s="1"/>
  <c r="Z72" i="62"/>
  <c r="N78" i="62"/>
  <c r="V79" i="62"/>
  <c r="J89" i="62"/>
  <c r="T12" i="64"/>
  <c r="Z17" i="64"/>
  <c r="Z42" i="64"/>
  <c r="Z66" i="64"/>
  <c r="N20" i="66"/>
  <c r="L20" i="66"/>
  <c r="J39" i="56"/>
  <c r="R53" i="56"/>
  <c r="J55" i="56"/>
  <c r="Z14" i="57"/>
  <c r="F21" i="57"/>
  <c r="R25" i="57"/>
  <c r="F28" i="57"/>
  <c r="R29" i="57"/>
  <c r="F32" i="57"/>
  <c r="R33" i="57"/>
  <c r="F37" i="57"/>
  <c r="V48" i="57"/>
  <c r="R49" i="57"/>
  <c r="F53" i="57"/>
  <c r="R54" i="57"/>
  <c r="L16" i="58"/>
  <c r="J19" i="58"/>
  <c r="V21" i="58"/>
  <c r="R22" i="58"/>
  <c r="J25" i="58"/>
  <c r="F26" i="58"/>
  <c r="F30" i="58"/>
  <c r="V33" i="58"/>
  <c r="R34" i="58"/>
  <c r="J35" i="58"/>
  <c r="F38" i="58"/>
  <c r="R39" i="58"/>
  <c r="F41" i="58"/>
  <c r="V41" i="58"/>
  <c r="R42" i="58"/>
  <c r="J43" i="58"/>
  <c r="F46" i="58"/>
  <c r="J49" i="58"/>
  <c r="F50" i="58"/>
  <c r="R51" i="58"/>
  <c r="F53" i="58"/>
  <c r="V53" i="58"/>
  <c r="R54" i="58"/>
  <c r="J57" i="58"/>
  <c r="V61" i="58"/>
  <c r="R65" i="58"/>
  <c r="J67" i="58"/>
  <c r="R71" i="58"/>
  <c r="J74" i="58"/>
  <c r="F16" i="59"/>
  <c r="V16" i="59"/>
  <c r="J22" i="59"/>
  <c r="F23" i="59"/>
  <c r="V26" i="59"/>
  <c r="V30" i="59"/>
  <c r="V34" i="59"/>
  <c r="J38" i="59"/>
  <c r="J42" i="59"/>
  <c r="F43" i="59"/>
  <c r="F46" i="59"/>
  <c r="V46" i="59"/>
  <c r="J50" i="59"/>
  <c r="R52" i="59"/>
  <c r="J56" i="59"/>
  <c r="R59" i="59"/>
  <c r="V14" i="60"/>
  <c r="N16" i="60"/>
  <c r="V18" i="60"/>
  <c r="V22" i="60"/>
  <c r="R23" i="60"/>
  <c r="J26" i="60"/>
  <c r="R28" i="60"/>
  <c r="V30" i="60"/>
  <c r="R31" i="60"/>
  <c r="J32" i="60"/>
  <c r="J38" i="60"/>
  <c r="J42" i="60"/>
  <c r="F44" i="60"/>
  <c r="V44" i="60"/>
  <c r="J48" i="60"/>
  <c r="F50" i="60"/>
  <c r="V50" i="60"/>
  <c r="R14" i="61"/>
  <c r="R18" i="61"/>
  <c r="R21" i="61"/>
  <c r="F25" i="61"/>
  <c r="F29" i="61"/>
  <c r="F42" i="61"/>
  <c r="R44" i="61"/>
  <c r="J19" i="62"/>
  <c r="J54" i="62"/>
  <c r="V126" i="69"/>
  <c r="V122" i="69"/>
  <c r="V118" i="69"/>
  <c r="V106" i="69"/>
  <c r="V102" i="69"/>
  <c r="V94" i="69"/>
  <c r="V90" i="69"/>
  <c r="V74" i="69"/>
  <c r="V139" i="69"/>
  <c r="V129" i="69"/>
  <c r="V125" i="69"/>
  <c r="V121" i="69"/>
  <c r="V109" i="69"/>
  <c r="V105" i="69"/>
  <c r="V89" i="69"/>
  <c r="V73" i="69"/>
  <c r="V65" i="69"/>
  <c r="V57" i="69"/>
  <c r="V134" i="69"/>
  <c r="V128" i="69"/>
  <c r="V124" i="69"/>
  <c r="V112" i="69"/>
  <c r="V108" i="69"/>
  <c r="V88" i="69"/>
  <c r="V84" i="69"/>
  <c r="V80" i="69"/>
  <c r="V72" i="69"/>
  <c r="V64" i="69"/>
  <c r="V56" i="69"/>
  <c r="V131" i="69"/>
  <c r="V111" i="69"/>
  <c r="V107" i="69"/>
  <c r="V99" i="69"/>
  <c r="V87" i="69"/>
  <c r="V79" i="69"/>
  <c r="V71" i="69"/>
  <c r="V63" i="69"/>
  <c r="V130" i="69"/>
  <c r="V114" i="69"/>
  <c r="V110" i="69"/>
  <c r="V98" i="69"/>
  <c r="V86" i="69"/>
  <c r="V78" i="69"/>
  <c r="V70" i="69"/>
  <c r="V62" i="69"/>
  <c r="V120" i="69"/>
  <c r="V116" i="69"/>
  <c r="V104" i="69"/>
  <c r="V100" i="69"/>
  <c r="V96" i="69"/>
  <c r="V92" i="69"/>
  <c r="V82" i="69"/>
  <c r="V76" i="69"/>
  <c r="V68" i="69"/>
  <c r="V60" i="69"/>
  <c r="V133" i="69"/>
  <c r="V127" i="69"/>
  <c r="V123" i="69"/>
  <c r="V119" i="69"/>
  <c r="V115" i="69"/>
  <c r="V103" i="69"/>
  <c r="V95" i="69"/>
  <c r="V91" i="69"/>
  <c r="T82" i="69"/>
  <c r="V75" i="69"/>
  <c r="V67" i="69"/>
  <c r="V59" i="69"/>
  <c r="V117" i="69"/>
  <c r="V77" i="69"/>
  <c r="V93" i="69"/>
  <c r="V101" i="69"/>
  <c r="V135" i="69"/>
  <c r="V85" i="69"/>
  <c r="V66" i="69"/>
  <c r="V97" i="69"/>
  <c r="V69" i="69"/>
  <c r="V58" i="69"/>
  <c r="V113" i="69"/>
  <c r="V61" i="69"/>
  <c r="R25" i="56"/>
  <c r="R29" i="56"/>
  <c r="R33" i="56"/>
  <c r="J34" i="56"/>
  <c r="R38" i="56"/>
  <c r="R41" i="56"/>
  <c r="J42" i="56"/>
  <c r="J52" i="56"/>
  <c r="R57" i="56"/>
  <c r="J58" i="56"/>
  <c r="D16" i="57"/>
  <c r="R19" i="57"/>
  <c r="F22" i="57"/>
  <c r="R26" i="57"/>
  <c r="R30" i="57"/>
  <c r="F38" i="57"/>
  <c r="R39" i="57"/>
  <c r="F41" i="57"/>
  <c r="V41" i="57"/>
  <c r="R42" i="57"/>
  <c r="F45" i="57"/>
  <c r="V45" i="57"/>
  <c r="R46" i="57"/>
  <c r="V49" i="57"/>
  <c r="R59" i="57"/>
  <c r="R66" i="57"/>
  <c r="F14" i="58"/>
  <c r="V14" i="58"/>
  <c r="F18" i="58"/>
  <c r="V18" i="58"/>
  <c r="V22" i="58"/>
  <c r="R23" i="58"/>
  <c r="J26" i="58"/>
  <c r="F27" i="58"/>
  <c r="J30" i="58"/>
  <c r="F31" i="58"/>
  <c r="V34" i="58"/>
  <c r="J38" i="58"/>
  <c r="V42" i="58"/>
  <c r="J46" i="58"/>
  <c r="F47" i="58"/>
  <c r="R48" i="58"/>
  <c r="J50" i="58"/>
  <c r="V54" i="58"/>
  <c r="R55" i="58"/>
  <c r="F58" i="58"/>
  <c r="V58" i="58"/>
  <c r="R59" i="58"/>
  <c r="J60" i="58"/>
  <c r="F63" i="58"/>
  <c r="F69" i="58"/>
  <c r="H16" i="59"/>
  <c r="F19" i="59"/>
  <c r="V19" i="59"/>
  <c r="J23" i="59"/>
  <c r="F24" i="59"/>
  <c r="V27" i="59"/>
  <c r="J29" i="59"/>
  <c r="V31" i="59"/>
  <c r="J33" i="59"/>
  <c r="F36" i="59"/>
  <c r="F39" i="59"/>
  <c r="V39" i="59"/>
  <c r="J43" i="59"/>
  <c r="V47" i="59"/>
  <c r="R54" i="59"/>
  <c r="X14" i="60"/>
  <c r="V23" i="60"/>
  <c r="R24" i="60"/>
  <c r="J27" i="60"/>
  <c r="V31" i="60"/>
  <c r="J35" i="60"/>
  <c r="R37" i="60"/>
  <c r="J39" i="60"/>
  <c r="R41" i="60"/>
  <c r="L16" i="61"/>
  <c r="R22" i="61"/>
  <c r="F26" i="61"/>
  <c r="R27" i="61"/>
  <c r="F30" i="61"/>
  <c r="R31" i="61"/>
  <c r="F33" i="61"/>
  <c r="R34" i="61"/>
  <c r="F38" i="61"/>
  <c r="R39" i="61"/>
  <c r="R46" i="61"/>
  <c r="J27" i="62"/>
  <c r="J51" i="62"/>
  <c r="J53" i="62"/>
  <c r="Z27" i="64"/>
  <c r="Z50" i="64"/>
  <c r="L74" i="64"/>
  <c r="N74" i="64" s="1"/>
  <c r="R19" i="56"/>
  <c r="J21" i="56"/>
  <c r="R26" i="56"/>
  <c r="R30" i="56"/>
  <c r="J37" i="56"/>
  <c r="J45" i="56"/>
  <c r="J49" i="56"/>
  <c r="R51" i="56"/>
  <c r="R54" i="56"/>
  <c r="R61" i="56"/>
  <c r="J63" i="56"/>
  <c r="R67" i="56"/>
  <c r="J70" i="56"/>
  <c r="F16" i="57"/>
  <c r="V16" i="57"/>
  <c r="F23" i="57"/>
  <c r="V26" i="57"/>
  <c r="R27" i="57"/>
  <c r="V30" i="57"/>
  <c r="R31" i="57"/>
  <c r="F35" i="57"/>
  <c r="R36" i="57"/>
  <c r="V42" i="57"/>
  <c r="R43" i="57"/>
  <c r="V46" i="57"/>
  <c r="F51" i="57"/>
  <c r="R52" i="57"/>
  <c r="F54" i="57"/>
  <c r="V54" i="57"/>
  <c r="R55" i="57"/>
  <c r="R61" i="57"/>
  <c r="L12" i="58"/>
  <c r="P16" i="58"/>
  <c r="F20" i="58"/>
  <c r="V23" i="58"/>
  <c r="R24" i="58"/>
  <c r="J27" i="58"/>
  <c r="F28" i="58"/>
  <c r="R29" i="58"/>
  <c r="J31" i="58"/>
  <c r="F32" i="58"/>
  <c r="F36" i="58"/>
  <c r="R37" i="58"/>
  <c r="F39" i="58"/>
  <c r="V39" i="58"/>
  <c r="R40" i="58"/>
  <c r="J41" i="58"/>
  <c r="F44" i="58"/>
  <c r="R45" i="58"/>
  <c r="J47" i="58"/>
  <c r="F51" i="58"/>
  <c r="V51" i="58"/>
  <c r="R52" i="58"/>
  <c r="J53" i="58"/>
  <c r="V55" i="58"/>
  <c r="R56" i="58"/>
  <c r="V59" i="58"/>
  <c r="J63" i="58"/>
  <c r="F65" i="58"/>
  <c r="V65" i="58"/>
  <c r="J69" i="58"/>
  <c r="F71" i="58"/>
  <c r="V71" i="58"/>
  <c r="Z12" i="59"/>
  <c r="R14" i="59"/>
  <c r="J16" i="59"/>
  <c r="R18" i="59"/>
  <c r="V20" i="59"/>
  <c r="R21" i="59"/>
  <c r="J24" i="59"/>
  <c r="F25" i="59"/>
  <c r="V28" i="59"/>
  <c r="V32" i="59"/>
  <c r="J36" i="59"/>
  <c r="V40" i="59"/>
  <c r="R41" i="59"/>
  <c r="F44" i="59"/>
  <c r="V44" i="59"/>
  <c r="J46" i="59"/>
  <c r="V48" i="59"/>
  <c r="F52" i="59"/>
  <c r="V52" i="59"/>
  <c r="V54" i="59"/>
  <c r="F59" i="59"/>
  <c r="V59" i="59"/>
  <c r="N12" i="60"/>
  <c r="J14" i="60"/>
  <c r="R16" i="60"/>
  <c r="J18" i="60"/>
  <c r="J20" i="60"/>
  <c r="F21" i="60"/>
  <c r="V24" i="60"/>
  <c r="R25" i="60"/>
  <c r="F28" i="60"/>
  <c r="V28" i="60"/>
  <c r="R29" i="60"/>
  <c r="J30" i="60"/>
  <c r="R34" i="60"/>
  <c r="J36" i="60"/>
  <c r="J40" i="60"/>
  <c r="J44" i="60"/>
  <c r="R46" i="60"/>
  <c r="J50" i="60"/>
  <c r="R53" i="60"/>
  <c r="F14" i="61"/>
  <c r="F18" i="61"/>
  <c r="R23" i="61"/>
  <c r="J26" i="61"/>
  <c r="J30" i="61"/>
  <c r="J38" i="61"/>
  <c r="J42" i="62"/>
  <c r="V45" i="62"/>
  <c r="V50" i="62"/>
  <c r="V67" i="62"/>
  <c r="L76" i="62"/>
  <c r="V77" i="62"/>
  <c r="V81" i="62"/>
  <c r="V91" i="62"/>
  <c r="L21" i="64"/>
  <c r="N46" i="64"/>
  <c r="L54" i="64"/>
  <c r="N54" i="64" s="1"/>
  <c r="F63" i="64"/>
  <c r="H34" i="65"/>
  <c r="N16" i="65"/>
  <c r="Z32" i="66"/>
  <c r="X32" i="66"/>
  <c r="R48" i="56"/>
  <c r="J50" i="56"/>
  <c r="R55" i="56"/>
  <c r="F19" i="57"/>
  <c r="F24" i="57"/>
  <c r="F39" i="57"/>
  <c r="R40" i="57"/>
  <c r="R44" i="57"/>
  <c r="F48" i="57"/>
  <c r="V55" i="57"/>
  <c r="F59" i="57"/>
  <c r="V59" i="57"/>
  <c r="V61" i="57"/>
  <c r="F66" i="57"/>
  <c r="R16" i="58"/>
  <c r="F21" i="58"/>
  <c r="V24" i="58"/>
  <c r="R25" i="58"/>
  <c r="J28" i="58"/>
  <c r="J32" i="58"/>
  <c r="F33" i="58"/>
  <c r="J36" i="58"/>
  <c r="V40" i="58"/>
  <c r="J44" i="58"/>
  <c r="F48" i="58"/>
  <c r="V48" i="58"/>
  <c r="R49" i="58"/>
  <c r="V52" i="58"/>
  <c r="V56" i="58"/>
  <c r="R57" i="58"/>
  <c r="J58" i="58"/>
  <c r="F61" i="58"/>
  <c r="R62" i="58"/>
  <c r="J19" i="59"/>
  <c r="V21" i="59"/>
  <c r="J25" i="59"/>
  <c r="F26" i="59"/>
  <c r="F30" i="59"/>
  <c r="F34" i="59"/>
  <c r="F37" i="59"/>
  <c r="V37" i="59"/>
  <c r="J39" i="59"/>
  <c r="V41" i="59"/>
  <c r="V45" i="59"/>
  <c r="T16" i="60"/>
  <c r="R19" i="60"/>
  <c r="J21" i="60"/>
  <c r="V25" i="60"/>
  <c r="R26" i="60"/>
  <c r="V29" i="60"/>
  <c r="J33" i="60"/>
  <c r="V37" i="60"/>
  <c r="R38" i="60"/>
  <c r="V41" i="60"/>
  <c r="R42" i="60"/>
  <c r="R48" i="60"/>
  <c r="L12" i="61"/>
  <c r="P16" i="61"/>
  <c r="F20" i="61"/>
  <c r="R24" i="61"/>
  <c r="F27" i="61"/>
  <c r="R28" i="61"/>
  <c r="F31" i="61"/>
  <c r="R32" i="61"/>
  <c r="F36" i="61"/>
  <c r="R37" i="61"/>
  <c r="F39" i="61"/>
  <c r="R40" i="61"/>
  <c r="F44" i="61"/>
  <c r="R48" i="61"/>
  <c r="R51" i="61"/>
  <c r="J100" i="62"/>
  <c r="J92" i="62"/>
  <c r="J86" i="62"/>
  <c r="J82" i="62"/>
  <c r="J74" i="62"/>
  <c r="J70" i="62"/>
  <c r="J66" i="62"/>
  <c r="J58" i="62"/>
  <c r="J50" i="62"/>
  <c r="J46" i="62"/>
  <c r="J38" i="62"/>
  <c r="J26" i="62"/>
  <c r="J20" i="62"/>
  <c r="J81" i="62"/>
  <c r="J77" i="62"/>
  <c r="J73" i="62"/>
  <c r="J69" i="62"/>
  <c r="J63" i="62"/>
  <c r="J55" i="62"/>
  <c r="J49" i="62"/>
  <c r="J43" i="62"/>
  <c r="J37" i="62"/>
  <c r="J31" i="62"/>
  <c r="J25" i="62"/>
  <c r="J17" i="62"/>
  <c r="J105" i="62"/>
  <c r="J98" i="62"/>
  <c r="J88" i="62"/>
  <c r="J80" i="62"/>
  <c r="J68" i="62"/>
  <c r="J60" i="62"/>
  <c r="J52" i="62"/>
  <c r="J40" i="62"/>
  <c r="J36" i="62"/>
  <c r="J24" i="62"/>
  <c r="J95" i="62"/>
  <c r="J91" i="62"/>
  <c r="J85" i="62"/>
  <c r="J79" i="62"/>
  <c r="J65" i="62"/>
  <c r="J57" i="62"/>
  <c r="J45" i="62"/>
  <c r="J35" i="62"/>
  <c r="J23" i="62"/>
  <c r="J15" i="62"/>
  <c r="J90" i="62"/>
  <c r="J76" i="62"/>
  <c r="J72" i="62"/>
  <c r="J93" i="62"/>
  <c r="J87" i="62"/>
  <c r="J102" i="62"/>
  <c r="J96" i="62"/>
  <c r="J84" i="62"/>
  <c r="J78" i="62"/>
  <c r="J64" i="62"/>
  <c r="J56" i="62"/>
  <c r="J44" i="62"/>
  <c r="J32" i="62"/>
  <c r="J28" i="62"/>
  <c r="Z17" i="62"/>
  <c r="T98" i="62"/>
  <c r="J41" i="62"/>
  <c r="J47" i="62"/>
  <c r="J48" i="62"/>
  <c r="Z55" i="62"/>
  <c r="X55" i="62"/>
  <c r="J62" i="62"/>
  <c r="X18" i="64"/>
  <c r="Z18" i="64" s="1"/>
  <c r="P12" i="64"/>
  <c r="X25" i="64"/>
  <c r="F28" i="64"/>
  <c r="F36" i="64"/>
  <c r="Z52" i="64"/>
  <c r="X52" i="64"/>
  <c r="Z74" i="64"/>
  <c r="J103" i="66"/>
  <c r="J99" i="66"/>
  <c r="J87" i="66"/>
  <c r="J79" i="66"/>
  <c r="J75" i="66"/>
  <c r="J63" i="66"/>
  <c r="J55" i="66"/>
  <c r="J47" i="66"/>
  <c r="J39" i="66"/>
  <c r="J110" i="66"/>
  <c r="J102" i="66"/>
  <c r="J96" i="66"/>
  <c r="J92" i="66"/>
  <c r="J84" i="66"/>
  <c r="J74" i="66"/>
  <c r="J62" i="66"/>
  <c r="J54" i="66"/>
  <c r="J46" i="66"/>
  <c r="J105" i="66"/>
  <c r="J89" i="66"/>
  <c r="J81" i="66"/>
  <c r="J73" i="66"/>
  <c r="J69" i="66"/>
  <c r="J61" i="66"/>
  <c r="J59" i="66"/>
  <c r="J53" i="66"/>
  <c r="J45" i="66"/>
  <c r="J114" i="66"/>
  <c r="J108" i="66"/>
  <c r="J98" i="66"/>
  <c r="J86" i="66"/>
  <c r="J78" i="66"/>
  <c r="J72" i="66"/>
  <c r="J68" i="66"/>
  <c r="J52" i="66"/>
  <c r="J44" i="66"/>
  <c r="J38" i="66"/>
  <c r="J101" i="66"/>
  <c r="J95" i="66"/>
  <c r="J91" i="66"/>
  <c r="J83" i="66"/>
  <c r="J71" i="66"/>
  <c r="J67" i="66"/>
  <c r="J51" i="66"/>
  <c r="J43" i="66"/>
  <c r="J104" i="66"/>
  <c r="J94" i="66"/>
  <c r="J88" i="66"/>
  <c r="J109" i="66"/>
  <c r="J97" i="66"/>
  <c r="J93" i="66"/>
  <c r="J85" i="66"/>
  <c r="J77" i="66"/>
  <c r="J65" i="66"/>
  <c r="J57" i="66"/>
  <c r="J49" i="66"/>
  <c r="J41" i="66"/>
  <c r="H57" i="66"/>
  <c r="J48" i="66"/>
  <c r="J100" i="66"/>
  <c r="J80" i="66"/>
  <c r="J82" i="66"/>
  <c r="J90" i="66"/>
  <c r="J66" i="66"/>
  <c r="J60" i="66"/>
  <c r="J42" i="66"/>
  <c r="J50" i="66"/>
  <c r="F36" i="57"/>
  <c r="F49" i="57"/>
  <c r="F52" i="57"/>
  <c r="R19" i="58"/>
  <c r="R26" i="58"/>
  <c r="R30" i="58"/>
  <c r="R35" i="58"/>
  <c r="R38" i="58"/>
  <c r="R43" i="58"/>
  <c r="V45" i="58"/>
  <c r="R46" i="58"/>
  <c r="V49" i="58"/>
  <c r="R50" i="58"/>
  <c r="F54" i="58"/>
  <c r="V57" i="58"/>
  <c r="J61" i="58"/>
  <c r="J65" i="58"/>
  <c r="R67" i="58"/>
  <c r="J71" i="58"/>
  <c r="R74" i="58"/>
  <c r="J26" i="59"/>
  <c r="J30" i="59"/>
  <c r="J34" i="59"/>
  <c r="J44" i="59"/>
  <c r="F47" i="59"/>
  <c r="J52" i="59"/>
  <c r="J59" i="59"/>
  <c r="V16" i="60"/>
  <c r="V26" i="60"/>
  <c r="V34" i="60"/>
  <c r="V38" i="60"/>
  <c r="V42" i="60"/>
  <c r="V46" i="60"/>
  <c r="V48" i="60"/>
  <c r="V53" i="60"/>
  <c r="Z43" i="62"/>
  <c r="X43" i="62"/>
  <c r="Z59" i="64"/>
  <c r="P34" i="65"/>
  <c r="N21" i="65"/>
  <c r="L21" i="65"/>
  <c r="F26" i="57"/>
  <c r="F30" i="57"/>
  <c r="R38" i="57"/>
  <c r="F42" i="57"/>
  <c r="R47" i="57"/>
  <c r="R57" i="57"/>
  <c r="V16" i="58"/>
  <c r="F23" i="58"/>
  <c r="V26" i="58"/>
  <c r="R27" i="58"/>
  <c r="V30" i="58"/>
  <c r="R31" i="58"/>
  <c r="V38" i="58"/>
  <c r="J42" i="58"/>
  <c r="V46" i="58"/>
  <c r="R47" i="58"/>
  <c r="J48" i="58"/>
  <c r="V50" i="58"/>
  <c r="F55" i="58"/>
  <c r="F59" i="58"/>
  <c r="R60" i="58"/>
  <c r="R63" i="58"/>
  <c r="L12" i="59"/>
  <c r="J27" i="59"/>
  <c r="F28" i="59"/>
  <c r="J31" i="59"/>
  <c r="F32" i="59"/>
  <c r="F35" i="59"/>
  <c r="V35" i="59"/>
  <c r="J37" i="59"/>
  <c r="F40" i="59"/>
  <c r="F48" i="59"/>
  <c r="X12" i="60"/>
  <c r="V19" i="60"/>
  <c r="V27" i="60"/>
  <c r="J31" i="60"/>
  <c r="V35" i="60"/>
  <c r="R36" i="60"/>
  <c r="J37" i="60"/>
  <c r="R19" i="61"/>
  <c r="R26" i="61"/>
  <c r="R30" i="61"/>
  <c r="F34" i="61"/>
  <c r="R35" i="61"/>
  <c r="F37" i="61"/>
  <c r="D102" i="62"/>
  <c r="N57" i="62"/>
  <c r="L57" i="62"/>
  <c r="Z63" i="62"/>
  <c r="X63" i="62"/>
  <c r="N72" i="62"/>
  <c r="J75" i="62"/>
  <c r="F74" i="64"/>
  <c r="F66" i="64"/>
  <c r="F54" i="64"/>
  <c r="F51" i="64"/>
  <c r="F47" i="64"/>
  <c r="F43" i="64"/>
  <c r="F35" i="64"/>
  <c r="F69" i="64"/>
  <c r="F62" i="64"/>
  <c r="F57" i="64"/>
  <c r="F41" i="64"/>
  <c r="F34" i="64"/>
  <c r="F76" i="64"/>
  <c r="F73" i="64"/>
  <c r="F65" i="64"/>
  <c r="F53" i="64"/>
  <c r="F33" i="64"/>
  <c r="F72" i="64"/>
  <c r="F68" i="64"/>
  <c r="F64" i="64"/>
  <c r="F59" i="64"/>
  <c r="F56" i="64"/>
  <c r="F32" i="64"/>
  <c r="F27" i="64"/>
  <c r="F75" i="64"/>
  <c r="F71" i="64"/>
  <c r="F67" i="64"/>
  <c r="F55" i="64"/>
  <c r="F50" i="64"/>
  <c r="F46" i="64"/>
  <c r="F42" i="64"/>
  <c r="F31" i="64"/>
  <c r="F79" i="64"/>
  <c r="F70" i="64"/>
  <c r="F61" i="64"/>
  <c r="F58" i="64"/>
  <c r="F39" i="64"/>
  <c r="F30" i="64"/>
  <c r="F83" i="64"/>
  <c r="F77" i="64"/>
  <c r="F52" i="64"/>
  <c r="F49" i="64"/>
  <c r="F45" i="64"/>
  <c r="D39" i="64"/>
  <c r="F37" i="64"/>
  <c r="F29" i="64"/>
  <c r="Z21" i="64"/>
  <c r="N42" i="64"/>
  <c r="N66" i="64"/>
  <c r="L66" i="64"/>
  <c r="J70" i="66"/>
  <c r="F21" i="62"/>
  <c r="F29" i="62"/>
  <c r="F33" i="62"/>
  <c r="F48" i="62"/>
  <c r="F72" i="62"/>
  <c r="F76" i="62"/>
  <c r="F93" i="62"/>
  <c r="L13" i="64"/>
  <c r="L12" i="65"/>
  <c r="Z26" i="66"/>
  <c r="N29" i="66"/>
  <c r="H21" i="67"/>
  <c r="Z35" i="67"/>
  <c r="F131" i="69"/>
  <c r="F118" i="69"/>
  <c r="F111" i="69"/>
  <c r="F102" i="69"/>
  <c r="F99" i="69"/>
  <c r="F94" i="69"/>
  <c r="F87" i="69"/>
  <c r="F79" i="69"/>
  <c r="F71" i="69"/>
  <c r="F121" i="69"/>
  <c r="F114" i="69"/>
  <c r="F105" i="69"/>
  <c r="F98" i="69"/>
  <c r="F86" i="69"/>
  <c r="F78" i="69"/>
  <c r="F70" i="69"/>
  <c r="F62" i="69"/>
  <c r="F134" i="69"/>
  <c r="F128" i="69"/>
  <c r="F124" i="69"/>
  <c r="F117" i="69"/>
  <c r="F101" i="69"/>
  <c r="F97" i="69"/>
  <c r="F93" i="69"/>
  <c r="F84" i="69"/>
  <c r="F77" i="69"/>
  <c r="F69" i="69"/>
  <c r="F61" i="69"/>
  <c r="F56" i="69"/>
  <c r="F120" i="69"/>
  <c r="F116" i="69"/>
  <c r="F107" i="69"/>
  <c r="F104" i="69"/>
  <c r="F96" i="69"/>
  <c r="F92" i="69"/>
  <c r="F76" i="69"/>
  <c r="F68" i="69"/>
  <c r="F60" i="69"/>
  <c r="L12" i="69"/>
  <c r="F130" i="69"/>
  <c r="F127" i="69"/>
  <c r="F123" i="69"/>
  <c r="F119" i="69"/>
  <c r="F110" i="69"/>
  <c r="F103" i="69"/>
  <c r="F95" i="69"/>
  <c r="F91" i="69"/>
  <c r="F75" i="69"/>
  <c r="F67" i="69"/>
  <c r="F59" i="69"/>
  <c r="F139" i="69"/>
  <c r="F129" i="69"/>
  <c r="F125" i="69"/>
  <c r="F109" i="69"/>
  <c r="F100" i="69"/>
  <c r="F89" i="69"/>
  <c r="F73" i="69"/>
  <c r="F65" i="69"/>
  <c r="F57" i="69"/>
  <c r="F133" i="69"/>
  <c r="F115" i="69"/>
  <c r="F112" i="69"/>
  <c r="F108" i="69"/>
  <c r="F88" i="69"/>
  <c r="D82" i="69"/>
  <c r="F82" i="69" s="1"/>
  <c r="F80" i="69"/>
  <c r="F72" i="69"/>
  <c r="F64" i="69"/>
  <c r="F85" i="69"/>
  <c r="F126" i="69"/>
  <c r="F58" i="69"/>
  <c r="F113" i="69"/>
  <c r="F122" i="69"/>
  <c r="F106" i="69"/>
  <c r="F63" i="69"/>
  <c r="F66" i="69"/>
  <c r="F95" i="62"/>
  <c r="Z18" i="65"/>
  <c r="Z26" i="65"/>
  <c r="Z16" i="66"/>
  <c r="X16" i="66"/>
  <c r="N28" i="66"/>
  <c r="L28" i="66"/>
  <c r="N24" i="67"/>
  <c r="F91" i="62"/>
  <c r="F98" i="62"/>
  <c r="F105" i="62"/>
  <c r="L15" i="64"/>
  <c r="X19" i="64"/>
  <c r="Z19" i="64" s="1"/>
  <c r="L23" i="64"/>
  <c r="V25" i="65"/>
  <c r="V21" i="65"/>
  <c r="T16" i="65"/>
  <c r="X16" i="65" s="1"/>
  <c r="V28" i="65"/>
  <c r="V24" i="65"/>
  <c r="V27" i="65"/>
  <c r="V23" i="65"/>
  <c r="V41" i="65"/>
  <c r="V36" i="65"/>
  <c r="V34" i="65"/>
  <c r="V30" i="65"/>
  <c r="V26" i="65"/>
  <c r="V18" i="65"/>
  <c r="V14" i="65"/>
  <c r="V29" i="65"/>
  <c r="V19" i="65"/>
  <c r="Z29" i="65"/>
  <c r="L13" i="66"/>
  <c r="D12" i="66"/>
  <c r="P12" i="66"/>
  <c r="Z25" i="66"/>
  <c r="N39" i="67"/>
  <c r="L39" i="67"/>
  <c r="N48" i="69"/>
  <c r="F17" i="62"/>
  <c r="F24" i="62"/>
  <c r="F31" i="62"/>
  <c r="F36" i="62"/>
  <c r="F40" i="62"/>
  <c r="F43" i="62"/>
  <c r="F52" i="62"/>
  <c r="F55" i="62"/>
  <c r="F60" i="62"/>
  <c r="F63" i="62"/>
  <c r="F68" i="62"/>
  <c r="F80" i="62"/>
  <c r="F88" i="62"/>
  <c r="X12" i="65"/>
  <c r="X14" i="65"/>
  <c r="L19" i="65"/>
  <c r="N19" i="65" s="1"/>
  <c r="V20" i="65"/>
  <c r="F27" i="65"/>
  <c r="N13" i="66"/>
  <c r="Z34" i="66"/>
  <c r="N38" i="66"/>
  <c r="Z18" i="67"/>
  <c r="X37" i="67"/>
  <c r="Z37" i="67" s="1"/>
  <c r="F20" i="62"/>
  <c r="F25" i="62"/>
  <c r="F37" i="62"/>
  <c r="F49" i="62"/>
  <c r="F69" i="62"/>
  <c r="F73" i="62"/>
  <c r="F77" i="62"/>
  <c r="F81" i="62"/>
  <c r="F92" i="62"/>
  <c r="X27" i="64"/>
  <c r="X59" i="64"/>
  <c r="L61" i="64"/>
  <c r="L79" i="64"/>
  <c r="Z12" i="65"/>
  <c r="X24" i="66"/>
  <c r="Z24" i="66" s="1"/>
  <c r="N36" i="66"/>
  <c r="L36" i="66"/>
  <c r="Z59" i="66"/>
  <c r="X101" i="66"/>
  <c r="Z101" i="66" s="1"/>
  <c r="N109" i="66"/>
  <c r="L109" i="66"/>
  <c r="Z39" i="67"/>
  <c r="Z43" i="67"/>
  <c r="F26" i="62"/>
  <c r="F38" i="62"/>
  <c r="F41" i="62"/>
  <c r="F46" i="62"/>
  <c r="F50" i="62"/>
  <c r="F53" i="62"/>
  <c r="F58" i="62"/>
  <c r="F61" i="62"/>
  <c r="F66" i="62"/>
  <c r="F70" i="62"/>
  <c r="F74" i="62"/>
  <c r="F82" i="62"/>
  <c r="F86" i="62"/>
  <c r="F89" i="62"/>
  <c r="F100" i="62"/>
  <c r="L14" i="65"/>
  <c r="T12" i="66"/>
  <c r="Z18" i="66"/>
  <c r="X22" i="66"/>
  <c r="Z22" i="66" s="1"/>
  <c r="Z33" i="66"/>
  <c r="Z98" i="66"/>
  <c r="D12" i="67"/>
  <c r="Z23" i="67"/>
  <c r="F74" i="69"/>
  <c r="F135" i="69"/>
  <c r="F27" i="62"/>
  <c r="F47" i="62"/>
  <c r="F71" i="62"/>
  <c r="F75" i="62"/>
  <c r="F78" i="62"/>
  <c r="F83" i="62"/>
  <c r="F96" i="62"/>
  <c r="F36" i="65"/>
  <c r="F30" i="65"/>
  <c r="F21" i="65"/>
  <c r="D16" i="65"/>
  <c r="F23" i="65"/>
  <c r="F20" i="65"/>
  <c r="F41" i="65"/>
  <c r="F34" i="65"/>
  <c r="F26" i="65"/>
  <c r="F18" i="65"/>
  <c r="F14" i="65"/>
  <c r="F29" i="65"/>
  <c r="F22" i="65"/>
  <c r="F28" i="65"/>
  <c r="F24" i="65"/>
  <c r="F19" i="65"/>
  <c r="Z19" i="65"/>
  <c r="V22" i="65"/>
  <c r="F25" i="65"/>
  <c r="V32" i="65"/>
  <c r="Z109" i="66"/>
  <c r="J41" i="67"/>
  <c r="J33" i="67"/>
  <c r="J27" i="67"/>
  <c r="J19" i="67"/>
  <c r="J55" i="67"/>
  <c r="J48" i="67"/>
  <c r="J38" i="67"/>
  <c r="J26" i="67"/>
  <c r="J43" i="67"/>
  <c r="J35" i="67"/>
  <c r="J25" i="67"/>
  <c r="J23" i="67"/>
  <c r="J40" i="67"/>
  <c r="J32" i="67"/>
  <c r="J18" i="67"/>
  <c r="J37" i="67"/>
  <c r="J31" i="67"/>
  <c r="J52" i="67"/>
  <c r="J46" i="67"/>
  <c r="J42" i="67"/>
  <c r="J34" i="67"/>
  <c r="J30" i="67"/>
  <c r="J24" i="67"/>
  <c r="J39" i="67"/>
  <c r="J29" i="67"/>
  <c r="J21" i="67"/>
  <c r="J44" i="67"/>
  <c r="F75" i="70"/>
  <c r="F69" i="70"/>
  <c r="F61" i="70"/>
  <c r="F57" i="70"/>
  <c r="F54" i="70"/>
  <c r="F42" i="70"/>
  <c r="F38" i="70"/>
  <c r="F25" i="70"/>
  <c r="F53" i="70"/>
  <c r="F48" i="70"/>
  <c r="F45" i="70"/>
  <c r="F41" i="70"/>
  <c r="F37" i="70"/>
  <c r="F71" i="70"/>
  <c r="F68" i="70"/>
  <c r="F63" i="70"/>
  <c r="F60" i="70"/>
  <c r="F56" i="70"/>
  <c r="F36" i="70"/>
  <c r="F31" i="70"/>
  <c r="L12" i="70"/>
  <c r="F67" i="70"/>
  <c r="F59" i="70"/>
  <c r="F50" i="70"/>
  <c r="F47" i="70"/>
  <c r="F35" i="70"/>
  <c r="F28" i="70"/>
  <c r="F70" i="70"/>
  <c r="F66" i="70"/>
  <c r="F62" i="70"/>
  <c r="F58" i="70"/>
  <c r="F34" i="70"/>
  <c r="D28" i="70"/>
  <c r="F26" i="70"/>
  <c r="F72" i="70"/>
  <c r="F64" i="70"/>
  <c r="F55" i="70"/>
  <c r="F32" i="70"/>
  <c r="F51" i="70"/>
  <c r="F46" i="70"/>
  <c r="F43" i="70"/>
  <c r="F39" i="70"/>
  <c r="F30" i="70"/>
  <c r="F52" i="70"/>
  <c r="F40" i="70"/>
  <c r="F79" i="70"/>
  <c r="F65" i="70"/>
  <c r="F49" i="70"/>
  <c r="F44" i="70"/>
  <c r="F33" i="70"/>
  <c r="F74" i="70"/>
  <c r="P12" i="70"/>
  <c r="X15" i="70"/>
  <c r="Z15" i="70" s="1"/>
  <c r="R20" i="65"/>
  <c r="J21" i="65"/>
  <c r="J27" i="65"/>
  <c r="R29" i="65"/>
  <c r="Z13" i="66"/>
  <c r="X14" i="66"/>
  <c r="P12" i="67"/>
  <c r="N13" i="67"/>
  <c r="V25" i="67"/>
  <c r="V37" i="67"/>
  <c r="N15" i="69"/>
  <c r="Z16" i="69"/>
  <c r="X20" i="69"/>
  <c r="Z20" i="69" s="1"/>
  <c r="L27" i="69"/>
  <c r="X28" i="69"/>
  <c r="Z28" i="69" s="1"/>
  <c r="L35" i="69"/>
  <c r="X36" i="69"/>
  <c r="L43" i="69"/>
  <c r="N43" i="69" s="1"/>
  <c r="X44" i="69"/>
  <c r="L51" i="69"/>
  <c r="X52" i="69"/>
  <c r="Z52" i="69" s="1"/>
  <c r="Z100" i="69"/>
  <c r="N128" i="69"/>
  <c r="J71" i="70"/>
  <c r="J63" i="70"/>
  <c r="J53" i="70"/>
  <c r="J45" i="70"/>
  <c r="J41" i="70"/>
  <c r="J37" i="70"/>
  <c r="J31" i="70"/>
  <c r="J68" i="70"/>
  <c r="J60" i="70"/>
  <c r="J56" i="70"/>
  <c r="J50" i="70"/>
  <c r="J36" i="70"/>
  <c r="J28" i="70"/>
  <c r="N12" i="70"/>
  <c r="J67" i="70"/>
  <c r="J59" i="70"/>
  <c r="J47" i="70"/>
  <c r="J35" i="70"/>
  <c r="H28" i="70"/>
  <c r="J74" i="70"/>
  <c r="J70" i="70"/>
  <c r="J66" i="70"/>
  <c r="J62" i="70"/>
  <c r="J58" i="70"/>
  <c r="J52" i="70"/>
  <c r="J44" i="70"/>
  <c r="J40" i="70"/>
  <c r="J34" i="70"/>
  <c r="J26" i="70"/>
  <c r="J79" i="70"/>
  <c r="J65" i="70"/>
  <c r="J55" i="70"/>
  <c r="J49" i="70"/>
  <c r="J33" i="70"/>
  <c r="J75" i="70"/>
  <c r="J69" i="70"/>
  <c r="J61" i="70"/>
  <c r="J57" i="70"/>
  <c r="J51" i="70"/>
  <c r="J43" i="70"/>
  <c r="J39" i="70"/>
  <c r="J25" i="70"/>
  <c r="J54" i="70"/>
  <c r="J48" i="70"/>
  <c r="J42" i="70"/>
  <c r="J38" i="70"/>
  <c r="X22" i="70"/>
  <c r="V18" i="67"/>
  <c r="V26" i="67"/>
  <c r="V38" i="67"/>
  <c r="N19" i="69"/>
  <c r="L19" i="69"/>
  <c r="N27" i="69"/>
  <c r="N35" i="69"/>
  <c r="Z36" i="69"/>
  <c r="Z44" i="69"/>
  <c r="N51" i="69"/>
  <c r="J19" i="65"/>
  <c r="R23" i="65"/>
  <c r="J25" i="65"/>
  <c r="R30" i="65"/>
  <c r="R36" i="65"/>
  <c r="L16" i="67"/>
  <c r="V19" i="67"/>
  <c r="V23" i="67"/>
  <c r="V27" i="67"/>
  <c r="V35" i="67"/>
  <c r="V43" i="67"/>
  <c r="N134" i="69"/>
  <c r="Z135" i="69"/>
  <c r="N46" i="70"/>
  <c r="N28" i="71"/>
  <c r="L28" i="71"/>
  <c r="J22" i="65"/>
  <c r="R27" i="65"/>
  <c r="D107" i="66"/>
  <c r="T107" i="66"/>
  <c r="Z12" i="67"/>
  <c r="V28" i="67"/>
  <c r="V36" i="67"/>
  <c r="V44" i="67"/>
  <c r="V48" i="67"/>
  <c r="V50" i="67"/>
  <c r="V55" i="67"/>
  <c r="N13" i="69"/>
  <c r="X15" i="69"/>
  <c r="Z15" i="69" s="1"/>
  <c r="X134" i="69"/>
  <c r="Z134" i="69" s="1"/>
  <c r="P133" i="69"/>
  <c r="X133" i="69" s="1"/>
  <c r="Z133" i="69" s="1"/>
  <c r="Z14" i="70"/>
  <c r="Z19" i="70"/>
  <c r="N31" i="70"/>
  <c r="J46" i="70"/>
  <c r="Z61" i="70"/>
  <c r="R21" i="65"/>
  <c r="R24" i="65"/>
  <c r="R28" i="65"/>
  <c r="J29" i="65"/>
  <c r="V29" i="67"/>
  <c r="V33" i="67"/>
  <c r="V41" i="67"/>
  <c r="P12" i="69"/>
  <c r="X13" i="69"/>
  <c r="Z13" i="69" s="1"/>
  <c r="N21" i="69"/>
  <c r="Z23" i="69"/>
  <c r="N29" i="69"/>
  <c r="Z31" i="69"/>
  <c r="N37" i="69"/>
  <c r="Z39" i="69"/>
  <c r="N45" i="69"/>
  <c r="Z47" i="69"/>
  <c r="X110" i="69"/>
  <c r="Z110" i="69" s="1"/>
  <c r="X130" i="69"/>
  <c r="Z13" i="70"/>
  <c r="N23" i="70"/>
  <c r="N12" i="65"/>
  <c r="J14" i="65"/>
  <c r="R16" i="65"/>
  <c r="J18" i="65"/>
  <c r="J20" i="65"/>
  <c r="R25" i="65"/>
  <c r="J26" i="65"/>
  <c r="R32" i="65"/>
  <c r="J34" i="65"/>
  <c r="R38" i="65"/>
  <c r="J41" i="65"/>
  <c r="H107" i="66"/>
  <c r="J107" i="66" s="1"/>
  <c r="T21" i="67"/>
  <c r="V30" i="67"/>
  <c r="V34" i="67"/>
  <c r="V42" i="67"/>
  <c r="L16" i="69"/>
  <c r="N16" i="69" s="1"/>
  <c r="Z22" i="69"/>
  <c r="Z30" i="69"/>
  <c r="Z38" i="69"/>
  <c r="Z46" i="69"/>
  <c r="J30" i="70"/>
  <c r="L55" i="70"/>
  <c r="Z24" i="71"/>
  <c r="X24" i="71"/>
  <c r="R19" i="65"/>
  <c r="V21" i="67"/>
  <c r="V31" i="67"/>
  <c r="L24" i="69"/>
  <c r="N24" i="69" s="1"/>
  <c r="L32" i="69"/>
  <c r="L40" i="69"/>
  <c r="L48" i="69"/>
  <c r="L100" i="69"/>
  <c r="N100" i="69" s="1"/>
  <c r="J72" i="70"/>
  <c r="H12" i="71"/>
  <c r="L134" i="69"/>
  <c r="T12" i="70"/>
  <c r="L63" i="70"/>
  <c r="N63" i="70" s="1"/>
  <c r="X69" i="70"/>
  <c r="Z69" i="70" s="1"/>
  <c r="L71" i="70"/>
  <c r="X75" i="70"/>
  <c r="Z75" i="70" s="1"/>
  <c r="Z26" i="71"/>
  <c r="L29" i="71"/>
  <c r="N29" i="71" s="1"/>
  <c r="N85" i="71"/>
  <c r="N22" i="73"/>
  <c r="F42" i="73"/>
  <c r="N50" i="73"/>
  <c r="Z64" i="73"/>
  <c r="X64" i="73"/>
  <c r="Z26" i="74"/>
  <c r="R103" i="77"/>
  <c r="R99" i="77"/>
  <c r="R96" i="77"/>
  <c r="R91" i="77"/>
  <c r="R78" i="77"/>
  <c r="R75" i="77"/>
  <c r="R70" i="77"/>
  <c r="R67" i="77"/>
  <c r="R107" i="77"/>
  <c r="R101" i="77"/>
  <c r="R98" i="77"/>
  <c r="R88" i="77"/>
  <c r="R84" i="77"/>
  <c r="R80" i="77"/>
  <c r="R77" i="77"/>
  <c r="R72" i="77"/>
  <c r="R69" i="77"/>
  <c r="R64" i="77"/>
  <c r="R60" i="77"/>
  <c r="R100" i="77"/>
  <c r="R95" i="77"/>
  <c r="R87" i="77"/>
  <c r="R83" i="77"/>
  <c r="R94" i="77"/>
  <c r="R90" i="77"/>
  <c r="R86" i="77"/>
  <c r="R82" i="77"/>
  <c r="R79" i="77"/>
  <c r="R74" i="77"/>
  <c r="R71" i="77"/>
  <c r="R66" i="77"/>
  <c r="R63" i="77"/>
  <c r="R73" i="77"/>
  <c r="R51" i="77"/>
  <c r="R43" i="77"/>
  <c r="R36" i="77"/>
  <c r="R92" i="77"/>
  <c r="R81" i="77"/>
  <c r="R50" i="77"/>
  <c r="R47" i="77"/>
  <c r="R42" i="77"/>
  <c r="R93" i="77"/>
  <c r="R85" i="77"/>
  <c r="R65" i="77"/>
  <c r="R49" i="77"/>
  <c r="R41" i="77"/>
  <c r="R97" i="77"/>
  <c r="R89" i="77"/>
  <c r="R56" i="77"/>
  <c r="R40" i="77"/>
  <c r="R59" i="77"/>
  <c r="R55" i="77"/>
  <c r="R48" i="77"/>
  <c r="R39" i="77"/>
  <c r="R76" i="77"/>
  <c r="R68" i="77"/>
  <c r="R62" i="77"/>
  <c r="R61" i="77"/>
  <c r="R53" i="77"/>
  <c r="P45" i="77"/>
  <c r="R37" i="77"/>
  <c r="R57" i="77"/>
  <c r="R52" i="77"/>
  <c r="X12" i="77"/>
  <c r="R54" i="77"/>
  <c r="R58" i="77"/>
  <c r="T74" i="70"/>
  <c r="Z18" i="71"/>
  <c r="X25" i="71"/>
  <c r="F62" i="73"/>
  <c r="H12" i="69"/>
  <c r="N14" i="71"/>
  <c r="Z17" i="71"/>
  <c r="F68" i="73"/>
  <c r="N28" i="74"/>
  <c r="L13" i="71"/>
  <c r="N13" i="71" s="1"/>
  <c r="D12" i="71"/>
  <c r="P12" i="71"/>
  <c r="Z16" i="71"/>
  <c r="N20" i="71"/>
  <c r="N21" i="71"/>
  <c r="N52" i="71"/>
  <c r="X72" i="71"/>
  <c r="Z77" i="71"/>
  <c r="N79" i="71"/>
  <c r="Z85" i="71"/>
  <c r="V60" i="73"/>
  <c r="V56" i="73"/>
  <c r="V52" i="73"/>
  <c r="V48" i="73"/>
  <c r="V40" i="73"/>
  <c r="V32" i="73"/>
  <c r="V28" i="73"/>
  <c r="V59" i="73"/>
  <c r="V55" i="73"/>
  <c r="V51" i="73"/>
  <c r="V39" i="73"/>
  <c r="V27" i="73"/>
  <c r="V68" i="73"/>
  <c r="V62" i="73"/>
  <c r="V54" i="73"/>
  <c r="V50" i="73"/>
  <c r="V42" i="73"/>
  <c r="V26" i="73"/>
  <c r="V22" i="73"/>
  <c r="V18" i="73"/>
  <c r="V61" i="73"/>
  <c r="V53" i="73"/>
  <c r="V41" i="73"/>
  <c r="V25" i="73"/>
  <c r="V17" i="73"/>
  <c r="V44" i="73"/>
  <c r="V36" i="73"/>
  <c r="V24" i="73"/>
  <c r="V16" i="73"/>
  <c r="V47" i="73"/>
  <c r="V43" i="73"/>
  <c r="V35" i="73"/>
  <c r="V31" i="73"/>
  <c r="V23" i="73"/>
  <c r="V64" i="73"/>
  <c r="V58" i="73"/>
  <c r="V46" i="73"/>
  <c r="V38" i="73"/>
  <c r="V34" i="73"/>
  <c r="V30" i="73"/>
  <c r="V20" i="73"/>
  <c r="Z22" i="73"/>
  <c r="N32" i="73"/>
  <c r="L32" i="73"/>
  <c r="N48" i="73"/>
  <c r="L48" i="73"/>
  <c r="Z50" i="73"/>
  <c r="X20" i="74"/>
  <c r="Z20" i="74" s="1"/>
  <c r="Z13" i="76"/>
  <c r="X13" i="76"/>
  <c r="L18" i="71"/>
  <c r="N18" i="71" s="1"/>
  <c r="Z35" i="71"/>
  <c r="N51" i="71"/>
  <c r="L74" i="71"/>
  <c r="Z81" i="71"/>
  <c r="N93" i="71"/>
  <c r="L93" i="71"/>
  <c r="F48" i="73"/>
  <c r="F32" i="73"/>
  <c r="F25" i="73"/>
  <c r="F17" i="73"/>
  <c r="F59" i="73"/>
  <c r="F44" i="73"/>
  <c r="F39" i="73"/>
  <c r="F36" i="73"/>
  <c r="F24" i="73"/>
  <c r="F73" i="73"/>
  <c r="F66" i="73"/>
  <c r="F50" i="73"/>
  <c r="F47" i="73"/>
  <c r="F35" i="73"/>
  <c r="F31" i="73"/>
  <c r="F22" i="73"/>
  <c r="F61" i="73"/>
  <c r="F58" i="73"/>
  <c r="F53" i="73"/>
  <c r="F46" i="73"/>
  <c r="F41" i="73"/>
  <c r="F38" i="73"/>
  <c r="F34" i="73"/>
  <c r="F30" i="73"/>
  <c r="F57" i="73"/>
  <c r="F49" i="73"/>
  <c r="F33" i="73"/>
  <c r="F29" i="73"/>
  <c r="F16" i="73"/>
  <c r="F60" i="73"/>
  <c r="F56" i="73"/>
  <c r="F52" i="73"/>
  <c r="F43" i="73"/>
  <c r="F40" i="73"/>
  <c r="F28" i="73"/>
  <c r="F23" i="73"/>
  <c r="F70" i="73"/>
  <c r="F64" i="73"/>
  <c r="F55" i="73"/>
  <c r="F51" i="73"/>
  <c r="F27" i="73"/>
  <c r="F20" i="73"/>
  <c r="D20" i="73"/>
  <c r="X28" i="74"/>
  <c r="Z28" i="74" s="1"/>
  <c r="N30" i="74"/>
  <c r="L30" i="74"/>
  <c r="Z35" i="74"/>
  <c r="P71" i="76"/>
  <c r="R20" i="76"/>
  <c r="R38" i="77"/>
  <c r="Z21" i="71"/>
  <c r="X33" i="71"/>
  <c r="N74" i="71"/>
  <c r="L90" i="71"/>
  <c r="T66" i="73"/>
  <c r="V66" i="73" s="1"/>
  <c r="F37" i="73"/>
  <c r="Z48" i="73"/>
  <c r="V57" i="73"/>
  <c r="V65" i="76"/>
  <c r="V61" i="76"/>
  <c r="V57" i="76"/>
  <c r="V53" i="76"/>
  <c r="V49" i="76"/>
  <c r="V41" i="76"/>
  <c r="V64" i="76"/>
  <c r="V60" i="76"/>
  <c r="V56" i="76"/>
  <c r="V52" i="76"/>
  <c r="V44" i="76"/>
  <c r="V40" i="76"/>
  <c r="V24" i="76"/>
  <c r="V16" i="76"/>
  <c r="V78" i="76"/>
  <c r="V73" i="76"/>
  <c r="V71" i="76"/>
  <c r="V67" i="76"/>
  <c r="V59" i="76"/>
  <c r="V55" i="76"/>
  <c r="V51" i="76"/>
  <c r="V43" i="76"/>
  <c r="V35" i="76"/>
  <c r="V31" i="76"/>
  <c r="V23" i="76"/>
  <c r="V66" i="76"/>
  <c r="V54" i="76"/>
  <c r="V46" i="76"/>
  <c r="V42" i="76"/>
  <c r="V34" i="76"/>
  <c r="V30" i="76"/>
  <c r="V20" i="76"/>
  <c r="V45" i="76"/>
  <c r="V37" i="76"/>
  <c r="V33" i="76"/>
  <c r="V29" i="76"/>
  <c r="T20" i="76"/>
  <c r="V75" i="76"/>
  <c r="V69" i="76"/>
  <c r="V63" i="76"/>
  <c r="V47" i="76"/>
  <c r="V39" i="76"/>
  <c r="V27" i="76"/>
  <c r="V62" i="76"/>
  <c r="V58" i="76"/>
  <c r="V50" i="76"/>
  <c r="V38" i="76"/>
  <c r="V26" i="76"/>
  <c r="V22" i="76"/>
  <c r="V18" i="76"/>
  <c r="V17" i="76"/>
  <c r="V36" i="76"/>
  <c r="V32" i="76"/>
  <c r="V28" i="76"/>
  <c r="V25" i="76"/>
  <c r="Z12" i="76"/>
  <c r="X12" i="76"/>
  <c r="T12" i="71"/>
  <c r="Z32" i="71"/>
  <c r="T12" i="77"/>
  <c r="Z15" i="77"/>
  <c r="Z13" i="71"/>
  <c r="X14" i="71"/>
  <c r="Z14" i="71" s="1"/>
  <c r="H90" i="71"/>
  <c r="H12" i="73"/>
  <c r="R16" i="73"/>
  <c r="R31" i="73"/>
  <c r="R35" i="73"/>
  <c r="R47" i="73"/>
  <c r="R14" i="74"/>
  <c r="H17" i="74"/>
  <c r="F20" i="74"/>
  <c r="V20" i="74"/>
  <c r="R21" i="74"/>
  <c r="J24" i="74"/>
  <c r="F25" i="74"/>
  <c r="R26" i="74"/>
  <c r="F28" i="74"/>
  <c r="V28" i="74"/>
  <c r="R29" i="74"/>
  <c r="J30" i="74"/>
  <c r="F33" i="74"/>
  <c r="J36" i="74"/>
  <c r="V40" i="74"/>
  <c r="F44" i="74"/>
  <c r="V44" i="74"/>
  <c r="V46" i="74"/>
  <c r="R51" i="74"/>
  <c r="F32" i="76"/>
  <c r="F36" i="76"/>
  <c r="F41" i="76"/>
  <c r="L47" i="76"/>
  <c r="F61" i="76"/>
  <c r="Z14" i="77"/>
  <c r="X23" i="77"/>
  <c r="Z23" i="77" s="1"/>
  <c r="X67" i="77"/>
  <c r="Z67" i="77" s="1"/>
  <c r="R36" i="73"/>
  <c r="R41" i="73"/>
  <c r="R44" i="73"/>
  <c r="R53" i="73"/>
  <c r="R61" i="73"/>
  <c r="J17" i="74"/>
  <c r="J25" i="74"/>
  <c r="J33" i="74"/>
  <c r="F34" i="74"/>
  <c r="R35" i="74"/>
  <c r="F37" i="74"/>
  <c r="R38" i="74"/>
  <c r="J39" i="74"/>
  <c r="R31" i="75"/>
  <c r="R21" i="75"/>
  <c r="R25" i="75"/>
  <c r="R20" i="75"/>
  <c r="X12" i="75"/>
  <c r="R19" i="75"/>
  <c r="L15" i="75"/>
  <c r="P23" i="75"/>
  <c r="J44" i="76"/>
  <c r="X45" i="76"/>
  <c r="N47" i="76"/>
  <c r="L36" i="77"/>
  <c r="N36" i="77" s="1"/>
  <c r="J20" i="74"/>
  <c r="J28" i="74"/>
  <c r="J34" i="74"/>
  <c r="J44" i="74"/>
  <c r="N15" i="75"/>
  <c r="F49" i="76"/>
  <c r="F46" i="76"/>
  <c r="F64" i="76"/>
  <c r="F40" i="76"/>
  <c r="F37" i="76"/>
  <c r="F33" i="76"/>
  <c r="F29" i="76"/>
  <c r="F16" i="76"/>
  <c r="F59" i="76"/>
  <c r="F51" i="76"/>
  <c r="F48" i="76"/>
  <c r="F28" i="76"/>
  <c r="F23" i="76"/>
  <c r="L12" i="76"/>
  <c r="F66" i="76"/>
  <c r="F63" i="76"/>
  <c r="F54" i="76"/>
  <c r="F42" i="76"/>
  <c r="F39" i="76"/>
  <c r="F27" i="76"/>
  <c r="F62" i="76"/>
  <c r="F58" i="76"/>
  <c r="F50" i="76"/>
  <c r="F45" i="76"/>
  <c r="F26" i="76"/>
  <c r="D20" i="76"/>
  <c r="F20" i="76" s="1"/>
  <c r="F18" i="76"/>
  <c r="F69" i="76"/>
  <c r="F60" i="76"/>
  <c r="F56" i="76"/>
  <c r="F52" i="76"/>
  <c r="F47" i="76"/>
  <c r="F44" i="76"/>
  <c r="F24" i="76"/>
  <c r="F73" i="76"/>
  <c r="F67" i="76"/>
  <c r="F55" i="76"/>
  <c r="F43" i="76"/>
  <c r="F38" i="76"/>
  <c r="F35" i="76"/>
  <c r="F31" i="76"/>
  <c r="F22" i="76"/>
  <c r="F17" i="76"/>
  <c r="Z45" i="76"/>
  <c r="F53" i="76"/>
  <c r="H12" i="77"/>
  <c r="R18" i="73"/>
  <c r="R26" i="73"/>
  <c r="R39" i="73"/>
  <c r="R42" i="73"/>
  <c r="R54" i="73"/>
  <c r="R59" i="73"/>
  <c r="R62" i="73"/>
  <c r="R68" i="73"/>
  <c r="L12" i="74"/>
  <c r="F19" i="74"/>
  <c r="V19" i="74"/>
  <c r="V23" i="74"/>
  <c r="R24" i="74"/>
  <c r="V27" i="74"/>
  <c r="J31" i="74"/>
  <c r="F35" i="74"/>
  <c r="V35" i="74"/>
  <c r="R36" i="74"/>
  <c r="J37" i="74"/>
  <c r="F40" i="74"/>
  <c r="F46" i="74"/>
  <c r="D12" i="75"/>
  <c r="N14" i="75"/>
  <c r="V31" i="75"/>
  <c r="V25" i="75"/>
  <c r="V21" i="75"/>
  <c r="V20" i="75"/>
  <c r="Z12" i="75"/>
  <c r="V19" i="75"/>
  <c r="V18" i="75"/>
  <c r="Z18" i="75"/>
  <c r="T23" i="75"/>
  <c r="L16" i="76"/>
  <c r="J22" i="76"/>
  <c r="Z32" i="76"/>
  <c r="Z42" i="76"/>
  <c r="Z47" i="76"/>
  <c r="D12" i="77"/>
  <c r="N20" i="77"/>
  <c r="X19" i="81"/>
  <c r="Z19" i="81" s="1"/>
  <c r="P90" i="71"/>
  <c r="L92" i="71"/>
  <c r="R27" i="73"/>
  <c r="R32" i="73"/>
  <c r="R48" i="73"/>
  <c r="R51" i="73"/>
  <c r="R55" i="73"/>
  <c r="X61" i="73"/>
  <c r="Z61" i="73" s="1"/>
  <c r="N12" i="74"/>
  <c r="J14" i="74"/>
  <c r="P17" i="74"/>
  <c r="X19" i="74"/>
  <c r="Z19" i="74" s="1"/>
  <c r="F21" i="74"/>
  <c r="V24" i="74"/>
  <c r="R25" i="74"/>
  <c r="J26" i="74"/>
  <c r="F29" i="74"/>
  <c r="R30" i="74"/>
  <c r="F32" i="74"/>
  <c r="V32" i="74"/>
  <c r="R33" i="74"/>
  <c r="X35" i="74"/>
  <c r="V36" i="74"/>
  <c r="L37" i="74"/>
  <c r="J40" i="74"/>
  <c r="F42" i="74"/>
  <c r="V42" i="74"/>
  <c r="J46" i="74"/>
  <c r="F48" i="74"/>
  <c r="J78" i="76"/>
  <c r="J71" i="76"/>
  <c r="J59" i="76"/>
  <c r="J51" i="76"/>
  <c r="J37" i="76"/>
  <c r="J66" i="76"/>
  <c r="J54" i="76"/>
  <c r="J48" i="76"/>
  <c r="J42" i="76"/>
  <c r="J28" i="76"/>
  <c r="J20" i="76"/>
  <c r="N12" i="76"/>
  <c r="J63" i="76"/>
  <c r="J45" i="76"/>
  <c r="J39" i="76"/>
  <c r="J27" i="76"/>
  <c r="H20" i="76"/>
  <c r="J62" i="76"/>
  <c r="J58" i="76"/>
  <c r="J50" i="76"/>
  <c r="J36" i="76"/>
  <c r="J32" i="76"/>
  <c r="J26" i="76"/>
  <c r="J18" i="76"/>
  <c r="J75" i="76"/>
  <c r="J69" i="76"/>
  <c r="J65" i="76"/>
  <c r="J61" i="76"/>
  <c r="J57" i="76"/>
  <c r="J53" i="76"/>
  <c r="J47" i="76"/>
  <c r="J41" i="76"/>
  <c r="J25" i="76"/>
  <c r="J17" i="76"/>
  <c r="J73" i="76"/>
  <c r="J67" i="76"/>
  <c r="J55" i="76"/>
  <c r="J49" i="76"/>
  <c r="J43" i="76"/>
  <c r="J35" i="76"/>
  <c r="J31" i="76"/>
  <c r="J64" i="76"/>
  <c r="J46" i="76"/>
  <c r="J40" i="76"/>
  <c r="J34" i="76"/>
  <c r="J30" i="76"/>
  <c r="F34" i="76"/>
  <c r="J56" i="76"/>
  <c r="Z16" i="77"/>
  <c r="X12" i="73"/>
  <c r="Z12" i="73" s="1"/>
  <c r="P20" i="73"/>
  <c r="R28" i="73"/>
  <c r="R37" i="73"/>
  <c r="R40" i="73"/>
  <c r="R45" i="73"/>
  <c r="R52" i="73"/>
  <c r="R56" i="73"/>
  <c r="R60" i="73"/>
  <c r="R17" i="74"/>
  <c r="J19" i="74"/>
  <c r="J21" i="74"/>
  <c r="F22" i="74"/>
  <c r="J29" i="74"/>
  <c r="V33" i="74"/>
  <c r="R34" i="74"/>
  <c r="J35" i="74"/>
  <c r="F38" i="74"/>
  <c r="R39" i="74"/>
  <c r="F51" i="74"/>
  <c r="F30" i="76"/>
  <c r="J52" i="76"/>
  <c r="Z54" i="76"/>
  <c r="Z20" i="77"/>
  <c r="Z31" i="77"/>
  <c r="T90" i="71"/>
  <c r="R20" i="73"/>
  <c r="R29" i="73"/>
  <c r="R33" i="73"/>
  <c r="R49" i="73"/>
  <c r="R57" i="73"/>
  <c r="R64" i="73"/>
  <c r="F15" i="74"/>
  <c r="D17" i="74"/>
  <c r="T17" i="74"/>
  <c r="R20" i="74"/>
  <c r="J22" i="74"/>
  <c r="F23" i="74"/>
  <c r="F27" i="74"/>
  <c r="R28" i="74"/>
  <c r="V30" i="74"/>
  <c r="R31" i="74"/>
  <c r="J32" i="74"/>
  <c r="V34" i="74"/>
  <c r="J38" i="74"/>
  <c r="J42" i="74"/>
  <c r="R44" i="74"/>
  <c r="J48" i="74"/>
  <c r="H12" i="75"/>
  <c r="R69" i="76"/>
  <c r="R62" i="76"/>
  <c r="R58" i="76"/>
  <c r="R50" i="76"/>
  <c r="R47" i="76"/>
  <c r="R65" i="76"/>
  <c r="R61" i="76"/>
  <c r="R57" i="76"/>
  <c r="R53" i="76"/>
  <c r="R41" i="76"/>
  <c r="R38" i="76"/>
  <c r="R25" i="76"/>
  <c r="R22" i="76"/>
  <c r="R17" i="76"/>
  <c r="R60" i="76"/>
  <c r="R56" i="76"/>
  <c r="R52" i="76"/>
  <c r="R49" i="76"/>
  <c r="R44" i="76"/>
  <c r="R24" i="76"/>
  <c r="R73" i="76"/>
  <c r="R67" i="76"/>
  <c r="R64" i="76"/>
  <c r="R55" i="76"/>
  <c r="R43" i="76"/>
  <c r="R40" i="76"/>
  <c r="R35" i="76"/>
  <c r="R31" i="76"/>
  <c r="R16" i="76"/>
  <c r="R71" i="76"/>
  <c r="R59" i="76"/>
  <c r="R51" i="76"/>
  <c r="R46" i="76"/>
  <c r="R34" i="76"/>
  <c r="R30" i="76"/>
  <c r="R23" i="76"/>
  <c r="R48" i="76"/>
  <c r="R45" i="76"/>
  <c r="R28" i="76"/>
  <c r="R63" i="76"/>
  <c r="R39" i="76"/>
  <c r="R36" i="76"/>
  <c r="R32" i="76"/>
  <c r="R27" i="76"/>
  <c r="X14" i="76"/>
  <c r="Z22" i="76"/>
  <c r="F25" i="76"/>
  <c r="J29" i="76"/>
  <c r="J33" i="76"/>
  <c r="J38" i="76"/>
  <c r="F65" i="76"/>
  <c r="R66" i="76"/>
  <c r="X15" i="77"/>
  <c r="Z24" i="77"/>
  <c r="L27" i="77"/>
  <c r="Z30" i="77"/>
  <c r="N47" i="77"/>
  <c r="X23" i="80"/>
  <c r="Z23" i="80" s="1"/>
  <c r="N25" i="80"/>
  <c r="L25" i="80"/>
  <c r="L16" i="77"/>
  <c r="N16" i="77" s="1"/>
  <c r="X20" i="77"/>
  <c r="L24" i="77"/>
  <c r="X28" i="77"/>
  <c r="Z28" i="77" s="1"/>
  <c r="L32" i="77"/>
  <c r="N32" i="77" s="1"/>
  <c r="N67" i="77"/>
  <c r="Z73" i="77"/>
  <c r="Z91" i="77"/>
  <c r="N98" i="77"/>
  <c r="L98" i="77"/>
  <c r="F67" i="79"/>
  <c r="F63" i="79"/>
  <c r="F59" i="79"/>
  <c r="F55" i="79"/>
  <c r="F50" i="79"/>
  <c r="F47" i="79"/>
  <c r="F35" i="79"/>
  <c r="F31" i="79"/>
  <c r="F22" i="79"/>
  <c r="F79" i="79"/>
  <c r="F73" i="79"/>
  <c r="F66" i="79"/>
  <c r="F58" i="79"/>
  <c r="F41" i="79"/>
  <c r="F38" i="79"/>
  <c r="F34" i="79"/>
  <c r="F30" i="79"/>
  <c r="F83" i="79"/>
  <c r="F65" i="79"/>
  <c r="F52" i="79"/>
  <c r="F49" i="79"/>
  <c r="F33" i="79"/>
  <c r="F29" i="79"/>
  <c r="F16" i="79"/>
  <c r="F75" i="79"/>
  <c r="F72" i="79"/>
  <c r="F43" i="79"/>
  <c r="F40" i="79"/>
  <c r="F28" i="79"/>
  <c r="F23" i="79"/>
  <c r="L12" i="79"/>
  <c r="F71" i="79"/>
  <c r="F62" i="79"/>
  <c r="F54" i="79"/>
  <c r="F51" i="79"/>
  <c r="F46" i="79"/>
  <c r="F27" i="79"/>
  <c r="F20" i="79"/>
  <c r="F74" i="79"/>
  <c r="F70" i="79"/>
  <c r="F57" i="79"/>
  <c r="F42" i="79"/>
  <c r="F37" i="79"/>
  <c r="F26" i="79"/>
  <c r="D20" i="79"/>
  <c r="F18" i="79"/>
  <c r="F78" i="79"/>
  <c r="F69" i="79"/>
  <c r="F64" i="79"/>
  <c r="F61" i="79"/>
  <c r="F53" i="79"/>
  <c r="F48" i="79"/>
  <c r="F45" i="79"/>
  <c r="F32" i="79"/>
  <c r="F25" i="79"/>
  <c r="F17" i="79"/>
  <c r="F39" i="79"/>
  <c r="F44" i="79"/>
  <c r="N50" i="79"/>
  <c r="L50" i="79"/>
  <c r="X13" i="77"/>
  <c r="Z13" i="77" s="1"/>
  <c r="N75" i="77"/>
  <c r="X103" i="77"/>
  <c r="J35" i="78"/>
  <c r="J28" i="78"/>
  <c r="J16" i="78"/>
  <c r="J23" i="78"/>
  <c r="J20" i="78"/>
  <c r="N12" i="78"/>
  <c r="H20" i="78"/>
  <c r="J32" i="78"/>
  <c r="J26" i="78"/>
  <c r="J18" i="78"/>
  <c r="J17" i="78"/>
  <c r="J30" i="78"/>
  <c r="J24" i="78"/>
  <c r="J22" i="78"/>
  <c r="N22" i="79"/>
  <c r="Z48" i="79"/>
  <c r="X48" i="79"/>
  <c r="V59" i="81"/>
  <c r="F27" i="82"/>
  <c r="F16" i="82"/>
  <c r="F37" i="82"/>
  <c r="F31" i="82"/>
  <c r="F21" i="82"/>
  <c r="D16" i="82"/>
  <c r="F35" i="82"/>
  <c r="F29" i="82"/>
  <c r="F23" i="82"/>
  <c r="F20" i="82"/>
  <c r="L12" i="82"/>
  <c r="F26" i="82"/>
  <c r="F18" i="82"/>
  <c r="F14" i="82"/>
  <c r="F28" i="82"/>
  <c r="F25" i="82"/>
  <c r="F24" i="82"/>
  <c r="F40" i="82"/>
  <c r="F19" i="82"/>
  <c r="P12" i="78"/>
  <c r="J66" i="79"/>
  <c r="J58" i="79"/>
  <c r="J52" i="79"/>
  <c r="J38" i="79"/>
  <c r="J34" i="79"/>
  <c r="J30" i="79"/>
  <c r="J16" i="79"/>
  <c r="J83" i="79"/>
  <c r="J75" i="79"/>
  <c r="J65" i="79"/>
  <c r="J49" i="79"/>
  <c r="J43" i="79"/>
  <c r="J33" i="79"/>
  <c r="J29" i="79"/>
  <c r="J23" i="79"/>
  <c r="J72" i="79"/>
  <c r="J62" i="79"/>
  <c r="J54" i="79"/>
  <c r="J46" i="79"/>
  <c r="J40" i="79"/>
  <c r="J28" i="79"/>
  <c r="J20" i="79"/>
  <c r="N12" i="79"/>
  <c r="J88" i="79"/>
  <c r="J81" i="79"/>
  <c r="J71" i="79"/>
  <c r="J57" i="79"/>
  <c r="J51" i="79"/>
  <c r="J37" i="79"/>
  <c r="J27" i="79"/>
  <c r="H20" i="79"/>
  <c r="J78" i="79"/>
  <c r="J74" i="79"/>
  <c r="J70" i="79"/>
  <c r="J64" i="79"/>
  <c r="J48" i="79"/>
  <c r="J42" i="79"/>
  <c r="J32" i="79"/>
  <c r="J26" i="79"/>
  <c r="J18" i="79"/>
  <c r="J69" i="79"/>
  <c r="J61" i="79"/>
  <c r="J53" i="79"/>
  <c r="J45" i="79"/>
  <c r="J39" i="79"/>
  <c r="J25" i="79"/>
  <c r="J17" i="79"/>
  <c r="J76" i="79"/>
  <c r="J68" i="79"/>
  <c r="J60" i="79"/>
  <c r="J56" i="79"/>
  <c r="J50" i="79"/>
  <c r="J44" i="79"/>
  <c r="J36" i="79"/>
  <c r="J24" i="79"/>
  <c r="J22" i="79"/>
  <c r="Z23" i="79"/>
  <c r="F56" i="79"/>
  <c r="J63" i="79"/>
  <c r="J73" i="79"/>
  <c r="N14" i="88"/>
  <c r="L14" i="88"/>
  <c r="X65" i="77"/>
  <c r="X85" i="77"/>
  <c r="L91" i="77"/>
  <c r="N91" i="77" s="1"/>
  <c r="T12" i="78"/>
  <c r="Z13" i="78"/>
  <c r="R28" i="79"/>
  <c r="Z54" i="79"/>
  <c r="J59" i="79"/>
  <c r="Z64" i="79"/>
  <c r="X64" i="79"/>
  <c r="F76" i="79"/>
  <c r="Z16" i="80"/>
  <c r="T32" i="80"/>
  <c r="Z18" i="80"/>
  <c r="L16" i="81"/>
  <c r="N28" i="81"/>
  <c r="X81" i="77"/>
  <c r="Z89" i="77"/>
  <c r="L22" i="78"/>
  <c r="R78" i="79"/>
  <c r="R71" i="79"/>
  <c r="R64" i="79"/>
  <c r="R51" i="79"/>
  <c r="R48" i="79"/>
  <c r="R32" i="79"/>
  <c r="R27" i="79"/>
  <c r="R74" i="79"/>
  <c r="R70" i="79"/>
  <c r="R42" i="79"/>
  <c r="R39" i="79"/>
  <c r="R26" i="79"/>
  <c r="R18" i="79"/>
  <c r="R69" i="79"/>
  <c r="R61" i="79"/>
  <c r="R53" i="79"/>
  <c r="R50" i="79"/>
  <c r="R45" i="79"/>
  <c r="R25" i="79"/>
  <c r="R22" i="79"/>
  <c r="R17" i="79"/>
  <c r="R79" i="79"/>
  <c r="R76" i="79"/>
  <c r="R73" i="79"/>
  <c r="R68" i="79"/>
  <c r="R60" i="79"/>
  <c r="R56" i="79"/>
  <c r="R44" i="79"/>
  <c r="R41" i="79"/>
  <c r="R36" i="79"/>
  <c r="R24" i="79"/>
  <c r="R67" i="79"/>
  <c r="R63" i="79"/>
  <c r="R59" i="79"/>
  <c r="R55" i="79"/>
  <c r="R52" i="79"/>
  <c r="R47" i="79"/>
  <c r="R35" i="79"/>
  <c r="R31" i="79"/>
  <c r="R16" i="79"/>
  <c r="R75" i="79"/>
  <c r="R66" i="79"/>
  <c r="R58" i="79"/>
  <c r="R43" i="79"/>
  <c r="R38" i="79"/>
  <c r="R34" i="79"/>
  <c r="R30" i="79"/>
  <c r="R23" i="79"/>
  <c r="R83" i="79"/>
  <c r="R65" i="79"/>
  <c r="R62" i="79"/>
  <c r="R54" i="79"/>
  <c r="R49" i="79"/>
  <c r="R46" i="79"/>
  <c r="R33" i="79"/>
  <c r="R29" i="79"/>
  <c r="R20" i="79"/>
  <c r="F24" i="79"/>
  <c r="F68" i="79"/>
  <c r="R72" i="79"/>
  <c r="J79" i="79"/>
  <c r="J27" i="80"/>
  <c r="J19" i="80"/>
  <c r="J24" i="80"/>
  <c r="J16" i="80"/>
  <c r="J21" i="80"/>
  <c r="H16" i="80"/>
  <c r="J36" i="80"/>
  <c r="J30" i="80"/>
  <c r="J26" i="80"/>
  <c r="J23" i="80"/>
  <c r="J34" i="80"/>
  <c r="J28" i="80"/>
  <c r="J20" i="80"/>
  <c r="J18" i="80"/>
  <c r="J14" i="80"/>
  <c r="N12" i="80"/>
  <c r="J25" i="80"/>
  <c r="V68" i="81"/>
  <c r="V58" i="81"/>
  <c r="V61" i="81"/>
  <c r="V57" i="81"/>
  <c r="V53" i="81"/>
  <c r="V49" i="81"/>
  <c r="V41" i="81"/>
  <c r="V79" i="81"/>
  <c r="V74" i="81"/>
  <c r="V72" i="81"/>
  <c r="V64" i="81"/>
  <c r="V60" i="81"/>
  <c r="V69" i="81"/>
  <c r="V63" i="81"/>
  <c r="V43" i="81"/>
  <c r="V66" i="81"/>
  <c r="V62" i="81"/>
  <c r="V46" i="81"/>
  <c r="V76" i="81"/>
  <c r="V70" i="81"/>
  <c r="V56" i="81"/>
  <c r="V52" i="81"/>
  <c r="V48" i="81"/>
  <c r="V42" i="81"/>
  <c r="V37" i="81"/>
  <c r="V29" i="81"/>
  <c r="V25" i="81"/>
  <c r="T16" i="81"/>
  <c r="V55" i="81"/>
  <c r="V36" i="81"/>
  <c r="V28" i="81"/>
  <c r="V24" i="81"/>
  <c r="V50" i="81"/>
  <c r="V40" i="81"/>
  <c r="V23" i="81"/>
  <c r="V39" i="81"/>
  <c r="V22" i="81"/>
  <c r="V18" i="81"/>
  <c r="V14" i="81"/>
  <c r="V51" i="81"/>
  <c r="V33" i="81"/>
  <c r="V21" i="81"/>
  <c r="V45" i="81"/>
  <c r="V32" i="81"/>
  <c r="V20" i="81"/>
  <c r="Z12" i="81"/>
  <c r="V47" i="81"/>
  <c r="V35" i="81"/>
  <c r="V31" i="81"/>
  <c r="V27" i="81"/>
  <c r="V19" i="81"/>
  <c r="Z65" i="77"/>
  <c r="L67" i="77"/>
  <c r="X73" i="77"/>
  <c r="Z85" i="77"/>
  <c r="T12" i="79"/>
  <c r="Z13" i="79"/>
  <c r="F36" i="79"/>
  <c r="J41" i="79"/>
  <c r="J55" i="79"/>
  <c r="X78" i="79"/>
  <c r="Z21" i="80"/>
  <c r="J39" i="80"/>
  <c r="V38" i="81"/>
  <c r="F33" i="82"/>
  <c r="L20" i="86"/>
  <c r="N20" i="86" s="1"/>
  <c r="L75" i="77"/>
  <c r="Z81" i="77"/>
  <c r="Z96" i="77"/>
  <c r="X96" i="77"/>
  <c r="P81" i="79"/>
  <c r="J67" i="79"/>
  <c r="J85" i="79"/>
  <c r="H72" i="81"/>
  <c r="N16" i="81"/>
  <c r="V54" i="81"/>
  <c r="F22" i="82"/>
  <c r="X13" i="78"/>
  <c r="F17" i="78"/>
  <c r="F26" i="78"/>
  <c r="X13" i="79"/>
  <c r="X39" i="79"/>
  <c r="L41" i="79"/>
  <c r="L73" i="79"/>
  <c r="L79" i="79"/>
  <c r="L12" i="80"/>
  <c r="P16" i="80"/>
  <c r="F20" i="80"/>
  <c r="R21" i="80"/>
  <c r="F23" i="80"/>
  <c r="V23" i="80"/>
  <c r="R24" i="80"/>
  <c r="F28" i="80"/>
  <c r="F34" i="80"/>
  <c r="X12" i="81"/>
  <c r="F19" i="81"/>
  <c r="R20" i="81"/>
  <c r="J23" i="81"/>
  <c r="F24" i="81"/>
  <c r="R32" i="81"/>
  <c r="X34" i="81"/>
  <c r="Z34" i="81" s="1"/>
  <c r="L36" i="81"/>
  <c r="N36" i="81" s="1"/>
  <c r="J40" i="81"/>
  <c r="Z43" i="81"/>
  <c r="L49" i="81"/>
  <c r="N49" i="81" s="1"/>
  <c r="R52" i="81"/>
  <c r="F58" i="81"/>
  <c r="Z28" i="82"/>
  <c r="J27" i="83"/>
  <c r="J19" i="83"/>
  <c r="J42" i="83"/>
  <c r="J36" i="83"/>
  <c r="J32" i="83"/>
  <c r="J24" i="83"/>
  <c r="J16" i="83"/>
  <c r="J29" i="83"/>
  <c r="J23" i="83"/>
  <c r="H16" i="83"/>
  <c r="J40" i="83"/>
  <c r="J34" i="83"/>
  <c r="J26" i="83"/>
  <c r="J22" i="83"/>
  <c r="J31" i="83"/>
  <c r="J21" i="83"/>
  <c r="J45" i="83"/>
  <c r="J38" i="83"/>
  <c r="J28" i="83"/>
  <c r="J20" i="83"/>
  <c r="J18" i="83"/>
  <c r="J33" i="83"/>
  <c r="J25" i="83"/>
  <c r="J14" i="83"/>
  <c r="N15" i="84"/>
  <c r="L15" i="84"/>
  <c r="V18" i="85"/>
  <c r="F31" i="85"/>
  <c r="J34" i="85"/>
  <c r="F18" i="78"/>
  <c r="D20" i="78"/>
  <c r="F20" i="78" s="1"/>
  <c r="H78" i="79"/>
  <c r="N78" i="79" s="1"/>
  <c r="Z14" i="80"/>
  <c r="F30" i="80"/>
  <c r="V30" i="80"/>
  <c r="F36" i="80"/>
  <c r="V36" i="80"/>
  <c r="R14" i="81"/>
  <c r="R18" i="81"/>
  <c r="R21" i="81"/>
  <c r="F25" i="81"/>
  <c r="F29" i="81"/>
  <c r="R33" i="81"/>
  <c r="J34" i="81"/>
  <c r="F37" i="81"/>
  <c r="F50" i="81"/>
  <c r="R51" i="81"/>
  <c r="J57" i="81"/>
  <c r="J61" i="81"/>
  <c r="P16" i="82"/>
  <c r="X14" i="82"/>
  <c r="N19" i="82"/>
  <c r="P38" i="83"/>
  <c r="N18" i="83"/>
  <c r="L19" i="84"/>
  <c r="N19" i="84" s="1"/>
  <c r="J83" i="85"/>
  <c r="J75" i="85"/>
  <c r="J72" i="85"/>
  <c r="J68" i="85"/>
  <c r="J74" i="85"/>
  <c r="J76" i="85"/>
  <c r="J65" i="85"/>
  <c r="J49" i="85"/>
  <c r="J43" i="85"/>
  <c r="J33" i="85"/>
  <c r="J29" i="85"/>
  <c r="J23" i="85"/>
  <c r="J62" i="85"/>
  <c r="J54" i="85"/>
  <c r="J46" i="85"/>
  <c r="J40" i="85"/>
  <c r="J28" i="85"/>
  <c r="N12" i="85"/>
  <c r="J57" i="85"/>
  <c r="J51" i="85"/>
  <c r="J37" i="85"/>
  <c r="J27" i="85"/>
  <c r="H20" i="85"/>
  <c r="J20" i="85" s="1"/>
  <c r="J64" i="85"/>
  <c r="J48" i="85"/>
  <c r="J42" i="85"/>
  <c r="J32" i="85"/>
  <c r="J26" i="85"/>
  <c r="J18" i="85"/>
  <c r="J71" i="85"/>
  <c r="J61" i="85"/>
  <c r="J53" i="85"/>
  <c r="J45" i="85"/>
  <c r="J39" i="85"/>
  <c r="J25" i="85"/>
  <c r="J17" i="85"/>
  <c r="J73" i="85"/>
  <c r="J60" i="85"/>
  <c r="J56" i="85"/>
  <c r="J50" i="85"/>
  <c r="J44" i="85"/>
  <c r="J36" i="85"/>
  <c r="J24" i="85"/>
  <c r="J22" i="85"/>
  <c r="J70" i="85"/>
  <c r="J67" i="85"/>
  <c r="J63" i="85"/>
  <c r="J59" i="85"/>
  <c r="J55" i="85"/>
  <c r="J47" i="85"/>
  <c r="J41" i="85"/>
  <c r="J35" i="85"/>
  <c r="J31" i="85"/>
  <c r="V22" i="85"/>
  <c r="V42" i="85"/>
  <c r="V50" i="85"/>
  <c r="F59" i="85"/>
  <c r="J66" i="85"/>
  <c r="N41" i="86"/>
  <c r="L41" i="86"/>
  <c r="D16" i="80"/>
  <c r="R19" i="80"/>
  <c r="F21" i="80"/>
  <c r="R22" i="80"/>
  <c r="F26" i="80"/>
  <c r="R27" i="80"/>
  <c r="F68" i="81"/>
  <c r="F63" i="81"/>
  <c r="F66" i="81"/>
  <c r="F57" i="81"/>
  <c r="F53" i="81"/>
  <c r="F49" i="81"/>
  <c r="F46" i="81"/>
  <c r="F41" i="81"/>
  <c r="F79" i="81"/>
  <c r="F72" i="81"/>
  <c r="F60" i="81"/>
  <c r="F69" i="81"/>
  <c r="F56" i="81"/>
  <c r="F52" i="81"/>
  <c r="F48" i="81"/>
  <c r="F43" i="81"/>
  <c r="F62" i="81"/>
  <c r="F59" i="81"/>
  <c r="F55" i="81"/>
  <c r="F51" i="81"/>
  <c r="F76" i="81"/>
  <c r="F70" i="81"/>
  <c r="F61" i="81"/>
  <c r="J19" i="81"/>
  <c r="R22" i="81"/>
  <c r="J25" i="81"/>
  <c r="F26" i="81"/>
  <c r="J29" i="81"/>
  <c r="F30" i="81"/>
  <c r="J37" i="81"/>
  <c r="F38" i="81"/>
  <c r="J41" i="81"/>
  <c r="F42" i="81"/>
  <c r="Z62" i="81"/>
  <c r="F64" i="81"/>
  <c r="R66" i="81"/>
  <c r="F74" i="81"/>
  <c r="J23" i="84"/>
  <c r="L12" i="84"/>
  <c r="J28" i="84"/>
  <c r="J20" i="84"/>
  <c r="J25" i="84"/>
  <c r="J17" i="84"/>
  <c r="J38" i="84"/>
  <c r="J32" i="84"/>
  <c r="J22" i="84"/>
  <c r="H17" i="84"/>
  <c r="J27" i="84"/>
  <c r="J36" i="84"/>
  <c r="J30" i="84"/>
  <c r="J24" i="84"/>
  <c r="J29" i="84"/>
  <c r="J21" i="84"/>
  <c r="J19" i="84"/>
  <c r="J15" i="84"/>
  <c r="Z22" i="84"/>
  <c r="J41" i="84"/>
  <c r="P12" i="85"/>
  <c r="X13" i="85"/>
  <c r="Z13" i="85" s="1"/>
  <c r="Z14" i="85"/>
  <c r="Z32" i="85"/>
  <c r="Z37" i="85"/>
  <c r="N39" i="85"/>
  <c r="J52" i="85"/>
  <c r="Z57" i="85"/>
  <c r="Z64" i="85"/>
  <c r="L30" i="88"/>
  <c r="D29" i="88"/>
  <c r="L12" i="78"/>
  <c r="F23" i="78"/>
  <c r="F16" i="80"/>
  <c r="V16" i="80"/>
  <c r="V22" i="80"/>
  <c r="R32" i="80"/>
  <c r="R39" i="80"/>
  <c r="J79" i="81"/>
  <c r="J72" i="81"/>
  <c r="J66" i="81"/>
  <c r="J60" i="81"/>
  <c r="J69" i="81"/>
  <c r="J43" i="81"/>
  <c r="J62" i="81"/>
  <c r="J56" i="81"/>
  <c r="J52" i="81"/>
  <c r="J48" i="81"/>
  <c r="J65" i="81"/>
  <c r="J59" i="81"/>
  <c r="J55" i="81"/>
  <c r="J51" i="81"/>
  <c r="J45" i="81"/>
  <c r="J76" i="81"/>
  <c r="J70" i="81"/>
  <c r="J58" i="81"/>
  <c r="J54" i="81"/>
  <c r="J50" i="81"/>
  <c r="J74" i="81"/>
  <c r="J68" i="81"/>
  <c r="J64" i="81"/>
  <c r="F14" i="81"/>
  <c r="F18" i="81"/>
  <c r="R23" i="81"/>
  <c r="J26" i="81"/>
  <c r="F27" i="81"/>
  <c r="R28" i="81"/>
  <c r="J30" i="81"/>
  <c r="F31" i="81"/>
  <c r="F35" i="81"/>
  <c r="R36" i="81"/>
  <c r="J38" i="81"/>
  <c r="R40" i="81"/>
  <c r="L41" i="81"/>
  <c r="N41" i="81" s="1"/>
  <c r="J42" i="81"/>
  <c r="F44" i="81"/>
  <c r="J46" i="81"/>
  <c r="F47" i="81"/>
  <c r="R56" i="81"/>
  <c r="D68" i="81"/>
  <c r="L68" i="81" s="1"/>
  <c r="L70" i="81"/>
  <c r="J30" i="85"/>
  <c r="L41" i="85"/>
  <c r="N41" i="85" s="1"/>
  <c r="F47" i="85"/>
  <c r="F16" i="78"/>
  <c r="X12" i="80"/>
  <c r="F19" i="80"/>
  <c r="V19" i="80"/>
  <c r="R20" i="80"/>
  <c r="F24" i="80"/>
  <c r="R25" i="80"/>
  <c r="F27" i="80"/>
  <c r="V27" i="80"/>
  <c r="R28" i="80"/>
  <c r="R34" i="80"/>
  <c r="L12" i="81"/>
  <c r="P16" i="81"/>
  <c r="F20" i="81"/>
  <c r="R24" i="81"/>
  <c r="J27" i="81"/>
  <c r="J31" i="81"/>
  <c r="F32" i="81"/>
  <c r="J35" i="81"/>
  <c r="F39" i="81"/>
  <c r="J44" i="81"/>
  <c r="F45" i="81"/>
  <c r="N47" i="81"/>
  <c r="F54" i="81"/>
  <c r="R55" i="81"/>
  <c r="N60" i="81"/>
  <c r="J63" i="81"/>
  <c r="H33" i="82"/>
  <c r="N16" i="82"/>
  <c r="X26" i="82"/>
  <c r="L28" i="82"/>
  <c r="N28" i="82" s="1"/>
  <c r="Z31" i="83"/>
  <c r="X31" i="83"/>
  <c r="N33" i="83"/>
  <c r="L33" i="83"/>
  <c r="J38" i="85"/>
  <c r="X39" i="85"/>
  <c r="Z39" i="85" s="1"/>
  <c r="J58" i="85"/>
  <c r="N26" i="88"/>
  <c r="L26" i="88"/>
  <c r="Z12" i="80"/>
  <c r="R14" i="80"/>
  <c r="V20" i="80"/>
  <c r="V28" i="80"/>
  <c r="F32" i="80"/>
  <c r="V32" i="80"/>
  <c r="V34" i="80"/>
  <c r="F39" i="80"/>
  <c r="N12" i="81"/>
  <c r="J14" i="81"/>
  <c r="R16" i="81"/>
  <c r="J18" i="81"/>
  <c r="J20" i="81"/>
  <c r="F21" i="81"/>
  <c r="R25" i="81"/>
  <c r="F28" i="81"/>
  <c r="R29" i="81"/>
  <c r="J32" i="81"/>
  <c r="F33" i="81"/>
  <c r="R34" i="81"/>
  <c r="F36" i="81"/>
  <c r="R37" i="81"/>
  <c r="J47" i="81"/>
  <c r="R48" i="81"/>
  <c r="J53" i="81"/>
  <c r="Z18" i="82"/>
  <c r="Z26" i="82"/>
  <c r="N25" i="83"/>
  <c r="L25" i="83"/>
  <c r="L17" i="84"/>
  <c r="F79" i="85"/>
  <c r="F83" i="85"/>
  <c r="F69" i="85"/>
  <c r="F75" i="85"/>
  <c r="F72" i="85"/>
  <c r="F74" i="85"/>
  <c r="F78" i="85"/>
  <c r="F66" i="85"/>
  <c r="F58" i="85"/>
  <c r="F41" i="85"/>
  <c r="F38" i="85"/>
  <c r="F34" i="85"/>
  <c r="F30" i="85"/>
  <c r="F65" i="85"/>
  <c r="F52" i="85"/>
  <c r="F49" i="85"/>
  <c r="F33" i="85"/>
  <c r="F29" i="85"/>
  <c r="F16" i="85"/>
  <c r="F76" i="85"/>
  <c r="F43" i="85"/>
  <c r="F40" i="85"/>
  <c r="F28" i="85"/>
  <c r="F23" i="85"/>
  <c r="L12" i="85"/>
  <c r="F62" i="85"/>
  <c r="F54" i="85"/>
  <c r="F51" i="85"/>
  <c r="F46" i="85"/>
  <c r="F27" i="85"/>
  <c r="F20" i="85"/>
  <c r="F57" i="85"/>
  <c r="F42" i="85"/>
  <c r="F37" i="85"/>
  <c r="F26" i="85"/>
  <c r="D20" i="85"/>
  <c r="F18" i="85"/>
  <c r="F64" i="85"/>
  <c r="F61" i="85"/>
  <c r="F53" i="85"/>
  <c r="F48" i="85"/>
  <c r="F45" i="85"/>
  <c r="F32" i="85"/>
  <c r="F25" i="85"/>
  <c r="F17" i="85"/>
  <c r="F71" i="85"/>
  <c r="F68" i="85"/>
  <c r="F60" i="85"/>
  <c r="F56" i="85"/>
  <c r="F44" i="85"/>
  <c r="F39" i="85"/>
  <c r="F36" i="85"/>
  <c r="F24" i="85"/>
  <c r="J16" i="85"/>
  <c r="F22" i="85"/>
  <c r="F35" i="85"/>
  <c r="F50" i="85"/>
  <c r="F22" i="80"/>
  <c r="R76" i="81"/>
  <c r="R70" i="81"/>
  <c r="R59" i="81"/>
  <c r="R58" i="81"/>
  <c r="R54" i="81"/>
  <c r="R50" i="81"/>
  <c r="R47" i="81"/>
  <c r="R42" i="81"/>
  <c r="R39" i="81"/>
  <c r="R68" i="81"/>
  <c r="R61" i="81"/>
  <c r="R74" i="81"/>
  <c r="R64" i="81"/>
  <c r="R57" i="81"/>
  <c r="R53" i="81"/>
  <c r="R49" i="81"/>
  <c r="R44" i="81"/>
  <c r="R41" i="81"/>
  <c r="R79" i="81"/>
  <c r="R72" i="81"/>
  <c r="R63" i="81"/>
  <c r="R60" i="81"/>
  <c r="R62" i="81"/>
  <c r="D72" i="81"/>
  <c r="R19" i="81"/>
  <c r="R26" i="81"/>
  <c r="R30" i="81"/>
  <c r="R38" i="81"/>
  <c r="J39" i="81"/>
  <c r="R46" i="81"/>
  <c r="X47" i="81"/>
  <c r="Z47" i="81" s="1"/>
  <c r="T68" i="81"/>
  <c r="Z70" i="81"/>
  <c r="V79" i="85"/>
  <c r="V76" i="85"/>
  <c r="V75" i="85"/>
  <c r="V70" i="85"/>
  <c r="V83" i="85"/>
  <c r="V78" i="85"/>
  <c r="V72" i="85"/>
  <c r="V71" i="85"/>
  <c r="V61" i="85"/>
  <c r="V53" i="85"/>
  <c r="V45" i="85"/>
  <c r="V41" i="85"/>
  <c r="V25" i="85"/>
  <c r="V17" i="85"/>
  <c r="V73" i="85"/>
  <c r="V60" i="85"/>
  <c r="V56" i="85"/>
  <c r="V52" i="85"/>
  <c r="V44" i="85"/>
  <c r="V36" i="85"/>
  <c r="V24" i="85"/>
  <c r="V16" i="85"/>
  <c r="V68" i="85"/>
  <c r="V67" i="85"/>
  <c r="V63" i="85"/>
  <c r="V59" i="85"/>
  <c r="V55" i="85"/>
  <c r="V47" i="85"/>
  <c r="V43" i="85"/>
  <c r="V35" i="85"/>
  <c r="V31" i="85"/>
  <c r="V23" i="85"/>
  <c r="V69" i="85"/>
  <c r="V66" i="85"/>
  <c r="V62" i="85"/>
  <c r="V58" i="85"/>
  <c r="V54" i="85"/>
  <c r="V46" i="85"/>
  <c r="V38" i="85"/>
  <c r="V34" i="85"/>
  <c r="V30" i="85"/>
  <c r="V74" i="85"/>
  <c r="V65" i="85"/>
  <c r="V57" i="85"/>
  <c r="V49" i="85"/>
  <c r="V37" i="85"/>
  <c r="V33" i="85"/>
  <c r="V29" i="85"/>
  <c r="T20" i="85"/>
  <c r="V64" i="85"/>
  <c r="V48" i="85"/>
  <c r="V40" i="85"/>
  <c r="V32" i="85"/>
  <c r="V28" i="85"/>
  <c r="V51" i="85"/>
  <c r="V39" i="85"/>
  <c r="V27" i="85"/>
  <c r="Z12" i="82"/>
  <c r="J16" i="82"/>
  <c r="V20" i="82"/>
  <c r="J24" i="82"/>
  <c r="R26" i="82"/>
  <c r="V28" i="82"/>
  <c r="R29" i="82"/>
  <c r="R35" i="82"/>
  <c r="L12" i="83"/>
  <c r="X14" i="83"/>
  <c r="F20" i="83"/>
  <c r="V23" i="83"/>
  <c r="R24" i="83"/>
  <c r="F28" i="83"/>
  <c r="R29" i="83"/>
  <c r="F31" i="83"/>
  <c r="V31" i="83"/>
  <c r="R32" i="83"/>
  <c r="P12" i="84"/>
  <c r="N13" i="84"/>
  <c r="V25" i="84"/>
  <c r="F30" i="84"/>
  <c r="F36" i="84"/>
  <c r="J20" i="86"/>
  <c r="F26" i="86"/>
  <c r="F30" i="86"/>
  <c r="F35" i="86"/>
  <c r="X38" i="86"/>
  <c r="Z38" i="86" s="1"/>
  <c r="J46" i="86"/>
  <c r="F50" i="86"/>
  <c r="L64" i="86"/>
  <c r="D63" i="86"/>
  <c r="L63" i="86" s="1"/>
  <c r="T17" i="84"/>
  <c r="V22" i="84"/>
  <c r="V32" i="84"/>
  <c r="N71" i="85"/>
  <c r="N60" i="86"/>
  <c r="L60" i="86"/>
  <c r="J39" i="88"/>
  <c r="J29" i="88"/>
  <c r="J25" i="88"/>
  <c r="J19" i="88"/>
  <c r="J22" i="88"/>
  <c r="J16" i="88"/>
  <c r="J27" i="88"/>
  <c r="H16" i="88"/>
  <c r="J30" i="88"/>
  <c r="J24" i="88"/>
  <c r="J21" i="88"/>
  <c r="J26" i="88"/>
  <c r="J20" i="88"/>
  <c r="J18" i="88"/>
  <c r="J14" i="88"/>
  <c r="N12" i="88"/>
  <c r="Z20" i="90"/>
  <c r="T16" i="91"/>
  <c r="Z14" i="91"/>
  <c r="V14" i="82"/>
  <c r="V18" i="82"/>
  <c r="J22" i="82"/>
  <c r="V26" i="82"/>
  <c r="R27" i="82"/>
  <c r="J28" i="82"/>
  <c r="D16" i="83"/>
  <c r="T16" i="83"/>
  <c r="X16" i="83" s="1"/>
  <c r="R19" i="83"/>
  <c r="F22" i="83"/>
  <c r="F26" i="83"/>
  <c r="R27" i="83"/>
  <c r="F29" i="83"/>
  <c r="V29" i="83"/>
  <c r="R30" i="83"/>
  <c r="F34" i="83"/>
  <c r="F40" i="83"/>
  <c r="F17" i="84"/>
  <c r="V23" i="84"/>
  <c r="N73" i="85"/>
  <c r="F60" i="86"/>
  <c r="F52" i="86"/>
  <c r="F49" i="86"/>
  <c r="F37" i="86"/>
  <c r="F25" i="86"/>
  <c r="F20" i="86"/>
  <c r="F48" i="86"/>
  <c r="F43" i="86"/>
  <c r="F40" i="86"/>
  <c r="F24" i="86"/>
  <c r="F17" i="86"/>
  <c r="F73" i="86"/>
  <c r="F66" i="86"/>
  <c r="F59" i="86"/>
  <c r="F54" i="86"/>
  <c r="F51" i="86"/>
  <c r="F39" i="86"/>
  <c r="F34" i="86"/>
  <c r="F23" i="86"/>
  <c r="D17" i="86"/>
  <c r="F15" i="86"/>
  <c r="F63" i="86"/>
  <c r="F58" i="86"/>
  <c r="F45" i="86"/>
  <c r="F42" i="86"/>
  <c r="F29" i="86"/>
  <c r="F22" i="86"/>
  <c r="F61" i="86"/>
  <c r="F57" i="86"/>
  <c r="F53" i="86"/>
  <c r="F36" i="86"/>
  <c r="F33" i="86"/>
  <c r="F21" i="86"/>
  <c r="F56" i="86"/>
  <c r="F47" i="86"/>
  <c r="F44" i="86"/>
  <c r="F32" i="86"/>
  <c r="F28" i="86"/>
  <c r="F19" i="86"/>
  <c r="L12" i="86"/>
  <c r="X19" i="86"/>
  <c r="Z47" i="86"/>
  <c r="X47" i="86"/>
  <c r="F55" i="86"/>
  <c r="J60" i="86"/>
  <c r="L12" i="88"/>
  <c r="N18" i="88"/>
  <c r="L18" i="88"/>
  <c r="X42" i="90"/>
  <c r="Z42" i="90" s="1"/>
  <c r="R42" i="90"/>
  <c r="N13" i="92"/>
  <c r="H12" i="92"/>
  <c r="Z15" i="92"/>
  <c r="R21" i="82"/>
  <c r="V23" i="82"/>
  <c r="R24" i="82"/>
  <c r="V27" i="82"/>
  <c r="R31" i="82"/>
  <c r="J33" i="82"/>
  <c r="R37" i="82"/>
  <c r="J40" i="82"/>
  <c r="F16" i="83"/>
  <c r="V16" i="83"/>
  <c r="F23" i="83"/>
  <c r="V30" i="83"/>
  <c r="F36" i="83"/>
  <c r="V36" i="83"/>
  <c r="F42" i="83"/>
  <c r="V42" i="83"/>
  <c r="F20" i="84"/>
  <c r="V20" i="84"/>
  <c r="F25" i="84"/>
  <c r="F28" i="84"/>
  <c r="V28" i="84"/>
  <c r="J73" i="86"/>
  <c r="J66" i="86"/>
  <c r="J54" i="86"/>
  <c r="J48" i="86"/>
  <c r="J40" i="86"/>
  <c r="J34" i="86"/>
  <c r="J24" i="86"/>
  <c r="H17" i="86"/>
  <c r="J63" i="86"/>
  <c r="J59" i="86"/>
  <c r="J51" i="86"/>
  <c r="J45" i="86"/>
  <c r="J39" i="86"/>
  <c r="J29" i="86"/>
  <c r="J23" i="86"/>
  <c r="J15" i="86"/>
  <c r="J58" i="86"/>
  <c r="J42" i="86"/>
  <c r="J36" i="86"/>
  <c r="J22" i="86"/>
  <c r="J61" i="86"/>
  <c r="J57" i="86"/>
  <c r="J53" i="86"/>
  <c r="J47" i="86"/>
  <c r="J33" i="86"/>
  <c r="J21" i="86"/>
  <c r="J19" i="86"/>
  <c r="J70" i="86"/>
  <c r="J64" i="86"/>
  <c r="J56" i="86"/>
  <c r="J50" i="86"/>
  <c r="J44" i="86"/>
  <c r="J38" i="86"/>
  <c r="J32" i="86"/>
  <c r="J28" i="86"/>
  <c r="J14" i="86"/>
  <c r="N12" i="86"/>
  <c r="J55" i="86"/>
  <c r="J41" i="86"/>
  <c r="J35" i="86"/>
  <c r="J31" i="86"/>
  <c r="J27" i="86"/>
  <c r="J25" i="86"/>
  <c r="Z50" i="86"/>
  <c r="X50" i="86"/>
  <c r="X20" i="87"/>
  <c r="Z20" i="87" s="1"/>
  <c r="J23" i="88"/>
  <c r="Z30" i="88"/>
  <c r="T29" i="88"/>
  <c r="Z29" i="88" s="1"/>
  <c r="X30" i="88"/>
  <c r="Z19" i="89"/>
  <c r="X19" i="89"/>
  <c r="N38" i="90"/>
  <c r="L38" i="90"/>
  <c r="X13" i="92"/>
  <c r="Z13" i="92" s="1"/>
  <c r="P12" i="92"/>
  <c r="V24" i="82"/>
  <c r="R25" i="82"/>
  <c r="J26" i="82"/>
  <c r="F19" i="83"/>
  <c r="F24" i="83"/>
  <c r="R25" i="83"/>
  <c r="F27" i="83"/>
  <c r="V27" i="83"/>
  <c r="R28" i="83"/>
  <c r="F32" i="83"/>
  <c r="R33" i="83"/>
  <c r="V21" i="84"/>
  <c r="V29" i="84"/>
  <c r="D34" i="84"/>
  <c r="Z14" i="86"/>
  <c r="X14" i="86"/>
  <c r="Z19" i="86"/>
  <c r="N13" i="87"/>
  <c r="L16" i="88"/>
  <c r="Z18" i="88"/>
  <c r="J32" i="88"/>
  <c r="Z14" i="89"/>
  <c r="X14" i="89"/>
  <c r="Z25" i="89"/>
  <c r="T16" i="82"/>
  <c r="R19" i="82"/>
  <c r="V21" i="82"/>
  <c r="J23" i="82"/>
  <c r="V25" i="82"/>
  <c r="J29" i="82"/>
  <c r="V31" i="82"/>
  <c r="V37" i="82"/>
  <c r="Z12" i="83"/>
  <c r="R14" i="83"/>
  <c r="R18" i="83"/>
  <c r="V20" i="83"/>
  <c r="R21" i="83"/>
  <c r="R38" i="83"/>
  <c r="F23" i="84"/>
  <c r="F26" i="84"/>
  <c r="V26" i="84"/>
  <c r="V30" i="84"/>
  <c r="F34" i="84"/>
  <c r="V36" i="84"/>
  <c r="F38" i="86"/>
  <c r="Z45" i="86"/>
  <c r="N52" i="86"/>
  <c r="L52" i="86"/>
  <c r="T63" i="86"/>
  <c r="X64" i="86"/>
  <c r="Z64" i="86" s="1"/>
  <c r="R20" i="87"/>
  <c r="R17" i="87"/>
  <c r="P17" i="87"/>
  <c r="R29" i="87"/>
  <c r="R23" i="87"/>
  <c r="R19" i="87"/>
  <c r="R15" i="87"/>
  <c r="Z19" i="87"/>
  <c r="Z24" i="88"/>
  <c r="X24" i="88"/>
  <c r="J36" i="88"/>
  <c r="V20" i="89"/>
  <c r="V19" i="89"/>
  <c r="X12" i="89"/>
  <c r="V21" i="89"/>
  <c r="T16" i="89"/>
  <c r="V24" i="89"/>
  <c r="V23" i="89"/>
  <c r="V32" i="89"/>
  <c r="V22" i="89"/>
  <c r="V34" i="89"/>
  <c r="V28" i="89"/>
  <c r="V25" i="89"/>
  <c r="V18" i="89"/>
  <c r="V14" i="89"/>
  <c r="Z12" i="89"/>
  <c r="F49" i="90"/>
  <c r="F43" i="90"/>
  <c r="F38" i="90"/>
  <c r="F34" i="90"/>
  <c r="F29" i="90"/>
  <c r="F26" i="90"/>
  <c r="F21" i="90"/>
  <c r="F40" i="90"/>
  <c r="F37" i="90"/>
  <c r="F25" i="90"/>
  <c r="F36" i="90"/>
  <c r="F31" i="90"/>
  <c r="F28" i="90"/>
  <c r="F24" i="90"/>
  <c r="D18" i="90"/>
  <c r="F16" i="90"/>
  <c r="F42" i="90"/>
  <c r="F39" i="90"/>
  <c r="F23" i="90"/>
  <c r="F33" i="90"/>
  <c r="F30" i="90"/>
  <c r="F22" i="90"/>
  <c r="F35" i="90"/>
  <c r="F20" i="90"/>
  <c r="L12" i="90"/>
  <c r="F45" i="90"/>
  <c r="F32" i="90"/>
  <c r="F15" i="90"/>
  <c r="V16" i="82"/>
  <c r="F25" i="83"/>
  <c r="F30" i="83"/>
  <c r="V15" i="84"/>
  <c r="V19" i="84"/>
  <c r="N79" i="85"/>
  <c r="H78" i="85"/>
  <c r="N78" i="85" s="1"/>
  <c r="L79" i="85"/>
  <c r="X17" i="86"/>
  <c r="J52" i="86"/>
  <c r="X63" i="86"/>
  <c r="T12" i="87"/>
  <c r="Z13" i="87"/>
  <c r="H25" i="87"/>
  <c r="X16" i="88"/>
  <c r="P32" i="88"/>
  <c r="V15" i="86"/>
  <c r="V19" i="86"/>
  <c r="V23" i="86"/>
  <c r="R24" i="86"/>
  <c r="R29" i="86"/>
  <c r="V39" i="86"/>
  <c r="R40" i="86"/>
  <c r="R45" i="86"/>
  <c r="V47" i="86"/>
  <c r="R48" i="86"/>
  <c r="V51" i="86"/>
  <c r="V59" i="86"/>
  <c r="R63" i="86"/>
  <c r="P66" i="86"/>
  <c r="D12" i="87"/>
  <c r="J17" i="87"/>
  <c r="R16" i="88"/>
  <c r="F21" i="88"/>
  <c r="R22" i="88"/>
  <c r="F24" i="88"/>
  <c r="V24" i="88"/>
  <c r="R25" i="88"/>
  <c r="F30" i="88"/>
  <c r="R39" i="88"/>
  <c r="J22" i="89"/>
  <c r="H12" i="90"/>
  <c r="N13" i="90"/>
  <c r="Z18" i="91"/>
  <c r="F26" i="91"/>
  <c r="Z28" i="91"/>
  <c r="L22" i="93"/>
  <c r="N22" i="93"/>
  <c r="V24" i="86"/>
  <c r="R25" i="86"/>
  <c r="R34" i="86"/>
  <c r="V36" i="86"/>
  <c r="R37" i="86"/>
  <c r="V40" i="86"/>
  <c r="V48" i="86"/>
  <c r="R49" i="86"/>
  <c r="R54" i="86"/>
  <c r="R66" i="86"/>
  <c r="R73" i="86"/>
  <c r="J20" i="87"/>
  <c r="R19" i="88"/>
  <c r="R29" i="88"/>
  <c r="R36" i="88"/>
  <c r="T79" i="92"/>
  <c r="V79" i="92" s="1"/>
  <c r="N65" i="92"/>
  <c r="L65" i="92"/>
  <c r="N75" i="94"/>
  <c r="L75" i="94"/>
  <c r="R17" i="86"/>
  <c r="V25" i="86"/>
  <c r="R26" i="86"/>
  <c r="V29" i="86"/>
  <c r="R30" i="86"/>
  <c r="V37" i="86"/>
  <c r="R43" i="86"/>
  <c r="V45" i="86"/>
  <c r="R46" i="86"/>
  <c r="V49" i="86"/>
  <c r="V63" i="86"/>
  <c r="R68" i="86"/>
  <c r="J25" i="87"/>
  <c r="V39" i="88"/>
  <c r="V34" i="88"/>
  <c r="F16" i="88"/>
  <c r="V16" i="88"/>
  <c r="F22" i="88"/>
  <c r="V22" i="88"/>
  <c r="R23" i="88"/>
  <c r="F27" i="88"/>
  <c r="R32" i="88"/>
  <c r="R34" i="88"/>
  <c r="V36" i="88"/>
  <c r="J16" i="89"/>
  <c r="N21" i="89"/>
  <c r="V21" i="92"/>
  <c r="T17" i="86"/>
  <c r="R20" i="86"/>
  <c r="V26" i="86"/>
  <c r="R27" i="86"/>
  <c r="V30" i="86"/>
  <c r="R31" i="86"/>
  <c r="V34" i="86"/>
  <c r="R35" i="86"/>
  <c r="V46" i="86"/>
  <c r="R52" i="86"/>
  <c r="V54" i="86"/>
  <c r="R55" i="86"/>
  <c r="R60" i="86"/>
  <c r="V66" i="86"/>
  <c r="V68" i="86"/>
  <c r="V73" i="86"/>
  <c r="X12" i="88"/>
  <c r="F19" i="88"/>
  <c r="R20" i="88"/>
  <c r="V23" i="88"/>
  <c r="F29" i="88"/>
  <c r="V29" i="88"/>
  <c r="D32" i="88"/>
  <c r="N19" i="89"/>
  <c r="L25" i="89"/>
  <c r="J26" i="89"/>
  <c r="N21" i="90"/>
  <c r="L35" i="90"/>
  <c r="N44" i="91"/>
  <c r="L44" i="91"/>
  <c r="N61" i="92"/>
  <c r="L61" i="92"/>
  <c r="X12" i="86"/>
  <c r="V17" i="86"/>
  <c r="V27" i="86"/>
  <c r="R28" i="86"/>
  <c r="V31" i="86"/>
  <c r="R32" i="86"/>
  <c r="V35" i="86"/>
  <c r="R41" i="86"/>
  <c r="V43" i="86"/>
  <c r="R44" i="86"/>
  <c r="V55" i="86"/>
  <c r="R56" i="86"/>
  <c r="J15" i="87"/>
  <c r="J19" i="87"/>
  <c r="J21" i="87"/>
  <c r="Z12" i="88"/>
  <c r="R14" i="88"/>
  <c r="R18" i="88"/>
  <c r="V20" i="88"/>
  <c r="R21" i="88"/>
  <c r="F25" i="88"/>
  <c r="H29" i="88"/>
  <c r="N29" i="88" s="1"/>
  <c r="F32" i="88"/>
  <c r="V32" i="88"/>
  <c r="F24" i="89"/>
  <c r="F19" i="89"/>
  <c r="F32" i="89"/>
  <c r="F26" i="89"/>
  <c r="F21" i="89"/>
  <c r="D16" i="89"/>
  <c r="F23" i="89"/>
  <c r="F20" i="89"/>
  <c r="L12" i="89"/>
  <c r="Z21" i="89"/>
  <c r="Z23" i="89"/>
  <c r="F25" i="89"/>
  <c r="Z33" i="90"/>
  <c r="X14" i="91"/>
  <c r="N19" i="91"/>
  <c r="L19" i="91"/>
  <c r="X30" i="91"/>
  <c r="V20" i="86"/>
  <c r="R21" i="86"/>
  <c r="V28" i="86"/>
  <c r="V32" i="86"/>
  <c r="R33" i="86"/>
  <c r="R38" i="86"/>
  <c r="V44" i="86"/>
  <c r="R50" i="86"/>
  <c r="V52" i="86"/>
  <c r="R53" i="86"/>
  <c r="V56" i="86"/>
  <c r="R57" i="86"/>
  <c r="R61" i="86"/>
  <c r="R64" i="86"/>
  <c r="F36" i="88"/>
  <c r="J34" i="89"/>
  <c r="J28" i="89"/>
  <c r="J24" i="89"/>
  <c r="J21" i="89"/>
  <c r="H16" i="89"/>
  <c r="J23" i="89"/>
  <c r="J37" i="89"/>
  <c r="J30" i="89"/>
  <c r="J20" i="89"/>
  <c r="J18" i="89"/>
  <c r="J14" i="89"/>
  <c r="N12" i="89"/>
  <c r="J25" i="89"/>
  <c r="P34" i="89"/>
  <c r="X18" i="89"/>
  <c r="Z18" i="89" s="1"/>
  <c r="X20" i="90"/>
  <c r="N35" i="90"/>
  <c r="F50" i="91"/>
  <c r="F44" i="91"/>
  <c r="F34" i="91"/>
  <c r="F48" i="91"/>
  <c r="F42" i="91"/>
  <c r="F39" i="91"/>
  <c r="F53" i="91"/>
  <c r="F46" i="91"/>
  <c r="F35" i="91"/>
  <c r="F24" i="91"/>
  <c r="F19" i="91"/>
  <c r="F31" i="91"/>
  <c r="F23" i="91"/>
  <c r="F16" i="91"/>
  <c r="F38" i="91"/>
  <c r="F37" i="91"/>
  <c r="F36" i="91"/>
  <c r="F22" i="91"/>
  <c r="D16" i="91"/>
  <c r="F33" i="91"/>
  <c r="F28" i="91"/>
  <c r="F21" i="91"/>
  <c r="F40" i="91"/>
  <c r="F20" i="91"/>
  <c r="L12" i="91"/>
  <c r="F41" i="91"/>
  <c r="F30" i="91"/>
  <c r="F27" i="91"/>
  <c r="F18" i="91"/>
  <c r="F14" i="91"/>
  <c r="R21" i="89"/>
  <c r="R24" i="89"/>
  <c r="P18" i="90"/>
  <c r="V25" i="90"/>
  <c r="R26" i="90"/>
  <c r="R31" i="90"/>
  <c r="V33" i="90"/>
  <c r="R34" i="90"/>
  <c r="V37" i="90"/>
  <c r="J48" i="91"/>
  <c r="J42" i="91"/>
  <c r="J36" i="91"/>
  <c r="J39" i="91"/>
  <c r="J41" i="91"/>
  <c r="J35" i="91"/>
  <c r="J38" i="91"/>
  <c r="R23" i="91"/>
  <c r="J26" i="91"/>
  <c r="R28" i="91"/>
  <c r="R31" i="91"/>
  <c r="J32" i="91"/>
  <c r="J44" i="91"/>
  <c r="J46" i="91"/>
  <c r="D12" i="92"/>
  <c r="Z17" i="92"/>
  <c r="V31" i="92"/>
  <c r="N34" i="92"/>
  <c r="V51" i="92"/>
  <c r="N56" i="92"/>
  <c r="V66" i="92"/>
  <c r="D16" i="93"/>
  <c r="R28" i="89"/>
  <c r="R34" i="89"/>
  <c r="R18" i="90"/>
  <c r="V26" i="90"/>
  <c r="V34" i="90"/>
  <c r="R40" i="90"/>
  <c r="V42" i="90"/>
  <c r="R43" i="90"/>
  <c r="R49" i="90"/>
  <c r="P16" i="91"/>
  <c r="R24" i="91"/>
  <c r="J27" i="91"/>
  <c r="V31" i="91"/>
  <c r="J53" i="91"/>
  <c r="X15" i="92"/>
  <c r="V35" i="92"/>
  <c r="Z40" i="92"/>
  <c r="X56" i="92"/>
  <c r="L58" i="92"/>
  <c r="Z74" i="92"/>
  <c r="H24" i="93"/>
  <c r="N16" i="93"/>
  <c r="R19" i="89"/>
  <c r="R22" i="89"/>
  <c r="X12" i="90"/>
  <c r="T18" i="90"/>
  <c r="R21" i="90"/>
  <c r="R29" i="90"/>
  <c r="V31" i="90"/>
  <c r="R32" i="90"/>
  <c r="V43" i="90"/>
  <c r="V47" i="90"/>
  <c r="V49" i="90"/>
  <c r="V54" i="90"/>
  <c r="N12" i="91"/>
  <c r="J14" i="91"/>
  <c r="R16" i="91"/>
  <c r="J18" i="91"/>
  <c r="J20" i="91"/>
  <c r="R25" i="91"/>
  <c r="R29" i="91"/>
  <c r="J30" i="91"/>
  <c r="J40" i="91"/>
  <c r="V30" i="92"/>
  <c r="V43" i="92"/>
  <c r="H80" i="94"/>
  <c r="J80" i="94" s="1"/>
  <c r="R41" i="90"/>
  <c r="R35" i="91"/>
  <c r="R38" i="91"/>
  <c r="R40" i="91"/>
  <c r="R36" i="91"/>
  <c r="R19" i="91"/>
  <c r="R26" i="91"/>
  <c r="R42" i="91"/>
  <c r="R44" i="91"/>
  <c r="R53" i="91"/>
  <c r="V81" i="92"/>
  <c r="V75" i="92"/>
  <c r="V73" i="92"/>
  <c r="V65" i="92"/>
  <c r="V61" i="92"/>
  <c r="V53" i="92"/>
  <c r="V45" i="92"/>
  <c r="V29" i="92"/>
  <c r="V72" i="92"/>
  <c r="V52" i="92"/>
  <c r="V44" i="92"/>
  <c r="V28" i="92"/>
  <c r="V71" i="92"/>
  <c r="V55" i="92"/>
  <c r="V47" i="92"/>
  <c r="V39" i="92"/>
  <c r="V27" i="92"/>
  <c r="V23" i="92"/>
  <c r="V19" i="92"/>
  <c r="V74" i="92"/>
  <c r="V70" i="92"/>
  <c r="V54" i="92"/>
  <c r="V46" i="92"/>
  <c r="V38" i="92"/>
  <c r="V26" i="92"/>
  <c r="V77" i="92"/>
  <c r="V69" i="92"/>
  <c r="V57" i="92"/>
  <c r="V49" i="92"/>
  <c r="V41" i="92"/>
  <c r="V37" i="92"/>
  <c r="V33" i="92"/>
  <c r="V25" i="92"/>
  <c r="V17" i="92"/>
  <c r="V68" i="92"/>
  <c r="V64" i="92"/>
  <c r="V60" i="92"/>
  <c r="V56" i="92"/>
  <c r="V48" i="92"/>
  <c r="V40" i="92"/>
  <c r="V36" i="92"/>
  <c r="V32" i="92"/>
  <c r="V24" i="92"/>
  <c r="V34" i="92"/>
  <c r="Z56" i="92"/>
  <c r="R20" i="89"/>
  <c r="R25" i="89"/>
  <c r="R15" i="90"/>
  <c r="V21" i="90"/>
  <c r="R22" i="90"/>
  <c r="R27" i="90"/>
  <c r="V29" i="90"/>
  <c r="R30" i="90"/>
  <c r="R35" i="90"/>
  <c r="V41" i="90"/>
  <c r="R45" i="90"/>
  <c r="V50" i="91"/>
  <c r="V44" i="91"/>
  <c r="V38" i="91"/>
  <c r="V34" i="91"/>
  <c r="V37" i="91"/>
  <c r="V39" i="91"/>
  <c r="V53" i="91"/>
  <c r="V48" i="91"/>
  <c r="V46" i="91"/>
  <c r="V42" i="91"/>
  <c r="V16" i="91"/>
  <c r="J22" i="91"/>
  <c r="V26" i="91"/>
  <c r="R27" i="91"/>
  <c r="J28" i="91"/>
  <c r="R32" i="91"/>
  <c r="J34" i="91"/>
  <c r="J37" i="91"/>
  <c r="V40" i="91"/>
  <c r="X41" i="91"/>
  <c r="V42" i="92"/>
  <c r="X48" i="92"/>
  <c r="V59" i="92"/>
  <c r="R23" i="95"/>
  <c r="R30" i="89"/>
  <c r="R23" i="90"/>
  <c r="V30" i="90"/>
  <c r="X12" i="91"/>
  <c r="H46" i="91"/>
  <c r="R20" i="91"/>
  <c r="J23" i="91"/>
  <c r="J31" i="91"/>
  <c r="L34" i="91"/>
  <c r="R39" i="91"/>
  <c r="R41" i="91"/>
  <c r="R50" i="91"/>
  <c r="L13" i="92"/>
  <c r="Z24" i="92"/>
  <c r="L50" i="92"/>
  <c r="N52" i="92"/>
  <c r="Z58" i="92"/>
  <c r="V63" i="92"/>
  <c r="F16" i="93"/>
  <c r="F28" i="93"/>
  <c r="F22" i="93"/>
  <c r="F26" i="93"/>
  <c r="F20" i="93"/>
  <c r="L12" i="93"/>
  <c r="F19" i="93"/>
  <c r="J21" i="94"/>
  <c r="N34" i="94"/>
  <c r="R38" i="94"/>
  <c r="L40" i="94"/>
  <c r="J42" i="94"/>
  <c r="N46" i="94"/>
  <c r="R61" i="94"/>
  <c r="J75" i="94"/>
  <c r="R83" i="95"/>
  <c r="R77" i="95"/>
  <c r="R74" i="95"/>
  <c r="R69" i="95"/>
  <c r="R65" i="95"/>
  <c r="R61" i="95"/>
  <c r="R58" i="95"/>
  <c r="R53" i="95"/>
  <c r="R50" i="95"/>
  <c r="R45" i="95"/>
  <c r="R42" i="95"/>
  <c r="R34" i="95"/>
  <c r="R29" i="95"/>
  <c r="R68" i="95"/>
  <c r="R64" i="95"/>
  <c r="R76" i="95"/>
  <c r="R60" i="95"/>
  <c r="R55" i="95"/>
  <c r="R52" i="95"/>
  <c r="R47" i="95"/>
  <c r="R44" i="95"/>
  <c r="R39" i="95"/>
  <c r="R67" i="95"/>
  <c r="R63" i="95"/>
  <c r="R38" i="95"/>
  <c r="R73" i="95"/>
  <c r="R57" i="95"/>
  <c r="R54" i="95"/>
  <c r="R49" i="95"/>
  <c r="R46" i="95"/>
  <c r="R41" i="95"/>
  <c r="R37" i="95"/>
  <c r="R33" i="95"/>
  <c r="R79" i="95"/>
  <c r="R72" i="95"/>
  <c r="R36" i="95"/>
  <c r="R75" i="95"/>
  <c r="R71" i="95"/>
  <c r="R59" i="95"/>
  <c r="R56" i="95"/>
  <c r="R51" i="95"/>
  <c r="R48" i="95"/>
  <c r="R43" i="95"/>
  <c r="R40" i="95"/>
  <c r="R35" i="95"/>
  <c r="R31" i="95"/>
  <c r="R70" i="95"/>
  <c r="R66" i="95"/>
  <c r="R62" i="95"/>
  <c r="R17" i="95"/>
  <c r="R24" i="95"/>
  <c r="R30" i="95"/>
  <c r="P21" i="95"/>
  <c r="R21" i="95" s="1"/>
  <c r="X12" i="95"/>
  <c r="R19" i="95"/>
  <c r="R18" i="95"/>
  <c r="J28" i="93"/>
  <c r="J22" i="93"/>
  <c r="J26" i="93"/>
  <c r="J20" i="93"/>
  <c r="J18" i="93"/>
  <c r="J14" i="93"/>
  <c r="N12" i="93"/>
  <c r="J31" i="93"/>
  <c r="J24" i="93"/>
  <c r="N19" i="93"/>
  <c r="L19" i="93"/>
  <c r="J28" i="94"/>
  <c r="J34" i="94"/>
  <c r="L15" i="95"/>
  <c r="R32" i="95"/>
  <c r="R26" i="93"/>
  <c r="R20" i="93"/>
  <c r="R31" i="93"/>
  <c r="R24" i="93"/>
  <c r="R16" i="93"/>
  <c r="P16" i="93"/>
  <c r="R28" i="93"/>
  <c r="R22" i="93"/>
  <c r="R82" i="94"/>
  <c r="R76" i="94"/>
  <c r="R73" i="94"/>
  <c r="R68" i="94"/>
  <c r="R64" i="94"/>
  <c r="R60" i="94"/>
  <c r="R36" i="94"/>
  <c r="R32" i="94"/>
  <c r="R17" i="94"/>
  <c r="R67" i="94"/>
  <c r="R56" i="94"/>
  <c r="R51" i="94"/>
  <c r="R48" i="94"/>
  <c r="R43" i="94"/>
  <c r="R40" i="94"/>
  <c r="R35" i="94"/>
  <c r="R31" i="94"/>
  <c r="R24" i="94"/>
  <c r="R75" i="94"/>
  <c r="R66" i="94"/>
  <c r="R63" i="94"/>
  <c r="R59" i="94"/>
  <c r="R30" i="94"/>
  <c r="R21" i="94"/>
  <c r="R53" i="94"/>
  <c r="R50" i="94"/>
  <c r="R45" i="94"/>
  <c r="R42" i="94"/>
  <c r="R34" i="94"/>
  <c r="R29" i="94"/>
  <c r="P21" i="94"/>
  <c r="R72" i="94"/>
  <c r="R65" i="94"/>
  <c r="R28" i="94"/>
  <c r="X12" i="94"/>
  <c r="R78" i="94"/>
  <c r="R71" i="94"/>
  <c r="R55" i="94"/>
  <c r="R52" i="94"/>
  <c r="R47" i="94"/>
  <c r="R44" i="94"/>
  <c r="R39" i="94"/>
  <c r="R27" i="94"/>
  <c r="R19" i="94"/>
  <c r="D12" i="94"/>
  <c r="L15" i="94"/>
  <c r="Z17" i="94"/>
  <c r="X17" i="94"/>
  <c r="R37" i="94"/>
  <c r="R41" i="94"/>
  <c r="J45" i="94"/>
  <c r="R46" i="94"/>
  <c r="J50" i="94"/>
  <c r="L59" i="94"/>
  <c r="N59" i="94" s="1"/>
  <c r="R74" i="94"/>
  <c r="F76" i="95"/>
  <c r="F73" i="95"/>
  <c r="F60" i="95"/>
  <c r="F57" i="95"/>
  <c r="F52" i="95"/>
  <c r="F49" i="95"/>
  <c r="F44" i="95"/>
  <c r="F41" i="95"/>
  <c r="F37" i="95"/>
  <c r="F33" i="95"/>
  <c r="F72" i="95"/>
  <c r="F67" i="95"/>
  <c r="F63" i="95"/>
  <c r="F36" i="95"/>
  <c r="F32" i="95"/>
  <c r="F75" i="95"/>
  <c r="F71" i="95"/>
  <c r="F59" i="95"/>
  <c r="F54" i="95"/>
  <c r="F51" i="95"/>
  <c r="F46" i="95"/>
  <c r="F43" i="95"/>
  <c r="F35" i="95"/>
  <c r="F79" i="95"/>
  <c r="F70" i="95"/>
  <c r="F66" i="95"/>
  <c r="F62" i="95"/>
  <c r="F83" i="95"/>
  <c r="F77" i="95"/>
  <c r="F69" i="95"/>
  <c r="F65" i="95"/>
  <c r="F61" i="95"/>
  <c r="F56" i="95"/>
  <c r="F53" i="95"/>
  <c r="F48" i="95"/>
  <c r="F45" i="95"/>
  <c r="F40" i="95"/>
  <c r="F29" i="95"/>
  <c r="F68" i="95"/>
  <c r="F64" i="95"/>
  <c r="F74" i="95"/>
  <c r="F58" i="95"/>
  <c r="F55" i="95"/>
  <c r="F50" i="95"/>
  <c r="F47" i="95"/>
  <c r="F42" i="95"/>
  <c r="F39" i="95"/>
  <c r="F34" i="95"/>
  <c r="F27" i="95"/>
  <c r="F38" i="95"/>
  <c r="F21" i="95"/>
  <c r="L12" i="95"/>
  <c r="D21" i="95"/>
  <c r="F19" i="95"/>
  <c r="F28" i="95"/>
  <c r="F26" i="95"/>
  <c r="F18" i="95"/>
  <c r="F25" i="95"/>
  <c r="F23" i="95"/>
  <c r="F30" i="95"/>
  <c r="L77" i="92"/>
  <c r="R14" i="93"/>
  <c r="T16" i="93"/>
  <c r="R18" i="93"/>
  <c r="N15" i="94"/>
  <c r="N24" i="94"/>
  <c r="R25" i="94"/>
  <c r="R33" i="94"/>
  <c r="Z46" i="94"/>
  <c r="N54" i="94"/>
  <c r="J59" i="94"/>
  <c r="N63" i="94"/>
  <c r="L63" i="94"/>
  <c r="H12" i="95"/>
  <c r="Z17" i="95"/>
  <c r="X17" i="95"/>
  <c r="F24" i="95"/>
  <c r="X12" i="93"/>
  <c r="Z18" i="93"/>
  <c r="R19" i="93"/>
  <c r="F24" i="93"/>
  <c r="N14" i="94"/>
  <c r="Z40" i="94"/>
  <c r="N48" i="94"/>
  <c r="R49" i="94"/>
  <c r="J53" i="94"/>
  <c r="X54" i="94"/>
  <c r="Z54" i="94" s="1"/>
  <c r="R70" i="94"/>
  <c r="V76" i="95"/>
  <c r="V68" i="95"/>
  <c r="V64" i="95"/>
  <c r="V60" i="95"/>
  <c r="V52" i="95"/>
  <c r="V44" i="95"/>
  <c r="V28" i="95"/>
  <c r="V67" i="95"/>
  <c r="V63" i="95"/>
  <c r="V55" i="95"/>
  <c r="V47" i="95"/>
  <c r="V39" i="95"/>
  <c r="V54" i="95"/>
  <c r="V46" i="95"/>
  <c r="V38" i="95"/>
  <c r="V85" i="95"/>
  <c r="V79" i="95"/>
  <c r="V73" i="95"/>
  <c r="V57" i="95"/>
  <c r="V49" i="95"/>
  <c r="V41" i="95"/>
  <c r="V37" i="95"/>
  <c r="V72" i="95"/>
  <c r="V56" i="95"/>
  <c r="V48" i="95"/>
  <c r="V40" i="95"/>
  <c r="V36" i="95"/>
  <c r="V32" i="95"/>
  <c r="V75" i="95"/>
  <c r="V71" i="95"/>
  <c r="V59" i="95"/>
  <c r="V51" i="95"/>
  <c r="V43" i="95"/>
  <c r="V35" i="95"/>
  <c r="V74" i="95"/>
  <c r="V70" i="95"/>
  <c r="V66" i="95"/>
  <c r="V62" i="95"/>
  <c r="V58" i="95"/>
  <c r="V50" i="95"/>
  <c r="V42" i="95"/>
  <c r="V34" i="95"/>
  <c r="V30" i="95"/>
  <c r="V88" i="95"/>
  <c r="V83" i="95"/>
  <c r="V81" i="95"/>
  <c r="V77" i="95"/>
  <c r="V69" i="95"/>
  <c r="V65" i="95"/>
  <c r="V61" i="95"/>
  <c r="V53" i="95"/>
  <c r="V45" i="95"/>
  <c r="V33" i="95"/>
  <c r="V21" i="95"/>
  <c r="V29" i="95"/>
  <c r="T21" i="95"/>
  <c r="V31" i="95"/>
  <c r="Z12" i="95"/>
  <c r="V23" i="95"/>
  <c r="V19" i="95"/>
  <c r="V26" i="95"/>
  <c r="V18" i="95"/>
  <c r="V17" i="95"/>
  <c r="N24" i="95"/>
  <c r="R25" i="95"/>
  <c r="J71" i="94"/>
  <c r="J65" i="94"/>
  <c r="J55" i="94"/>
  <c r="J47" i="94"/>
  <c r="J39" i="94"/>
  <c r="J27" i="94"/>
  <c r="J19" i="94"/>
  <c r="J78" i="94"/>
  <c r="J74" i="94"/>
  <c r="J70" i="94"/>
  <c r="J62" i="94"/>
  <c r="J58" i="94"/>
  <c r="J52" i="94"/>
  <c r="J44" i="94"/>
  <c r="J38" i="94"/>
  <c r="J26" i="94"/>
  <c r="J18" i="94"/>
  <c r="J69" i="94"/>
  <c r="J61" i="94"/>
  <c r="J57" i="94"/>
  <c r="J49" i="94"/>
  <c r="J41" i="94"/>
  <c r="J37" i="94"/>
  <c r="J33" i="94"/>
  <c r="J25" i="94"/>
  <c r="J23" i="94"/>
  <c r="J82" i="94"/>
  <c r="J76" i="94"/>
  <c r="J68" i="94"/>
  <c r="J64" i="94"/>
  <c r="J60" i="94"/>
  <c r="J54" i="94"/>
  <c r="J46" i="94"/>
  <c r="J36" i="94"/>
  <c r="J32" i="94"/>
  <c r="J73" i="94"/>
  <c r="J67" i="94"/>
  <c r="J51" i="94"/>
  <c r="J43" i="94"/>
  <c r="J35" i="94"/>
  <c r="J31" i="94"/>
  <c r="J17" i="94"/>
  <c r="J66" i="94"/>
  <c r="J56" i="94"/>
  <c r="J48" i="94"/>
  <c r="J40" i="94"/>
  <c r="J30" i="94"/>
  <c r="J24" i="94"/>
  <c r="Z24" i="94"/>
  <c r="R54" i="94"/>
  <c r="L56" i="94"/>
  <c r="N56" i="94" s="1"/>
  <c r="R58" i="94"/>
  <c r="J72" i="94"/>
  <c r="X73" i="94"/>
  <c r="Z73" i="94" s="1"/>
  <c r="T12" i="94"/>
  <c r="N19" i="97"/>
  <c r="V22" i="93"/>
  <c r="V28" i="93"/>
  <c r="N34" i="95"/>
  <c r="Z74" i="95"/>
  <c r="X20" i="96"/>
  <c r="H62" i="97"/>
  <c r="F42" i="97"/>
  <c r="F37" i="97"/>
  <c r="F26" i="97"/>
  <c r="F57" i="97"/>
  <c r="F48" i="97"/>
  <c r="F45" i="97"/>
  <c r="F25" i="97"/>
  <c r="F51" i="97"/>
  <c r="F39" i="97"/>
  <c r="F36" i="97"/>
  <c r="F56" i="97"/>
  <c r="F53" i="97"/>
  <c r="F49" i="97"/>
  <c r="F44" i="97"/>
  <c r="F33" i="97"/>
  <c r="F29" i="97"/>
  <c r="F52" i="97"/>
  <c r="F40" i="97"/>
  <c r="F32" i="97"/>
  <c r="F28" i="97"/>
  <c r="F43" i="97"/>
  <c r="F19" i="97"/>
  <c r="F15" i="97"/>
  <c r="L12" i="97"/>
  <c r="N12" i="97" s="1"/>
  <c r="F64" i="97"/>
  <c r="F21" i="97"/>
  <c r="F24" i="97"/>
  <c r="F22" i="97"/>
  <c r="F60" i="97"/>
  <c r="F38" i="97"/>
  <c r="F23" i="97"/>
  <c r="F20" i="97"/>
  <c r="F54" i="97"/>
  <c r="F47" i="97"/>
  <c r="F46" i="97"/>
  <c r="F34" i="97"/>
  <c r="F30" i="97"/>
  <c r="F17" i="97"/>
  <c r="F55" i="97"/>
  <c r="F31" i="97"/>
  <c r="D17" i="97"/>
  <c r="F41" i="97"/>
  <c r="F35" i="97"/>
  <c r="F50" i="97"/>
  <c r="F27" i="97"/>
  <c r="Z34" i="95"/>
  <c r="X34" i="95"/>
  <c r="P66" i="97"/>
  <c r="J42" i="97"/>
  <c r="T59" i="97"/>
  <c r="X60" i="97"/>
  <c r="Z60" i="97" s="1"/>
  <c r="N21" i="98"/>
  <c r="L21" i="98"/>
  <c r="Z13" i="100"/>
  <c r="X13" i="100"/>
  <c r="D16" i="96"/>
  <c r="T16" i="96"/>
  <c r="D20" i="96"/>
  <c r="T20" i="96"/>
  <c r="J21" i="96"/>
  <c r="H24" i="96"/>
  <c r="R64" i="97"/>
  <c r="R50" i="97"/>
  <c r="R38" i="97"/>
  <c r="R34" i="97"/>
  <c r="R22" i="97"/>
  <c r="R62" i="97"/>
  <c r="R53" i="97"/>
  <c r="R49" i="97"/>
  <c r="R46" i="97"/>
  <c r="R33" i="97"/>
  <c r="R29" i="97"/>
  <c r="R21" i="97"/>
  <c r="R59" i="97"/>
  <c r="R52" i="97"/>
  <c r="R40" i="97"/>
  <c r="R37" i="97"/>
  <c r="R32" i="97"/>
  <c r="R28" i="97"/>
  <c r="R66" i="97"/>
  <c r="R60" i="97"/>
  <c r="R57" i="97"/>
  <c r="R54" i="97"/>
  <c r="R45" i="97"/>
  <c r="R30" i="97"/>
  <c r="R25" i="97"/>
  <c r="R41" i="97"/>
  <c r="R36" i="97"/>
  <c r="J15" i="97"/>
  <c r="R17" i="97"/>
  <c r="J19" i="97"/>
  <c r="X20" i="97"/>
  <c r="Z20" i="97" s="1"/>
  <c r="Z39" i="97"/>
  <c r="R44" i="97"/>
  <c r="J50" i="97"/>
  <c r="N56" i="97"/>
  <c r="L56" i="97"/>
  <c r="X42" i="95"/>
  <c r="Z42" i="95" s="1"/>
  <c r="L44" i="95"/>
  <c r="X50" i="95"/>
  <c r="L52" i="95"/>
  <c r="X58" i="95"/>
  <c r="L60" i="95"/>
  <c r="F16" i="96"/>
  <c r="V16" i="96"/>
  <c r="F20" i="96"/>
  <c r="V20" i="96"/>
  <c r="R22" i="96"/>
  <c r="J24" i="96"/>
  <c r="R28" i="96"/>
  <c r="J31" i="96"/>
  <c r="T12" i="97"/>
  <c r="R20" i="97"/>
  <c r="J26" i="97"/>
  <c r="N41" i="97"/>
  <c r="L41" i="97"/>
  <c r="R43" i="97"/>
  <c r="J56" i="97"/>
  <c r="Z16" i="98"/>
  <c r="X16" i="98"/>
  <c r="L16" i="99"/>
  <c r="L20" i="99"/>
  <c r="H20" i="96"/>
  <c r="N15" i="97"/>
  <c r="R27" i="97"/>
  <c r="R35" i="97"/>
  <c r="R42" i="97"/>
  <c r="J49" i="97"/>
  <c r="L60" i="97"/>
  <c r="N60" i="97" s="1"/>
  <c r="D59" i="97"/>
  <c r="L59" i="97" s="1"/>
  <c r="N59" i="97" s="1"/>
  <c r="V22" i="98"/>
  <c r="V20" i="98"/>
  <c r="V16" i="98"/>
  <c r="Z12" i="98"/>
  <c r="V34" i="98"/>
  <c r="V31" i="98"/>
  <c r="V27" i="98"/>
  <c r="V21" i="98"/>
  <c r="V18" i="98"/>
  <c r="V29" i="98"/>
  <c r="J26" i="96"/>
  <c r="F28" i="96"/>
  <c r="V28" i="96"/>
  <c r="R26" i="97"/>
  <c r="J29" i="97"/>
  <c r="J34" i="97"/>
  <c r="J48" i="97"/>
  <c r="R51" i="97"/>
  <c r="J53" i="97"/>
  <c r="R56" i="97"/>
  <c r="X12" i="98"/>
  <c r="F20" i="99"/>
  <c r="F16" i="99"/>
  <c r="F34" i="99"/>
  <c r="F31" i="99"/>
  <c r="F27" i="99"/>
  <c r="F24" i="99"/>
  <c r="F21" i="99"/>
  <c r="F18" i="99"/>
  <c r="F36" i="99"/>
  <c r="F33" i="99"/>
  <c r="F29" i="99"/>
  <c r="F25" i="99"/>
  <c r="D18" i="99"/>
  <c r="F15" i="99"/>
  <c r="L12" i="99"/>
  <c r="F22" i="99"/>
  <c r="X16" i="100"/>
  <c r="L24" i="100"/>
  <c r="R21" i="96"/>
  <c r="R15" i="97"/>
  <c r="J17" i="97"/>
  <c r="R19" i="97"/>
  <c r="J23" i="97"/>
  <c r="R31" i="97"/>
  <c r="J33" i="97"/>
  <c r="Z51" i="97"/>
  <c r="R55" i="97"/>
  <c r="Z20" i="98"/>
  <c r="X20" i="98"/>
  <c r="V24" i="98"/>
  <c r="V14" i="96"/>
  <c r="F18" i="96"/>
  <c r="V18" i="96"/>
  <c r="J22" i="96"/>
  <c r="R24" i="96"/>
  <c r="J28" i="96"/>
  <c r="R31" i="96"/>
  <c r="J57" i="97"/>
  <c r="J51" i="97"/>
  <c r="J45" i="97"/>
  <c r="J39" i="97"/>
  <c r="J25" i="97"/>
  <c r="J60" i="97"/>
  <c r="J54" i="97"/>
  <c r="J36" i="97"/>
  <c r="J30" i="97"/>
  <c r="J24" i="97"/>
  <c r="J47" i="97"/>
  <c r="J41" i="97"/>
  <c r="J35" i="97"/>
  <c r="J62" i="97"/>
  <c r="J52" i="97"/>
  <c r="J46" i="97"/>
  <c r="J40" i="97"/>
  <c r="J32" i="97"/>
  <c r="J28" i="97"/>
  <c r="J59" i="97"/>
  <c r="J55" i="97"/>
  <c r="J43" i="97"/>
  <c r="J37" i="97"/>
  <c r="J31" i="97"/>
  <c r="J27" i="97"/>
  <c r="J20" i="97"/>
  <c r="J22" i="97"/>
  <c r="N37" i="97"/>
  <c r="L44" i="97"/>
  <c r="N44" i="97" s="1"/>
  <c r="R47" i="97"/>
  <c r="L13" i="98"/>
  <c r="T18" i="98"/>
  <c r="X18" i="98" s="1"/>
  <c r="V33" i="98"/>
  <c r="V36" i="98"/>
  <c r="X20" i="100"/>
  <c r="P16" i="96"/>
  <c r="J21" i="97"/>
  <c r="Z30" i="97"/>
  <c r="X30" i="97"/>
  <c r="J44" i="97"/>
  <c r="R48" i="97"/>
  <c r="Z54" i="97"/>
  <c r="X54" i="97"/>
  <c r="J64" i="97"/>
  <c r="P27" i="98"/>
  <c r="N12" i="98"/>
  <c r="X15" i="98"/>
  <c r="F18" i="98"/>
  <c r="J22" i="98"/>
  <c r="R24" i="98"/>
  <c r="J16" i="99"/>
  <c r="R18" i="99"/>
  <c r="J20" i="99"/>
  <c r="V22" i="99"/>
  <c r="F16" i="100"/>
  <c r="F20" i="100"/>
  <c r="R22" i="100"/>
  <c r="J24" i="100"/>
  <c r="J15" i="98"/>
  <c r="H18" i="98"/>
  <c r="F21" i="98"/>
  <c r="J25" i="98"/>
  <c r="R27" i="98"/>
  <c r="J29" i="98"/>
  <c r="R31" i="98"/>
  <c r="J33" i="98"/>
  <c r="R34" i="98"/>
  <c r="J36" i="98"/>
  <c r="V15" i="99"/>
  <c r="T18" i="99"/>
  <c r="R21" i="99"/>
  <c r="V25" i="99"/>
  <c r="V29" i="99"/>
  <c r="V33" i="99"/>
  <c r="V36" i="99"/>
  <c r="R15" i="100"/>
  <c r="P18" i="100"/>
  <c r="R25" i="100"/>
  <c r="J27" i="100"/>
  <c r="R29" i="100"/>
  <c r="J31" i="100"/>
  <c r="R33" i="100"/>
  <c r="J34" i="100"/>
  <c r="R36" i="100"/>
  <c r="R24" i="99"/>
  <c r="J16" i="100"/>
  <c r="J20" i="100"/>
  <c r="H18" i="99"/>
  <c r="R27" i="99"/>
  <c r="R31" i="99"/>
  <c r="R34" i="99"/>
  <c r="L12" i="100"/>
  <c r="D18" i="100"/>
  <c r="T18" i="100"/>
  <c r="F36" i="100"/>
  <c r="F20" i="98"/>
  <c r="X34" i="98"/>
  <c r="L15" i="99"/>
  <c r="R16" i="99"/>
  <c r="R20" i="99"/>
  <c r="X21" i="99"/>
  <c r="V24" i="99"/>
  <c r="L25" i="99"/>
  <c r="L29" i="99"/>
  <c r="L33" i="99"/>
  <c r="N12" i="100"/>
  <c r="X15" i="100"/>
  <c r="J22" i="100"/>
  <c r="R24" i="100"/>
  <c r="X25" i="100"/>
  <c r="X29" i="100"/>
  <c r="X33" i="100"/>
  <c r="L24" i="98"/>
  <c r="J27" i="98"/>
  <c r="J31" i="98"/>
  <c r="J34" i="98"/>
  <c r="R36" i="98"/>
  <c r="X12" i="99"/>
  <c r="X24" i="99"/>
  <c r="V27" i="99"/>
  <c r="V31" i="99"/>
  <c r="V34" i="99"/>
  <c r="J15" i="100"/>
  <c r="H18" i="100"/>
  <c r="L22" i="100"/>
  <c r="J25" i="100"/>
  <c r="R27" i="100"/>
  <c r="J29" i="100"/>
  <c r="R31" i="100"/>
  <c r="J33" i="100"/>
  <c r="R34" i="100"/>
  <c r="J36" i="100"/>
  <c r="J16" i="98"/>
  <c r="Z12" i="99"/>
  <c r="V16" i="99"/>
  <c r="R16" i="100"/>
  <c r="N18" i="10" l="1"/>
  <c r="Z18" i="52"/>
  <c r="Z31" i="52"/>
  <c r="X18" i="52"/>
  <c r="Z18" i="17"/>
  <c r="P27" i="52"/>
  <c r="P31" i="52" s="1"/>
  <c r="Z18" i="35"/>
  <c r="X18" i="99"/>
  <c r="H27" i="35"/>
  <c r="H31" i="35" s="1"/>
  <c r="X18" i="7"/>
  <c r="H31" i="20"/>
  <c r="N31" i="20" s="1"/>
  <c r="L18" i="19"/>
  <c r="X18" i="49"/>
  <c r="X27" i="40"/>
  <c r="Z27" i="17"/>
  <c r="Z18" i="40"/>
  <c r="T31" i="40"/>
  <c r="X31" i="40" s="1"/>
  <c r="X18" i="40"/>
  <c r="H31" i="22"/>
  <c r="H36" i="22" s="1"/>
  <c r="N36" i="22" s="1"/>
  <c r="N18" i="22"/>
  <c r="Z18" i="32"/>
  <c r="T31" i="32"/>
  <c r="Z31" i="32" s="1"/>
  <c r="H31" i="10"/>
  <c r="H36" i="10" s="1"/>
  <c r="N36" i="10" s="1"/>
  <c r="Z27" i="37"/>
  <c r="Z27" i="35"/>
  <c r="Z18" i="11"/>
  <c r="Z18" i="37"/>
  <c r="T31" i="11"/>
  <c r="T36" i="11" s="1"/>
  <c r="Z36" i="11" s="1"/>
  <c r="Z18" i="49"/>
  <c r="L18" i="98"/>
  <c r="X18" i="37"/>
  <c r="X18" i="28"/>
  <c r="N18" i="44"/>
  <c r="H27" i="44"/>
  <c r="L18" i="17"/>
  <c r="P27" i="37"/>
  <c r="X27" i="37" s="1"/>
  <c r="H27" i="32"/>
  <c r="H27" i="8"/>
  <c r="N18" i="8"/>
  <c r="P27" i="28"/>
  <c r="P31" i="28" s="1"/>
  <c r="Z18" i="46"/>
  <c r="D27" i="17"/>
  <c r="D31" i="17" s="1"/>
  <c r="T36" i="35"/>
  <c r="Z36" i="35" s="1"/>
  <c r="Z31" i="35"/>
  <c r="H27" i="4"/>
  <c r="N18" i="4"/>
  <c r="H27" i="49"/>
  <c r="N18" i="49"/>
  <c r="X18" i="32"/>
  <c r="N98" i="62"/>
  <c r="H102" i="62"/>
  <c r="L98" i="62"/>
  <c r="D24" i="96"/>
  <c r="L16" i="96"/>
  <c r="J18" i="75"/>
  <c r="J27" i="75"/>
  <c r="H23" i="75"/>
  <c r="J19" i="75"/>
  <c r="J20" i="75"/>
  <c r="J31" i="75"/>
  <c r="J21" i="75"/>
  <c r="J25" i="75"/>
  <c r="P105" i="77"/>
  <c r="L16" i="59"/>
  <c r="D52" i="59"/>
  <c r="N59" i="48"/>
  <c r="L59" i="48"/>
  <c r="P80" i="33"/>
  <c r="X30" i="33"/>
  <c r="H27" i="14"/>
  <c r="N18" i="14"/>
  <c r="L18" i="7"/>
  <c r="D27" i="7"/>
  <c r="D259" i="3"/>
  <c r="P24" i="96"/>
  <c r="X16" i="96"/>
  <c r="L18" i="99"/>
  <c r="D27" i="99"/>
  <c r="F59" i="97"/>
  <c r="D24" i="93"/>
  <c r="L16" i="93"/>
  <c r="P70" i="86"/>
  <c r="X29" i="88"/>
  <c r="P25" i="87"/>
  <c r="R77" i="92"/>
  <c r="R81" i="92"/>
  <c r="R66" i="92"/>
  <c r="R62" i="92"/>
  <c r="R30" i="92"/>
  <c r="R73" i="92"/>
  <c r="R58" i="92"/>
  <c r="R53" i="92"/>
  <c r="R50" i="92"/>
  <c r="R45" i="92"/>
  <c r="R42" i="92"/>
  <c r="R34" i="92"/>
  <c r="R29" i="92"/>
  <c r="P21" i="92"/>
  <c r="R72" i="92"/>
  <c r="R65" i="92"/>
  <c r="R61" i="92"/>
  <c r="R28" i="92"/>
  <c r="X12" i="92"/>
  <c r="Z12" i="92" s="1"/>
  <c r="R71" i="92"/>
  <c r="R55" i="92"/>
  <c r="R52" i="92"/>
  <c r="R47" i="92"/>
  <c r="R44" i="92"/>
  <c r="R39" i="92"/>
  <c r="R27" i="92"/>
  <c r="R75" i="92"/>
  <c r="R70" i="92"/>
  <c r="R38" i="92"/>
  <c r="R26" i="92"/>
  <c r="R23" i="92"/>
  <c r="R18" i="92"/>
  <c r="R74" i="92"/>
  <c r="R69" i="92"/>
  <c r="R57" i="92"/>
  <c r="R54" i="92"/>
  <c r="R49" i="92"/>
  <c r="R46" i="92"/>
  <c r="R41" i="92"/>
  <c r="R37" i="92"/>
  <c r="R33" i="92"/>
  <c r="R25" i="92"/>
  <c r="R48" i="92"/>
  <c r="R21" i="92"/>
  <c r="R68" i="92"/>
  <c r="R63" i="92"/>
  <c r="R24" i="92"/>
  <c r="R59" i="92"/>
  <c r="R64" i="92"/>
  <c r="R56" i="92"/>
  <c r="R60" i="92"/>
  <c r="R43" i="92"/>
  <c r="R40" i="92"/>
  <c r="R35" i="92"/>
  <c r="R67" i="92"/>
  <c r="R51" i="92"/>
  <c r="R31" i="92"/>
  <c r="R17" i="92"/>
  <c r="R32" i="92"/>
  <c r="R36" i="92"/>
  <c r="R19" i="92"/>
  <c r="J86" i="92"/>
  <c r="J79" i="92"/>
  <c r="J69" i="92"/>
  <c r="J57" i="92"/>
  <c r="J49" i="92"/>
  <c r="J41" i="92"/>
  <c r="J37" i="92"/>
  <c r="J33" i="92"/>
  <c r="J74" i="92"/>
  <c r="J68" i="92"/>
  <c r="J64" i="92"/>
  <c r="J60" i="92"/>
  <c r="J54" i="92"/>
  <c r="J46" i="92"/>
  <c r="J36" i="92"/>
  <c r="J32" i="92"/>
  <c r="J81" i="92"/>
  <c r="J67" i="92"/>
  <c r="J63" i="92"/>
  <c r="J59" i="92"/>
  <c r="J51" i="92"/>
  <c r="J43" i="92"/>
  <c r="J35" i="92"/>
  <c r="J31" i="92"/>
  <c r="J17" i="92"/>
  <c r="J83" i="92"/>
  <c r="J66" i="92"/>
  <c r="J62" i="92"/>
  <c r="J56" i="92"/>
  <c r="J48" i="92"/>
  <c r="J40" i="92"/>
  <c r="J30" i="92"/>
  <c r="J24" i="92"/>
  <c r="J73" i="92"/>
  <c r="J53" i="92"/>
  <c r="J45" i="92"/>
  <c r="J29" i="92"/>
  <c r="J21" i="92"/>
  <c r="J72" i="92"/>
  <c r="J58" i="92"/>
  <c r="J50" i="92"/>
  <c r="J42" i="92"/>
  <c r="J34" i="92"/>
  <c r="J28" i="92"/>
  <c r="H21" i="92"/>
  <c r="N12" i="92"/>
  <c r="J70" i="92"/>
  <c r="J47" i="92"/>
  <c r="J26" i="92"/>
  <c r="J19" i="92"/>
  <c r="J18" i="92"/>
  <c r="J75" i="92"/>
  <c r="J71" i="92"/>
  <c r="J23" i="92"/>
  <c r="J55" i="92"/>
  <c r="J27" i="92"/>
  <c r="J77" i="92"/>
  <c r="J65" i="92"/>
  <c r="J44" i="92"/>
  <c r="J38" i="92"/>
  <c r="J61" i="92"/>
  <c r="J52" i="92"/>
  <c r="J39" i="92"/>
  <c r="J25" i="92"/>
  <c r="D66" i="86"/>
  <c r="L17" i="86"/>
  <c r="F98" i="77"/>
  <c r="F95" i="77"/>
  <c r="F87" i="77"/>
  <c r="F83" i="77"/>
  <c r="F94" i="77"/>
  <c r="F90" i="77"/>
  <c r="F86" i="77"/>
  <c r="F82" i="77"/>
  <c r="F77" i="77"/>
  <c r="F74" i="77"/>
  <c r="F69" i="77"/>
  <c r="F66" i="77"/>
  <c r="F100" i="77"/>
  <c r="F97" i="77"/>
  <c r="F93" i="77"/>
  <c r="F92" i="77"/>
  <c r="F79" i="77"/>
  <c r="F76" i="77"/>
  <c r="F71" i="77"/>
  <c r="F68" i="77"/>
  <c r="F63" i="77"/>
  <c r="F99" i="77"/>
  <c r="F103" i="77"/>
  <c r="F89" i="77"/>
  <c r="F85" i="77"/>
  <c r="F81" i="77"/>
  <c r="F78" i="77"/>
  <c r="F73" i="77"/>
  <c r="F70" i="77"/>
  <c r="F65" i="77"/>
  <c r="F62" i="77"/>
  <c r="F67" i="77"/>
  <c r="F61" i="77"/>
  <c r="F60" i="77"/>
  <c r="F59" i="77"/>
  <c r="F55" i="77"/>
  <c r="F39" i="77"/>
  <c r="F58" i="77"/>
  <c r="F54" i="77"/>
  <c r="F38" i="77"/>
  <c r="F91" i="77"/>
  <c r="F72" i="77"/>
  <c r="F53" i="77"/>
  <c r="F48" i="77"/>
  <c r="F37" i="77"/>
  <c r="F107" i="77"/>
  <c r="F96" i="77"/>
  <c r="F52" i="77"/>
  <c r="F45" i="77"/>
  <c r="L12" i="77"/>
  <c r="N12" i="77" s="1"/>
  <c r="F101" i="77"/>
  <c r="F84" i="77"/>
  <c r="F80" i="77"/>
  <c r="F51" i="77"/>
  <c r="D45" i="77"/>
  <c r="F43" i="77"/>
  <c r="F49" i="77"/>
  <c r="F41" i="77"/>
  <c r="F36" i="77"/>
  <c r="F75" i="77"/>
  <c r="F64" i="77"/>
  <c r="F56" i="77"/>
  <c r="F47" i="77"/>
  <c r="F40" i="77"/>
  <c r="F88" i="77"/>
  <c r="F42" i="77"/>
  <c r="F57" i="77"/>
  <c r="F50" i="77"/>
  <c r="N90" i="71"/>
  <c r="V93" i="71"/>
  <c r="V83" i="71"/>
  <c r="V79" i="71"/>
  <c r="V71" i="71"/>
  <c r="V63" i="71"/>
  <c r="V59" i="71"/>
  <c r="V43" i="71"/>
  <c r="V35" i="71"/>
  <c r="V86" i="71"/>
  <c r="V82" i="71"/>
  <c r="V70" i="71"/>
  <c r="V62" i="71"/>
  <c r="V58" i="71"/>
  <c r="T49" i="71"/>
  <c r="V42" i="71"/>
  <c r="V91" i="71"/>
  <c r="V85" i="71"/>
  <c r="V81" i="71"/>
  <c r="V73" i="71"/>
  <c r="V57" i="71"/>
  <c r="V41" i="71"/>
  <c r="V88" i="71"/>
  <c r="V76" i="71"/>
  <c r="V72" i="71"/>
  <c r="V56" i="71"/>
  <c r="V40" i="71"/>
  <c r="V97" i="71"/>
  <c r="V87" i="71"/>
  <c r="V92" i="71"/>
  <c r="V78" i="71"/>
  <c r="V74" i="71"/>
  <c r="V66" i="71"/>
  <c r="V54" i="71"/>
  <c r="V46" i="71"/>
  <c r="V77" i="71"/>
  <c r="V69" i="71"/>
  <c r="V65" i="71"/>
  <c r="V61" i="71"/>
  <c r="V53" i="71"/>
  <c r="V45" i="71"/>
  <c r="V37" i="71"/>
  <c r="V60" i="71"/>
  <c r="V38" i="71"/>
  <c r="V55" i="71"/>
  <c r="V47" i="71"/>
  <c r="V44" i="71"/>
  <c r="V75" i="71"/>
  <c r="V90" i="71"/>
  <c r="V80" i="71"/>
  <c r="V39" i="71"/>
  <c r="V84" i="71"/>
  <c r="V36" i="71"/>
  <c r="V67" i="71"/>
  <c r="V64" i="71"/>
  <c r="V52" i="71"/>
  <c r="V51" i="71"/>
  <c r="Z12" i="71"/>
  <c r="V68" i="71"/>
  <c r="H77" i="70"/>
  <c r="F50" i="67"/>
  <c r="F44" i="67"/>
  <c r="F39" i="67"/>
  <c r="F36" i="67"/>
  <c r="F28" i="67"/>
  <c r="F21" i="67"/>
  <c r="L12" i="67"/>
  <c r="F27" i="67"/>
  <c r="D21" i="67"/>
  <c r="F19" i="67"/>
  <c r="F41" i="67"/>
  <c r="F38" i="67"/>
  <c r="F33" i="67"/>
  <c r="F26" i="67"/>
  <c r="F55" i="67"/>
  <c r="F48" i="67"/>
  <c r="F25" i="67"/>
  <c r="F43" i="67"/>
  <c r="F40" i="67"/>
  <c r="F35" i="67"/>
  <c r="F32" i="67"/>
  <c r="F23" i="67"/>
  <c r="F31" i="67"/>
  <c r="F18" i="67"/>
  <c r="F42" i="67"/>
  <c r="F37" i="67"/>
  <c r="F34" i="67"/>
  <c r="F30" i="67"/>
  <c r="F46" i="67"/>
  <c r="F52" i="67"/>
  <c r="F29" i="67"/>
  <c r="F24" i="67"/>
  <c r="T46" i="60"/>
  <c r="Z16" i="60"/>
  <c r="H38" i="65"/>
  <c r="T137" i="69"/>
  <c r="X16" i="57"/>
  <c r="P59" i="57"/>
  <c r="H30" i="55"/>
  <c r="N16" i="55"/>
  <c r="N18" i="50"/>
  <c r="H27" i="50"/>
  <c r="D53" i="60"/>
  <c r="L50" i="60"/>
  <c r="P37" i="55"/>
  <c r="L18" i="49"/>
  <c r="D27" i="49"/>
  <c r="L18" i="46"/>
  <c r="D27" i="46"/>
  <c r="L18" i="44"/>
  <c r="D27" i="44"/>
  <c r="T27" i="47"/>
  <c r="X27" i="47" s="1"/>
  <c r="Z18" i="47"/>
  <c r="L18" i="41"/>
  <c r="D27" i="41"/>
  <c r="H27" i="38"/>
  <c r="N18" i="38"/>
  <c r="H27" i="43"/>
  <c r="N18" i="43"/>
  <c r="P90" i="45"/>
  <c r="X21" i="45"/>
  <c r="L18" i="43"/>
  <c r="D27" i="43"/>
  <c r="N97" i="42"/>
  <c r="L97" i="42"/>
  <c r="T27" i="38"/>
  <c r="Z18" i="38"/>
  <c r="X107" i="27"/>
  <c r="Z107" i="27" s="1"/>
  <c r="L18" i="34"/>
  <c r="D27" i="34"/>
  <c r="Z151" i="30"/>
  <c r="J106" i="39"/>
  <c r="L18" i="32"/>
  <c r="D27" i="32"/>
  <c r="P112" i="27"/>
  <c r="F151" i="30"/>
  <c r="D155" i="30"/>
  <c r="L18" i="28"/>
  <c r="D27" i="28"/>
  <c r="X18" i="26"/>
  <c r="P27" i="26"/>
  <c r="X18" i="20"/>
  <c r="P27" i="20"/>
  <c r="L57" i="27"/>
  <c r="D112" i="27"/>
  <c r="L233" i="18"/>
  <c r="T27" i="22"/>
  <c r="Z18" i="22"/>
  <c r="P84" i="21"/>
  <c r="X27" i="21"/>
  <c r="T27" i="14"/>
  <c r="X27" i="14" s="1"/>
  <c r="Z18" i="14"/>
  <c r="T27" i="13"/>
  <c r="Z18" i="13"/>
  <c r="D31" i="19"/>
  <c r="H27" i="13"/>
  <c r="N18" i="13"/>
  <c r="V216" i="12"/>
  <c r="V212" i="12"/>
  <c r="V221" i="12"/>
  <c r="V199" i="12"/>
  <c r="V191" i="12"/>
  <c r="V187" i="12"/>
  <c r="V183" i="12"/>
  <c r="V179" i="12"/>
  <c r="V171" i="12"/>
  <c r="V206" i="12"/>
  <c r="V190" i="12"/>
  <c r="V186" i="12"/>
  <c r="V182" i="12"/>
  <c r="V170" i="12"/>
  <c r="V227" i="12"/>
  <c r="V219" i="12"/>
  <c r="V209" i="12"/>
  <c r="V205" i="12"/>
  <c r="V181" i="12"/>
  <c r="V173" i="12"/>
  <c r="V222" i="12"/>
  <c r="V208" i="12"/>
  <c r="V204" i="12"/>
  <c r="V176" i="12"/>
  <c r="V172" i="12"/>
  <c r="V220" i="12"/>
  <c r="V214" i="12"/>
  <c r="V210" i="12"/>
  <c r="V202" i="12"/>
  <c r="V198" i="12"/>
  <c r="V194" i="12"/>
  <c r="V178" i="12"/>
  <c r="V174" i="12"/>
  <c r="V223" i="12"/>
  <c r="V217" i="12"/>
  <c r="V213" i="12"/>
  <c r="V201" i="12"/>
  <c r="V197" i="12"/>
  <c r="V193" i="12"/>
  <c r="V189" i="12"/>
  <c r="V185" i="12"/>
  <c r="V177" i="12"/>
  <c r="V169" i="12"/>
  <c r="V200" i="12"/>
  <c r="V175" i="12"/>
  <c r="V160" i="12"/>
  <c r="V156" i="12"/>
  <c r="V148" i="12"/>
  <c r="V144" i="12"/>
  <c r="V132" i="12"/>
  <c r="V116" i="12"/>
  <c r="V108" i="12"/>
  <c r="V100" i="12"/>
  <c r="V92" i="12"/>
  <c r="V84" i="12"/>
  <c r="V180" i="12"/>
  <c r="V167" i="12"/>
  <c r="V159" i="12"/>
  <c r="V147" i="12"/>
  <c r="V143" i="12"/>
  <c r="V131" i="12"/>
  <c r="V127" i="12"/>
  <c r="V123" i="12"/>
  <c r="V115" i="12"/>
  <c r="V107" i="12"/>
  <c r="V99" i="12"/>
  <c r="V91" i="12"/>
  <c r="V83" i="12"/>
  <c r="V203" i="12"/>
  <c r="V188" i="12"/>
  <c r="V184" i="12"/>
  <c r="V162" i="12"/>
  <c r="V150" i="12"/>
  <c r="V142" i="12"/>
  <c r="V138" i="12"/>
  <c r="V130" i="12"/>
  <c r="V122" i="12"/>
  <c r="V114" i="12"/>
  <c r="V106" i="12"/>
  <c r="V98" i="12"/>
  <c r="V90" i="12"/>
  <c r="V82" i="12"/>
  <c r="V161" i="12"/>
  <c r="V149" i="12"/>
  <c r="V141" i="12"/>
  <c r="V137" i="12"/>
  <c r="V129" i="12"/>
  <c r="V121" i="12"/>
  <c r="V113" i="12"/>
  <c r="V105" i="12"/>
  <c r="V97" i="12"/>
  <c r="V89" i="12"/>
  <c r="V211" i="12"/>
  <c r="V196" i="12"/>
  <c r="V192" i="12"/>
  <c r="V164" i="12"/>
  <c r="V152" i="12"/>
  <c r="V140" i="12"/>
  <c r="V136" i="12"/>
  <c r="V128" i="12"/>
  <c r="V120" i="12"/>
  <c r="V112" i="12"/>
  <c r="V104" i="12"/>
  <c r="V96" i="12"/>
  <c r="V88" i="12"/>
  <c r="V163" i="12"/>
  <c r="V155" i="12"/>
  <c r="V151" i="12"/>
  <c r="V139" i="12"/>
  <c r="V135" i="12"/>
  <c r="V125" i="12"/>
  <c r="V119" i="12"/>
  <c r="V111" i="12"/>
  <c r="V103" i="12"/>
  <c r="V95" i="12"/>
  <c r="V87" i="12"/>
  <c r="V215" i="12"/>
  <c r="V195" i="12"/>
  <c r="V158" i="12"/>
  <c r="V154" i="12"/>
  <c r="V146" i="12"/>
  <c r="V134" i="12"/>
  <c r="T125" i="12"/>
  <c r="V118" i="12"/>
  <c r="V110" i="12"/>
  <c r="V102" i="12"/>
  <c r="V94" i="12"/>
  <c r="V86" i="12"/>
  <c r="V207" i="12"/>
  <c r="V168" i="12"/>
  <c r="V166" i="12"/>
  <c r="V165" i="12"/>
  <c r="V157" i="12"/>
  <c r="V153" i="12"/>
  <c r="V145" i="12"/>
  <c r="V133" i="12"/>
  <c r="V117" i="12"/>
  <c r="V109" i="12"/>
  <c r="V101" i="12"/>
  <c r="V93" i="12"/>
  <c r="V85" i="12"/>
  <c r="N219" i="12"/>
  <c r="H27" i="7"/>
  <c r="N18" i="7"/>
  <c r="Z249" i="3"/>
  <c r="F151" i="3"/>
  <c r="T27" i="41"/>
  <c r="Z18" i="41"/>
  <c r="D81" i="95"/>
  <c r="L21" i="95"/>
  <c r="H84" i="94"/>
  <c r="H29" i="87"/>
  <c r="H66" i="86"/>
  <c r="N17" i="86"/>
  <c r="T38" i="83"/>
  <c r="Z16" i="83"/>
  <c r="L29" i="88"/>
  <c r="P42" i="83"/>
  <c r="X38" i="83"/>
  <c r="H76" i="81"/>
  <c r="H32" i="80"/>
  <c r="N16" i="80"/>
  <c r="R26" i="78"/>
  <c r="R18" i="78"/>
  <c r="R22" i="78"/>
  <c r="R17" i="78"/>
  <c r="R30" i="78"/>
  <c r="R24" i="78"/>
  <c r="R16" i="78"/>
  <c r="R23" i="78"/>
  <c r="R20" i="78"/>
  <c r="X12" i="78"/>
  <c r="P20" i="78"/>
  <c r="R127" i="69"/>
  <c r="R123" i="69"/>
  <c r="R119" i="69"/>
  <c r="R103" i="69"/>
  <c r="R100" i="69"/>
  <c r="R95" i="69"/>
  <c r="R91" i="69"/>
  <c r="R75" i="69"/>
  <c r="R133" i="69"/>
  <c r="R126" i="69"/>
  <c r="R122" i="69"/>
  <c r="R115" i="69"/>
  <c r="R106" i="69"/>
  <c r="R90" i="69"/>
  <c r="P82" i="69"/>
  <c r="R74" i="69"/>
  <c r="R66" i="69"/>
  <c r="R58" i="69"/>
  <c r="R139" i="69"/>
  <c r="R129" i="69"/>
  <c r="R125" i="69"/>
  <c r="R118" i="69"/>
  <c r="R109" i="69"/>
  <c r="R102" i="69"/>
  <c r="R94" i="69"/>
  <c r="R89" i="69"/>
  <c r="R73" i="69"/>
  <c r="R65" i="69"/>
  <c r="R57" i="69"/>
  <c r="R121" i="69"/>
  <c r="R112" i="69"/>
  <c r="R108" i="69"/>
  <c r="R105" i="69"/>
  <c r="R88" i="69"/>
  <c r="R80" i="69"/>
  <c r="R72" i="69"/>
  <c r="R64" i="69"/>
  <c r="R134" i="69"/>
  <c r="R131" i="69"/>
  <c r="R128" i="69"/>
  <c r="R124" i="69"/>
  <c r="R111" i="69"/>
  <c r="R99" i="69"/>
  <c r="R87" i="69"/>
  <c r="R84" i="69"/>
  <c r="R79" i="69"/>
  <c r="R71" i="69"/>
  <c r="R63" i="69"/>
  <c r="R56" i="69"/>
  <c r="R130" i="69"/>
  <c r="R117" i="69"/>
  <c r="R110" i="69"/>
  <c r="R101" i="69"/>
  <c r="R97" i="69"/>
  <c r="R93" i="69"/>
  <c r="R77" i="69"/>
  <c r="R69" i="69"/>
  <c r="R61" i="69"/>
  <c r="R135" i="69"/>
  <c r="R120" i="69"/>
  <c r="R116" i="69"/>
  <c r="R113" i="69"/>
  <c r="R104" i="69"/>
  <c r="R96" i="69"/>
  <c r="R92" i="69"/>
  <c r="R85" i="69"/>
  <c r="R76" i="69"/>
  <c r="R68" i="69"/>
  <c r="R60" i="69"/>
  <c r="X12" i="69"/>
  <c r="Z12" i="69" s="1"/>
  <c r="R86" i="69"/>
  <c r="R62" i="69"/>
  <c r="R98" i="69"/>
  <c r="R70" i="69"/>
  <c r="R59" i="69"/>
  <c r="R107" i="69"/>
  <c r="R114" i="69"/>
  <c r="R78" i="69"/>
  <c r="R67" i="69"/>
  <c r="R75" i="64"/>
  <c r="R71" i="64"/>
  <c r="R67" i="64"/>
  <c r="R55" i="64"/>
  <c r="R52" i="64"/>
  <c r="P39" i="64"/>
  <c r="R31" i="64"/>
  <c r="R70" i="64"/>
  <c r="R63" i="64"/>
  <c r="R58" i="64"/>
  <c r="R30" i="64"/>
  <c r="R83" i="64"/>
  <c r="R77" i="64"/>
  <c r="R74" i="64"/>
  <c r="R66" i="64"/>
  <c r="R54" i="64"/>
  <c r="R49" i="64"/>
  <c r="R45" i="64"/>
  <c r="R37" i="64"/>
  <c r="R29" i="64"/>
  <c r="R69" i="64"/>
  <c r="R60" i="64"/>
  <c r="R57" i="64"/>
  <c r="R48" i="64"/>
  <c r="R44" i="64"/>
  <c r="R41" i="64"/>
  <c r="R36" i="64"/>
  <c r="R28" i="64"/>
  <c r="X12" i="64"/>
  <c r="R76" i="64"/>
  <c r="R51" i="64"/>
  <c r="R47" i="64"/>
  <c r="R43" i="64"/>
  <c r="R35" i="64"/>
  <c r="R62" i="64"/>
  <c r="R59" i="64"/>
  <c r="R34" i="64"/>
  <c r="R27" i="64"/>
  <c r="R73" i="64"/>
  <c r="R65" i="64"/>
  <c r="R53" i="64"/>
  <c r="R50" i="64"/>
  <c r="R46" i="64"/>
  <c r="R42" i="64"/>
  <c r="R33" i="64"/>
  <c r="R64" i="64"/>
  <c r="R39" i="64"/>
  <c r="R72" i="64"/>
  <c r="R68" i="64"/>
  <c r="R32" i="64"/>
  <c r="R79" i="64"/>
  <c r="R61" i="64"/>
  <c r="R56" i="64"/>
  <c r="T102" i="62"/>
  <c r="T27" i="53"/>
  <c r="Z18" i="53"/>
  <c r="X18" i="46"/>
  <c r="P27" i="46"/>
  <c r="H48" i="61"/>
  <c r="N44" i="61"/>
  <c r="V93" i="51"/>
  <c r="V83" i="51"/>
  <c r="V79" i="51"/>
  <c r="V71" i="51"/>
  <c r="V63" i="51"/>
  <c r="V59" i="51"/>
  <c r="V43" i="51"/>
  <c r="V35" i="51"/>
  <c r="V86" i="51"/>
  <c r="V82" i="51"/>
  <c r="V70" i="51"/>
  <c r="V62" i="51"/>
  <c r="V58" i="51"/>
  <c r="T49" i="51"/>
  <c r="V42" i="51"/>
  <c r="V91" i="51"/>
  <c r="V85" i="51"/>
  <c r="V81" i="51"/>
  <c r="V73" i="51"/>
  <c r="V57" i="51"/>
  <c r="V41" i="51"/>
  <c r="V88" i="51"/>
  <c r="V76" i="51"/>
  <c r="V72" i="51"/>
  <c r="V56" i="51"/>
  <c r="V40" i="51"/>
  <c r="V97" i="51"/>
  <c r="V87" i="51"/>
  <c r="V75" i="51"/>
  <c r="V67" i="51"/>
  <c r="V55" i="51"/>
  <c r="V51" i="51"/>
  <c r="V47" i="51"/>
  <c r="V39" i="51"/>
  <c r="V92" i="51"/>
  <c r="V78" i="51"/>
  <c r="V74" i="51"/>
  <c r="V66" i="51"/>
  <c r="V54" i="51"/>
  <c r="V46" i="51"/>
  <c r="V38" i="51"/>
  <c r="V77" i="51"/>
  <c r="V69" i="51"/>
  <c r="V65" i="51"/>
  <c r="V61" i="51"/>
  <c r="V53" i="51"/>
  <c r="V45" i="51"/>
  <c r="V37" i="51"/>
  <c r="V36" i="51"/>
  <c r="V64" i="51"/>
  <c r="V84" i="51"/>
  <c r="V44" i="51"/>
  <c r="V60" i="51"/>
  <c r="V52" i="51"/>
  <c r="V90" i="51"/>
  <c r="V80" i="51"/>
  <c r="V68" i="51"/>
  <c r="X27" i="52"/>
  <c r="H27" i="46"/>
  <c r="N18" i="46"/>
  <c r="T63" i="56"/>
  <c r="Z16" i="56"/>
  <c r="L18" i="47"/>
  <c r="D27" i="47"/>
  <c r="D90" i="45"/>
  <c r="L21" i="45"/>
  <c r="X18" i="41"/>
  <c r="P27" i="41"/>
  <c r="V85" i="45"/>
  <c r="V73" i="45"/>
  <c r="V69" i="45"/>
  <c r="V65" i="45"/>
  <c r="V61" i="45"/>
  <c r="V53" i="45"/>
  <c r="V45" i="45"/>
  <c r="V29" i="45"/>
  <c r="V84" i="45"/>
  <c r="V72" i="45"/>
  <c r="V56" i="45"/>
  <c r="V48" i="45"/>
  <c r="V40" i="45"/>
  <c r="V28" i="45"/>
  <c r="V79" i="45"/>
  <c r="V71" i="45"/>
  <c r="V55" i="45"/>
  <c r="V47" i="45"/>
  <c r="V39" i="45"/>
  <c r="V27" i="45"/>
  <c r="V23" i="45"/>
  <c r="V19" i="45"/>
  <c r="V88" i="45"/>
  <c r="V78" i="45"/>
  <c r="V58" i="45"/>
  <c r="V50" i="45"/>
  <c r="V42" i="45"/>
  <c r="V38" i="45"/>
  <c r="V26" i="45"/>
  <c r="V18" i="45"/>
  <c r="V81" i="45"/>
  <c r="V77" i="45"/>
  <c r="V57" i="45"/>
  <c r="V49" i="45"/>
  <c r="V41" i="45"/>
  <c r="V37" i="45"/>
  <c r="V33" i="45"/>
  <c r="V25" i="45"/>
  <c r="V80" i="45"/>
  <c r="V76" i="45"/>
  <c r="V68" i="45"/>
  <c r="V64" i="45"/>
  <c r="V60" i="45"/>
  <c r="V52" i="45"/>
  <c r="V44" i="45"/>
  <c r="V36" i="45"/>
  <c r="V32" i="45"/>
  <c r="V24" i="45"/>
  <c r="V83" i="45"/>
  <c r="V75" i="45"/>
  <c r="V67" i="45"/>
  <c r="V63" i="45"/>
  <c r="V59" i="45"/>
  <c r="V51" i="45"/>
  <c r="V43" i="45"/>
  <c r="V35" i="45"/>
  <c r="V31" i="45"/>
  <c r="V92" i="45"/>
  <c r="V86" i="45"/>
  <c r="V82" i="45"/>
  <c r="V74" i="45"/>
  <c r="V70" i="45"/>
  <c r="V66" i="45"/>
  <c r="V62" i="45"/>
  <c r="V54" i="45"/>
  <c r="V46" i="45"/>
  <c r="V34" i="45"/>
  <c r="V30" i="45"/>
  <c r="T21" i="45"/>
  <c r="V21" i="45" s="1"/>
  <c r="V17" i="45"/>
  <c r="Z12" i="45"/>
  <c r="R99" i="42"/>
  <c r="R88" i="42"/>
  <c r="R84" i="42"/>
  <c r="R77" i="42"/>
  <c r="R44" i="42"/>
  <c r="R41" i="42"/>
  <c r="R36" i="42"/>
  <c r="R32" i="42"/>
  <c r="R83" i="42"/>
  <c r="R67" i="42"/>
  <c r="R63" i="42"/>
  <c r="R60" i="42"/>
  <c r="R55" i="42"/>
  <c r="R52" i="42"/>
  <c r="R31" i="42"/>
  <c r="P23" i="42"/>
  <c r="R23" i="42" s="1"/>
  <c r="R97" i="42"/>
  <c r="R90" i="42"/>
  <c r="R87" i="42"/>
  <c r="R82" i="42"/>
  <c r="R74" i="42"/>
  <c r="R66" i="42"/>
  <c r="R46" i="42"/>
  <c r="R43" i="42"/>
  <c r="R35" i="42"/>
  <c r="R30" i="42"/>
  <c r="R100" i="42"/>
  <c r="R93" i="42"/>
  <c r="R81" i="42"/>
  <c r="R73" i="42"/>
  <c r="R69" i="42"/>
  <c r="R65" i="42"/>
  <c r="R62" i="42"/>
  <c r="R57" i="42"/>
  <c r="R54" i="42"/>
  <c r="R49" i="42"/>
  <c r="R29" i="42"/>
  <c r="R21" i="42"/>
  <c r="R92" i="42"/>
  <c r="R89" i="42"/>
  <c r="R80" i="42"/>
  <c r="R76" i="42"/>
  <c r="R72" i="42"/>
  <c r="R48" i="42"/>
  <c r="R45" i="42"/>
  <c r="R40" i="42"/>
  <c r="R28" i="42"/>
  <c r="R25" i="42"/>
  <c r="R20" i="42"/>
  <c r="X12" i="42"/>
  <c r="R98" i="42"/>
  <c r="R95" i="42"/>
  <c r="R79" i="42"/>
  <c r="R71" i="42"/>
  <c r="R68" i="42"/>
  <c r="R64" i="42"/>
  <c r="R59" i="42"/>
  <c r="R56" i="42"/>
  <c r="R51" i="42"/>
  <c r="R39" i="42"/>
  <c r="R27" i="42"/>
  <c r="R104" i="42"/>
  <c r="R91" i="42"/>
  <c r="R86" i="42"/>
  <c r="R78" i="42"/>
  <c r="R75" i="42"/>
  <c r="R47" i="42"/>
  <c r="R42" i="42"/>
  <c r="R38" i="42"/>
  <c r="R34" i="42"/>
  <c r="R19" i="42"/>
  <c r="R94" i="42"/>
  <c r="R85" i="42"/>
  <c r="R70" i="42"/>
  <c r="R61" i="42"/>
  <c r="R58" i="42"/>
  <c r="R53" i="42"/>
  <c r="R50" i="42"/>
  <c r="R37" i="42"/>
  <c r="R33" i="42"/>
  <c r="R26" i="42"/>
  <c r="L23" i="42"/>
  <c r="D102" i="42"/>
  <c r="D31" i="37"/>
  <c r="H27" i="28"/>
  <c r="N18" i="28"/>
  <c r="T27" i="25"/>
  <c r="Z18" i="25"/>
  <c r="L18" i="22"/>
  <c r="D27" i="22"/>
  <c r="H86" i="24"/>
  <c r="D27" i="14"/>
  <c r="L18" i="14"/>
  <c r="J208" i="15"/>
  <c r="J204" i="15"/>
  <c r="J198" i="15"/>
  <c r="J188" i="15"/>
  <c r="J172" i="15"/>
  <c r="J166" i="15"/>
  <c r="J160" i="15"/>
  <c r="J148" i="15"/>
  <c r="J138" i="15"/>
  <c r="J126" i="15"/>
  <c r="J118" i="15"/>
  <c r="J110" i="15"/>
  <c r="J102" i="15"/>
  <c r="J94" i="15"/>
  <c r="J86" i="15"/>
  <c r="J219" i="15"/>
  <c r="J213" i="15"/>
  <c r="J201" i="15"/>
  <c r="J197" i="15"/>
  <c r="J191" i="15"/>
  <c r="J183" i="15"/>
  <c r="J179" i="15"/>
  <c r="J169" i="15"/>
  <c r="J163" i="15"/>
  <c r="J157" i="15"/>
  <c r="J151" i="15"/>
  <c r="J145" i="15"/>
  <c r="J137" i="15"/>
  <c r="J133" i="15"/>
  <c r="J125" i="15"/>
  <c r="J117" i="15"/>
  <c r="J109" i="15"/>
  <c r="J101" i="15"/>
  <c r="J93" i="15"/>
  <c r="J85" i="15"/>
  <c r="J79" i="15"/>
  <c r="J200" i="15"/>
  <c r="J196" i="15"/>
  <c r="J174" i="15"/>
  <c r="J168" i="15"/>
  <c r="J154" i="15"/>
  <c r="J142" i="15"/>
  <c r="J136" i="15"/>
  <c r="J132" i="15"/>
  <c r="J124" i="15"/>
  <c r="J122" i="15"/>
  <c r="J116" i="15"/>
  <c r="J108" i="15"/>
  <c r="J100" i="15"/>
  <c r="J92" i="15"/>
  <c r="J84" i="15"/>
  <c r="N12" i="15"/>
  <c r="J211" i="15"/>
  <c r="J207" i="15"/>
  <c r="J203" i="15"/>
  <c r="J195" i="15"/>
  <c r="J187" i="15"/>
  <c r="J171" i="15"/>
  <c r="J165" i="15"/>
  <c r="J159" i="15"/>
  <c r="J147" i="15"/>
  <c r="J135" i="15"/>
  <c r="J131" i="15"/>
  <c r="J115" i="15"/>
  <c r="J107" i="15"/>
  <c r="J99" i="15"/>
  <c r="J91" i="15"/>
  <c r="J83" i="15"/>
  <c r="J214" i="15"/>
  <c r="J206" i="15"/>
  <c r="J194" i="15"/>
  <c r="J190" i="15"/>
  <c r="J186" i="15"/>
  <c r="J182" i="15"/>
  <c r="J178" i="15"/>
  <c r="J162" i="15"/>
  <c r="J156" i="15"/>
  <c r="J150" i="15"/>
  <c r="J144" i="15"/>
  <c r="J130" i="15"/>
  <c r="J114" i="15"/>
  <c r="J106" i="15"/>
  <c r="J98" i="15"/>
  <c r="J90" i="15"/>
  <c r="J82" i="15"/>
  <c r="J209" i="15"/>
  <c r="J205" i="15"/>
  <c r="J199" i="15"/>
  <c r="J193" i="15"/>
  <c r="J189" i="15"/>
  <c r="J185" i="15"/>
  <c r="J181" i="15"/>
  <c r="J177" i="15"/>
  <c r="J173" i="15"/>
  <c r="J167" i="15"/>
  <c r="J161" i="15"/>
  <c r="J153" i="15"/>
  <c r="J149" i="15"/>
  <c r="J141" i="15"/>
  <c r="J129" i="15"/>
  <c r="J123" i="15"/>
  <c r="J113" i="15"/>
  <c r="J105" i="15"/>
  <c r="J97" i="15"/>
  <c r="J89" i="15"/>
  <c r="J81" i="15"/>
  <c r="J212" i="15"/>
  <c r="J202" i="15"/>
  <c r="J192" i="15"/>
  <c r="J184" i="15"/>
  <c r="J180" i="15"/>
  <c r="J176" i="15"/>
  <c r="J170" i="15"/>
  <c r="J164" i="15"/>
  <c r="J158" i="15"/>
  <c r="J152" i="15"/>
  <c r="J146" i="15"/>
  <c r="J140" i="15"/>
  <c r="J134" i="15"/>
  <c r="J128" i="15"/>
  <c r="J112" i="15"/>
  <c r="J104" i="15"/>
  <c r="J96" i="15"/>
  <c r="J88" i="15"/>
  <c r="J80" i="15"/>
  <c r="J215" i="15"/>
  <c r="J175" i="15"/>
  <c r="J155" i="15"/>
  <c r="J143" i="15"/>
  <c r="J139" i="15"/>
  <c r="J127" i="15"/>
  <c r="H120" i="15"/>
  <c r="J120" i="15" s="1"/>
  <c r="J111" i="15"/>
  <c r="J103" i="15"/>
  <c r="J95" i="15"/>
  <c r="J87" i="15"/>
  <c r="L18" i="13"/>
  <c r="D27" i="13"/>
  <c r="N27" i="21"/>
  <c r="H84" i="21"/>
  <c r="X18" i="4"/>
  <c r="P27" i="4"/>
  <c r="P241" i="18"/>
  <c r="X142" i="18"/>
  <c r="H27" i="5"/>
  <c r="N18" i="5"/>
  <c r="T92" i="9"/>
  <c r="D225" i="12"/>
  <c r="D36" i="11"/>
  <c r="H31" i="6"/>
  <c r="N26" i="6"/>
  <c r="J252" i="3"/>
  <c r="J244" i="3"/>
  <c r="J232" i="3"/>
  <c r="J218" i="3"/>
  <c r="J214" i="3"/>
  <c r="J204" i="3"/>
  <c r="J250" i="3"/>
  <c r="J240" i="3"/>
  <c r="J230" i="3"/>
  <c r="J226" i="3"/>
  <c r="J222" i="3"/>
  <c r="J206" i="3"/>
  <c r="J200" i="3"/>
  <c r="J265" i="3"/>
  <c r="J253" i="3"/>
  <c r="J229" i="3"/>
  <c r="J225" i="3"/>
  <c r="J221" i="3"/>
  <c r="J217" i="3"/>
  <c r="J213" i="3"/>
  <c r="J203" i="3"/>
  <c r="J197" i="3"/>
  <c r="J251" i="3"/>
  <c r="J239" i="3"/>
  <c r="J235" i="3"/>
  <c r="J219" i="3"/>
  <c r="J215" i="3"/>
  <c r="J211" i="3"/>
  <c r="J205" i="3"/>
  <c r="J199" i="3"/>
  <c r="J254" i="3"/>
  <c r="J238" i="3"/>
  <c r="J234" i="3"/>
  <c r="J224" i="3"/>
  <c r="J210" i="3"/>
  <c r="J202" i="3"/>
  <c r="J196" i="3"/>
  <c r="J266" i="3"/>
  <c r="J257" i="3"/>
  <c r="J249" i="3"/>
  <c r="J245" i="3"/>
  <c r="J241" i="3"/>
  <c r="J233" i="3"/>
  <c r="J227" i="3"/>
  <c r="J207" i="3"/>
  <c r="J201" i="3"/>
  <c r="J193" i="3"/>
  <c r="J261" i="3"/>
  <c r="J237" i="3"/>
  <c r="J223" i="3"/>
  <c r="J220" i="3"/>
  <c r="J194" i="3"/>
  <c r="J189" i="3"/>
  <c r="J183" i="3"/>
  <c r="J177" i="3"/>
  <c r="J171" i="3"/>
  <c r="J165" i="3"/>
  <c r="J159" i="3"/>
  <c r="J143" i="3"/>
  <c r="J135" i="3"/>
  <c r="J127" i="3"/>
  <c r="J119" i="3"/>
  <c r="J111" i="3"/>
  <c r="J103" i="3"/>
  <c r="J168" i="3"/>
  <c r="J136" i="3"/>
  <c r="J104" i="3"/>
  <c r="J246" i="3"/>
  <c r="J192" i="3"/>
  <c r="J186" i="3"/>
  <c r="J174" i="3"/>
  <c r="J170" i="3"/>
  <c r="J158" i="3"/>
  <c r="H151" i="3"/>
  <c r="J142" i="3"/>
  <c r="J134" i="3"/>
  <c r="J126" i="3"/>
  <c r="J118" i="3"/>
  <c r="J110" i="3"/>
  <c r="J102" i="3"/>
  <c r="J247" i="3"/>
  <c r="J182" i="3"/>
  <c r="J156" i="3"/>
  <c r="J148" i="3"/>
  <c r="J140" i="3"/>
  <c r="J108" i="3"/>
  <c r="J128" i="3"/>
  <c r="J242" i="3"/>
  <c r="J195" i="3"/>
  <c r="J191" i="3"/>
  <c r="J179" i="3"/>
  <c r="J169" i="3"/>
  <c r="J157" i="3"/>
  <c r="J149" i="3"/>
  <c r="J141" i="3"/>
  <c r="J133" i="3"/>
  <c r="J125" i="3"/>
  <c r="J117" i="3"/>
  <c r="J109" i="3"/>
  <c r="J101" i="3"/>
  <c r="J188" i="3"/>
  <c r="J176" i="3"/>
  <c r="J164" i="3"/>
  <c r="J116" i="3"/>
  <c r="N12" i="3"/>
  <c r="J256" i="3"/>
  <c r="J236" i="3"/>
  <c r="J216" i="3"/>
  <c r="J180" i="3"/>
  <c r="J172" i="3"/>
  <c r="J160" i="3"/>
  <c r="J120" i="3"/>
  <c r="J132" i="3"/>
  <c r="J124" i="3"/>
  <c r="J243" i="3"/>
  <c r="J185" i="3"/>
  <c r="J173" i="3"/>
  <c r="J167" i="3"/>
  <c r="J163" i="3"/>
  <c r="J155" i="3"/>
  <c r="J153" i="3"/>
  <c r="J147" i="3"/>
  <c r="J139" i="3"/>
  <c r="J131" i="3"/>
  <c r="J123" i="3"/>
  <c r="J115" i="3"/>
  <c r="J107" i="3"/>
  <c r="J112" i="3"/>
  <c r="J228" i="3"/>
  <c r="J198" i="3"/>
  <c r="J190" i="3"/>
  <c r="J178" i="3"/>
  <c r="J166" i="3"/>
  <c r="J162" i="3"/>
  <c r="J146" i="3"/>
  <c r="J138" i="3"/>
  <c r="J130" i="3"/>
  <c r="J122" i="3"/>
  <c r="J114" i="3"/>
  <c r="J106" i="3"/>
  <c r="J100" i="3"/>
  <c r="J255" i="3"/>
  <c r="J231" i="3"/>
  <c r="J209" i="3"/>
  <c r="J208" i="3"/>
  <c r="J187" i="3"/>
  <c r="J181" i="3"/>
  <c r="J175" i="3"/>
  <c r="J161" i="3"/>
  <c r="J145" i="3"/>
  <c r="J137" i="3"/>
  <c r="J129" i="3"/>
  <c r="J121" i="3"/>
  <c r="J113" i="3"/>
  <c r="J105" i="3"/>
  <c r="J212" i="3"/>
  <c r="J184" i="3"/>
  <c r="J154" i="3"/>
  <c r="J144" i="3"/>
  <c r="P36" i="88"/>
  <c r="D137" i="69"/>
  <c r="D38" i="84"/>
  <c r="T34" i="84"/>
  <c r="R27" i="84"/>
  <c r="R24" i="84"/>
  <c r="R36" i="84"/>
  <c r="R30" i="84"/>
  <c r="R19" i="84"/>
  <c r="R15" i="84"/>
  <c r="R41" i="84"/>
  <c r="R34" i="84"/>
  <c r="R29" i="84"/>
  <c r="R26" i="84"/>
  <c r="R21" i="84"/>
  <c r="X12" i="84"/>
  <c r="Z12" i="84" s="1"/>
  <c r="R28" i="84"/>
  <c r="R23" i="84"/>
  <c r="R20" i="84"/>
  <c r="R17" i="84"/>
  <c r="P17" i="84"/>
  <c r="R38" i="84"/>
  <c r="R32" i="84"/>
  <c r="R25" i="84"/>
  <c r="R22" i="84"/>
  <c r="D81" i="85"/>
  <c r="L20" i="85"/>
  <c r="N20" i="85" s="1"/>
  <c r="L16" i="80"/>
  <c r="D32" i="80"/>
  <c r="H81" i="85"/>
  <c r="T72" i="81"/>
  <c r="Z16" i="81"/>
  <c r="N20" i="79"/>
  <c r="H81" i="79"/>
  <c r="N20" i="78"/>
  <c r="H28" i="78"/>
  <c r="D71" i="76"/>
  <c r="L20" i="76"/>
  <c r="P29" i="75"/>
  <c r="X23" i="75"/>
  <c r="R23" i="75"/>
  <c r="R45" i="77"/>
  <c r="D34" i="65"/>
  <c r="L16" i="65"/>
  <c r="T22" i="54"/>
  <c r="Z16" i="54"/>
  <c r="D74" i="58"/>
  <c r="H63" i="56"/>
  <c r="N16" i="56"/>
  <c r="H27" i="52"/>
  <c r="N18" i="52"/>
  <c r="L18" i="53"/>
  <c r="D27" i="53"/>
  <c r="T74" i="58"/>
  <c r="D66" i="48"/>
  <c r="L62" i="48"/>
  <c r="N21" i="45"/>
  <c r="H90" i="45"/>
  <c r="L18" i="38"/>
  <c r="D27" i="38"/>
  <c r="F103" i="39"/>
  <c r="F92" i="39"/>
  <c r="F79" i="39"/>
  <c r="F76" i="39"/>
  <c r="F72" i="39"/>
  <c r="F67" i="39"/>
  <c r="F64" i="39"/>
  <c r="F55" i="39"/>
  <c r="F52" i="39"/>
  <c r="F44" i="39"/>
  <c r="F40" i="39"/>
  <c r="F27" i="39"/>
  <c r="F108" i="39"/>
  <c r="F99" i="39"/>
  <c r="F91" i="39"/>
  <c r="F86" i="39"/>
  <c r="F83" i="39"/>
  <c r="F75" i="39"/>
  <c r="F63" i="39"/>
  <c r="F58" i="39"/>
  <c r="F39" i="39"/>
  <c r="F34" i="39"/>
  <c r="F102" i="39"/>
  <c r="F90" i="39"/>
  <c r="F82" i="39"/>
  <c r="F78" i="39"/>
  <c r="F74" i="39"/>
  <c r="F69" i="39"/>
  <c r="F66" i="39"/>
  <c r="F54" i="39"/>
  <c r="F49" i="39"/>
  <c r="F38" i="39"/>
  <c r="F106" i="39"/>
  <c r="F101" i="39"/>
  <c r="F96" i="39"/>
  <c r="F89" i="39"/>
  <c r="F85" i="39"/>
  <c r="F81" i="39"/>
  <c r="F60" i="39"/>
  <c r="F57" i="39"/>
  <c r="F37" i="39"/>
  <c r="D31" i="39"/>
  <c r="F31" i="39" s="1"/>
  <c r="F29" i="39"/>
  <c r="F109" i="39"/>
  <c r="F104" i="39"/>
  <c r="F88" i="39"/>
  <c r="F80" i="39"/>
  <c r="F71" i="39"/>
  <c r="F68" i="39"/>
  <c r="F56" i="39"/>
  <c r="F51" i="39"/>
  <c r="F48" i="39"/>
  <c r="F43" i="39"/>
  <c r="F36" i="39"/>
  <c r="F28" i="39"/>
  <c r="L12" i="39"/>
  <c r="N12" i="39" s="1"/>
  <c r="F113" i="39"/>
  <c r="F98" i="39"/>
  <c r="F95" i="39"/>
  <c r="F87" i="39"/>
  <c r="F62" i="39"/>
  <c r="F59" i="39"/>
  <c r="F47" i="39"/>
  <c r="F35" i="39"/>
  <c r="F107" i="39"/>
  <c r="F94" i="39"/>
  <c r="F77" i="39"/>
  <c r="F73" i="39"/>
  <c r="F70" i="39"/>
  <c r="F65" i="39"/>
  <c r="F53" i="39"/>
  <c r="F50" i="39"/>
  <c r="F46" i="39"/>
  <c r="F42" i="39"/>
  <c r="F33" i="39"/>
  <c r="F100" i="39"/>
  <c r="F97" i="39"/>
  <c r="F93" i="39"/>
  <c r="F84" i="39"/>
  <c r="F61" i="39"/>
  <c r="F45" i="39"/>
  <c r="F41" i="39"/>
  <c r="X18" i="38"/>
  <c r="P27" i="38"/>
  <c r="L18" i="35"/>
  <c r="D27" i="35"/>
  <c r="P110" i="36"/>
  <c r="H27" i="34"/>
  <c r="N18" i="34"/>
  <c r="N105" i="36"/>
  <c r="L105" i="36"/>
  <c r="J112" i="36"/>
  <c r="J106" i="36"/>
  <c r="J94" i="36"/>
  <c r="J86" i="36"/>
  <c r="J78" i="36"/>
  <c r="J66" i="36"/>
  <c r="J58" i="36"/>
  <c r="J44" i="36"/>
  <c r="J38" i="36"/>
  <c r="J34" i="36"/>
  <c r="J20" i="36"/>
  <c r="J102" i="36"/>
  <c r="J96" i="36"/>
  <c r="J92" i="36"/>
  <c r="J82" i="36"/>
  <c r="J68" i="36"/>
  <c r="J60" i="36"/>
  <c r="J52" i="36"/>
  <c r="J46" i="36"/>
  <c r="J32" i="36"/>
  <c r="J107" i="36"/>
  <c r="J91" i="36"/>
  <c r="J85" i="36"/>
  <c r="J77" i="36"/>
  <c r="J65" i="36"/>
  <c r="J57" i="36"/>
  <c r="J51" i="36"/>
  <c r="J43" i="36"/>
  <c r="J37" i="36"/>
  <c r="J31" i="36"/>
  <c r="H24" i="36"/>
  <c r="J98" i="36"/>
  <c r="J90" i="36"/>
  <c r="J74" i="36"/>
  <c r="J70" i="36"/>
  <c r="J62" i="36"/>
  <c r="J54" i="36"/>
  <c r="J48" i="36"/>
  <c r="J42" i="36"/>
  <c r="J30" i="36"/>
  <c r="J22" i="36"/>
  <c r="J105" i="36"/>
  <c r="J101" i="36"/>
  <c r="J95" i="36"/>
  <c r="J108" i="36"/>
  <c r="J100" i="36"/>
  <c r="J88" i="36"/>
  <c r="J84" i="36"/>
  <c r="J80" i="36"/>
  <c r="J76" i="36"/>
  <c r="J72" i="36"/>
  <c r="J64" i="36"/>
  <c r="J56" i="36"/>
  <c r="J50" i="36"/>
  <c r="J40" i="36"/>
  <c r="J36" i="36"/>
  <c r="J28" i="36"/>
  <c r="J26" i="36"/>
  <c r="J103" i="36"/>
  <c r="J97" i="36"/>
  <c r="J87" i="36"/>
  <c r="J83" i="36"/>
  <c r="J79" i="36"/>
  <c r="J69" i="36"/>
  <c r="J61" i="36"/>
  <c r="J53" i="36"/>
  <c r="J47" i="36"/>
  <c r="J39" i="36"/>
  <c r="J35" i="36"/>
  <c r="J45" i="36"/>
  <c r="J81" i="36"/>
  <c r="J49" i="36"/>
  <c r="J73" i="36"/>
  <c r="J55" i="36"/>
  <c r="J99" i="36"/>
  <c r="J75" i="36"/>
  <c r="J29" i="36"/>
  <c r="J67" i="36"/>
  <c r="J21" i="36"/>
  <c r="J89" i="36"/>
  <c r="J59" i="36"/>
  <c r="J41" i="36"/>
  <c r="J27" i="36"/>
  <c r="J93" i="36"/>
  <c r="J71" i="36"/>
  <c r="J63" i="36"/>
  <c r="J33" i="36"/>
  <c r="D80" i="33"/>
  <c r="T27" i="29"/>
  <c r="Z18" i="29"/>
  <c r="J153" i="30"/>
  <c r="J145" i="30"/>
  <c r="J141" i="30"/>
  <c r="J137" i="30"/>
  <c r="J133" i="30"/>
  <c r="J123" i="30"/>
  <c r="J117" i="30"/>
  <c r="J111" i="30"/>
  <c r="J105" i="30"/>
  <c r="J89" i="30"/>
  <c r="H82" i="30"/>
  <c r="J73" i="30"/>
  <c r="J65" i="30"/>
  <c r="J57" i="30"/>
  <c r="J140" i="30"/>
  <c r="J120" i="30"/>
  <c r="J114" i="30"/>
  <c r="J108" i="30"/>
  <c r="J102" i="30"/>
  <c r="J94" i="30"/>
  <c r="J88" i="30"/>
  <c r="J80" i="30"/>
  <c r="J72" i="30"/>
  <c r="J64" i="30"/>
  <c r="J157" i="30"/>
  <c r="J151" i="30"/>
  <c r="J147" i="30"/>
  <c r="J129" i="30"/>
  <c r="J125" i="30"/>
  <c r="J119" i="30"/>
  <c r="J107" i="30"/>
  <c r="J99" i="30"/>
  <c r="J87" i="30"/>
  <c r="J79" i="30"/>
  <c r="J71" i="30"/>
  <c r="J63" i="30"/>
  <c r="J144" i="30"/>
  <c r="J136" i="30"/>
  <c r="J132" i="30"/>
  <c r="J122" i="30"/>
  <c r="J116" i="30"/>
  <c r="J110" i="30"/>
  <c r="J104" i="30"/>
  <c r="J98" i="30"/>
  <c r="J86" i="30"/>
  <c r="J84" i="30"/>
  <c r="J78" i="30"/>
  <c r="J70" i="30"/>
  <c r="J62" i="30"/>
  <c r="J56" i="30"/>
  <c r="J149" i="30"/>
  <c r="J139" i="30"/>
  <c r="J113" i="30"/>
  <c r="J101" i="30"/>
  <c r="J97" i="30"/>
  <c r="J93" i="30"/>
  <c r="J77" i="30"/>
  <c r="J69" i="30"/>
  <c r="J61" i="30"/>
  <c r="J152" i="30"/>
  <c r="J146" i="30"/>
  <c r="J128" i="30"/>
  <c r="J124" i="30"/>
  <c r="J118" i="30"/>
  <c r="J112" i="30"/>
  <c r="J106" i="30"/>
  <c r="J96" i="30"/>
  <c r="J92" i="30"/>
  <c r="J76" i="30"/>
  <c r="J68" i="30"/>
  <c r="J60" i="30"/>
  <c r="J143" i="30"/>
  <c r="J135" i="30"/>
  <c r="J131" i="30"/>
  <c r="J127" i="30"/>
  <c r="J121" i="30"/>
  <c r="J115" i="30"/>
  <c r="J109" i="30"/>
  <c r="J103" i="30"/>
  <c r="J95" i="30"/>
  <c r="J91" i="30"/>
  <c r="J85" i="30"/>
  <c r="J75" i="30"/>
  <c r="J67" i="30"/>
  <c r="J59" i="30"/>
  <c r="J148" i="30"/>
  <c r="J142" i="30"/>
  <c r="J138" i="30"/>
  <c r="J134" i="30"/>
  <c r="J130" i="30"/>
  <c r="J126" i="30"/>
  <c r="J100" i="30"/>
  <c r="J90" i="30"/>
  <c r="J82" i="30"/>
  <c r="J74" i="30"/>
  <c r="J66" i="30"/>
  <c r="J58" i="30"/>
  <c r="X18" i="22"/>
  <c r="P27" i="22"/>
  <c r="H27" i="19"/>
  <c r="N18" i="19"/>
  <c r="D27" i="25"/>
  <c r="L18" i="25"/>
  <c r="X18" i="25"/>
  <c r="P27" i="25"/>
  <c r="F68" i="24"/>
  <c r="F65" i="24"/>
  <c r="F56" i="24"/>
  <c r="F53" i="24"/>
  <c r="F49" i="24"/>
  <c r="F33" i="24"/>
  <c r="F79" i="24"/>
  <c r="F71" i="24"/>
  <c r="F52" i="24"/>
  <c r="F48" i="24"/>
  <c r="D42" i="24"/>
  <c r="F42" i="24" s="1"/>
  <c r="F40" i="24"/>
  <c r="F32" i="24"/>
  <c r="F74" i="24"/>
  <c r="F67" i="24"/>
  <c r="F58" i="24"/>
  <c r="F55" i="24"/>
  <c r="F51" i="24"/>
  <c r="F47" i="24"/>
  <c r="F39" i="24"/>
  <c r="F31" i="24"/>
  <c r="F81" i="24"/>
  <c r="F78" i="24"/>
  <c r="F70" i="24"/>
  <c r="F61" i="24"/>
  <c r="F46" i="24"/>
  <c r="F38" i="24"/>
  <c r="F77" i="24"/>
  <c r="F73" i="24"/>
  <c r="F69" i="24"/>
  <c r="F64" i="24"/>
  <c r="F57" i="24"/>
  <c r="F44" i="24"/>
  <c r="F37" i="24"/>
  <c r="F80" i="24"/>
  <c r="F76" i="24"/>
  <c r="F72" i="24"/>
  <c r="F60" i="24"/>
  <c r="F36" i="24"/>
  <c r="L12" i="24"/>
  <c r="F84" i="24"/>
  <c r="F75" i="24"/>
  <c r="F66" i="24"/>
  <c r="F63" i="24"/>
  <c r="F59" i="24"/>
  <c r="F54" i="24"/>
  <c r="F50" i="24"/>
  <c r="F35" i="24"/>
  <c r="F30" i="24"/>
  <c r="F88" i="24"/>
  <c r="F82" i="24"/>
  <c r="F62" i="24"/>
  <c r="F45" i="24"/>
  <c r="F34" i="24"/>
  <c r="X18" i="23"/>
  <c r="P27" i="23"/>
  <c r="L120" i="15"/>
  <c r="D217" i="15"/>
  <c r="P31" i="14"/>
  <c r="P217" i="15"/>
  <c r="X120" i="15"/>
  <c r="R120" i="15"/>
  <c r="J208" i="12"/>
  <c r="J219" i="12"/>
  <c r="J215" i="12"/>
  <c r="J211" i="12"/>
  <c r="J203" i="12"/>
  <c r="J195" i="12"/>
  <c r="J181" i="12"/>
  <c r="J175" i="12"/>
  <c r="J167" i="12"/>
  <c r="J222" i="12"/>
  <c r="J214" i="12"/>
  <c r="J202" i="12"/>
  <c r="J198" i="12"/>
  <c r="J194" i="12"/>
  <c r="J178" i="12"/>
  <c r="J172" i="12"/>
  <c r="J166" i="12"/>
  <c r="J217" i="12"/>
  <c r="J213" i="12"/>
  <c r="J207" i="12"/>
  <c r="J201" i="12"/>
  <c r="J197" i="12"/>
  <c r="J193" i="12"/>
  <c r="J189" i="12"/>
  <c r="J185" i="12"/>
  <c r="J169" i="12"/>
  <c r="J220" i="12"/>
  <c r="J210" i="12"/>
  <c r="J200" i="12"/>
  <c r="J192" i="12"/>
  <c r="J188" i="12"/>
  <c r="J184" i="12"/>
  <c r="J180" i="12"/>
  <c r="J174" i="12"/>
  <c r="J216" i="12"/>
  <c r="J212" i="12"/>
  <c r="J206" i="12"/>
  <c r="J196" i="12"/>
  <c r="J182" i="12"/>
  <c r="J168" i="12"/>
  <c r="J227" i="12"/>
  <c r="J221" i="12"/>
  <c r="J209" i="12"/>
  <c r="J205" i="12"/>
  <c r="J199" i="12"/>
  <c r="J179" i="12"/>
  <c r="J173" i="12"/>
  <c r="J190" i="12"/>
  <c r="J171" i="12"/>
  <c r="J164" i="12"/>
  <c r="J152" i="12"/>
  <c r="J140" i="12"/>
  <c r="J136" i="12"/>
  <c r="J120" i="12"/>
  <c r="J112" i="12"/>
  <c r="J104" i="12"/>
  <c r="J96" i="12"/>
  <c r="J88" i="12"/>
  <c r="J82" i="12"/>
  <c r="J223" i="12"/>
  <c r="J161" i="12"/>
  <c r="J155" i="12"/>
  <c r="J149" i="12"/>
  <c r="J135" i="12"/>
  <c r="J119" i="12"/>
  <c r="J111" i="12"/>
  <c r="J103" i="12"/>
  <c r="J95" i="12"/>
  <c r="J87" i="12"/>
  <c r="J187" i="12"/>
  <c r="J183" i="12"/>
  <c r="J158" i="12"/>
  <c r="J154" i="12"/>
  <c r="J146" i="12"/>
  <c r="J134" i="12"/>
  <c r="J128" i="12"/>
  <c r="J118" i="12"/>
  <c r="J110" i="12"/>
  <c r="J102" i="12"/>
  <c r="J94" i="12"/>
  <c r="J86" i="12"/>
  <c r="J191" i="12"/>
  <c r="J163" i="12"/>
  <c r="J157" i="12"/>
  <c r="J151" i="12"/>
  <c r="J145" i="12"/>
  <c r="J139" i="12"/>
  <c r="J133" i="12"/>
  <c r="J117" i="12"/>
  <c r="J109" i="12"/>
  <c r="J101" i="12"/>
  <c r="J93" i="12"/>
  <c r="J85" i="12"/>
  <c r="J177" i="12"/>
  <c r="J160" i="12"/>
  <c r="J148" i="12"/>
  <c r="J144" i="12"/>
  <c r="J132" i="12"/>
  <c r="H125" i="12"/>
  <c r="J116" i="12"/>
  <c r="J108" i="12"/>
  <c r="J100" i="12"/>
  <c r="J92" i="12"/>
  <c r="J84" i="12"/>
  <c r="J176" i="12"/>
  <c r="J170" i="12"/>
  <c r="J165" i="12"/>
  <c r="J153" i="12"/>
  <c r="J143" i="12"/>
  <c r="J131" i="12"/>
  <c r="J123" i="12"/>
  <c r="J115" i="12"/>
  <c r="J107" i="12"/>
  <c r="J99" i="12"/>
  <c r="J91" i="12"/>
  <c r="J83" i="12"/>
  <c r="J204" i="12"/>
  <c r="J162" i="12"/>
  <c r="J156" i="12"/>
  <c r="J150" i="12"/>
  <c r="J142" i="12"/>
  <c r="J138" i="12"/>
  <c r="J130" i="12"/>
  <c r="J122" i="12"/>
  <c r="J114" i="12"/>
  <c r="J106" i="12"/>
  <c r="J98" i="12"/>
  <c r="J90" i="12"/>
  <c r="J186" i="12"/>
  <c r="J159" i="12"/>
  <c r="J147" i="12"/>
  <c r="J141" i="12"/>
  <c r="J137" i="12"/>
  <c r="J129" i="12"/>
  <c r="J127" i="12"/>
  <c r="J121" i="12"/>
  <c r="J113" i="12"/>
  <c r="J105" i="12"/>
  <c r="J97" i="12"/>
  <c r="J89" i="12"/>
  <c r="T27" i="10"/>
  <c r="Z18" i="10"/>
  <c r="D92" i="9"/>
  <c r="L88" i="9"/>
  <c r="T27" i="8"/>
  <c r="Z18" i="8"/>
  <c r="P31" i="7"/>
  <c r="T27" i="4"/>
  <c r="Z18" i="4"/>
  <c r="T241" i="18"/>
  <c r="Z142" i="18"/>
  <c r="X12" i="12"/>
  <c r="Z12" i="12" s="1"/>
  <c r="F219" i="12"/>
  <c r="D47" i="90"/>
  <c r="R40" i="67"/>
  <c r="R37" i="67"/>
  <c r="R32" i="67"/>
  <c r="R52" i="67"/>
  <c r="R46" i="67"/>
  <c r="R31" i="67"/>
  <c r="R24" i="67"/>
  <c r="R42" i="67"/>
  <c r="R39" i="67"/>
  <c r="R34" i="67"/>
  <c r="R30" i="67"/>
  <c r="R21" i="67"/>
  <c r="R29" i="67"/>
  <c r="P21" i="67"/>
  <c r="R50" i="67"/>
  <c r="R44" i="67"/>
  <c r="R41" i="67"/>
  <c r="R36" i="67"/>
  <c r="R33" i="67"/>
  <c r="R28" i="67"/>
  <c r="X12" i="67"/>
  <c r="R55" i="67"/>
  <c r="R48" i="67"/>
  <c r="R27" i="67"/>
  <c r="R19" i="67"/>
  <c r="R43" i="67"/>
  <c r="R38" i="67"/>
  <c r="R35" i="67"/>
  <c r="R26" i="67"/>
  <c r="R23" i="67"/>
  <c r="R18" i="67"/>
  <c r="R25" i="67"/>
  <c r="X18" i="53"/>
  <c r="P27" i="53"/>
  <c r="P22" i="54"/>
  <c r="X16" i="54"/>
  <c r="D30" i="55"/>
  <c r="L16" i="55"/>
  <c r="P31" i="49"/>
  <c r="X27" i="49"/>
  <c r="X27" i="32"/>
  <c r="P31" i="32"/>
  <c r="H27" i="25"/>
  <c r="N18" i="25"/>
  <c r="D22" i="6"/>
  <c r="L16" i="6"/>
  <c r="V75" i="94"/>
  <c r="V67" i="94"/>
  <c r="V63" i="94"/>
  <c r="V59" i="94"/>
  <c r="V51" i="94"/>
  <c r="V43" i="94"/>
  <c r="V35" i="94"/>
  <c r="V31" i="94"/>
  <c r="V66" i="94"/>
  <c r="V50" i="94"/>
  <c r="V42" i="94"/>
  <c r="V34" i="94"/>
  <c r="V30" i="94"/>
  <c r="T21" i="94"/>
  <c r="V65" i="94"/>
  <c r="V53" i="94"/>
  <c r="V45" i="94"/>
  <c r="V29" i="94"/>
  <c r="V78" i="94"/>
  <c r="V72" i="94"/>
  <c r="V52" i="94"/>
  <c r="V44" i="94"/>
  <c r="V28" i="94"/>
  <c r="Z12" i="94"/>
  <c r="V71" i="94"/>
  <c r="V55" i="94"/>
  <c r="V47" i="94"/>
  <c r="V39" i="94"/>
  <c r="V27" i="94"/>
  <c r="V23" i="94"/>
  <c r="V19" i="94"/>
  <c r="V74" i="94"/>
  <c r="V70" i="94"/>
  <c r="V62" i="94"/>
  <c r="V58" i="94"/>
  <c r="V54" i="94"/>
  <c r="V46" i="94"/>
  <c r="V38" i="94"/>
  <c r="V26" i="94"/>
  <c r="V18" i="94"/>
  <c r="V82" i="94"/>
  <c r="V49" i="94"/>
  <c r="V40" i="94"/>
  <c r="V36" i="94"/>
  <c r="V33" i="94"/>
  <c r="V25" i="94"/>
  <c r="V64" i="94"/>
  <c r="V60" i="94"/>
  <c r="V41" i="94"/>
  <c r="V37" i="94"/>
  <c r="V17" i="94"/>
  <c r="V56" i="94"/>
  <c r="V68" i="94"/>
  <c r="V61" i="94"/>
  <c r="V76" i="94"/>
  <c r="V57" i="94"/>
  <c r="V24" i="94"/>
  <c r="V69" i="94"/>
  <c r="V73" i="94"/>
  <c r="V48" i="94"/>
  <c r="V32" i="94"/>
  <c r="D38" i="83"/>
  <c r="L16" i="83"/>
  <c r="P80" i="94"/>
  <c r="X21" i="94"/>
  <c r="N24" i="93"/>
  <c r="H28" i="93"/>
  <c r="P37" i="89"/>
  <c r="L16" i="89"/>
  <c r="D30" i="89"/>
  <c r="D36" i="88"/>
  <c r="L32" i="88"/>
  <c r="R74" i="85"/>
  <c r="R79" i="85"/>
  <c r="R76" i="85"/>
  <c r="R73" i="85"/>
  <c r="R75" i="85"/>
  <c r="R83" i="85"/>
  <c r="R42" i="85"/>
  <c r="R39" i="85"/>
  <c r="R26" i="85"/>
  <c r="R18" i="85"/>
  <c r="R61" i="85"/>
  <c r="R53" i="85"/>
  <c r="R50" i="85"/>
  <c r="R45" i="85"/>
  <c r="R25" i="85"/>
  <c r="R22" i="85"/>
  <c r="R17" i="85"/>
  <c r="R71" i="85"/>
  <c r="R60" i="85"/>
  <c r="R56" i="85"/>
  <c r="R44" i="85"/>
  <c r="R41" i="85"/>
  <c r="R36" i="85"/>
  <c r="R24" i="85"/>
  <c r="R72" i="85"/>
  <c r="R70" i="85"/>
  <c r="R68" i="85"/>
  <c r="R67" i="85"/>
  <c r="R63" i="85"/>
  <c r="R59" i="85"/>
  <c r="R55" i="85"/>
  <c r="R52" i="85"/>
  <c r="R47" i="85"/>
  <c r="R35" i="85"/>
  <c r="R31" i="85"/>
  <c r="R16" i="85"/>
  <c r="R78" i="85"/>
  <c r="R69" i="85"/>
  <c r="R66" i="85"/>
  <c r="R58" i="85"/>
  <c r="R43" i="85"/>
  <c r="R38" i="85"/>
  <c r="R34" i="85"/>
  <c r="R30" i="85"/>
  <c r="R23" i="85"/>
  <c r="R65" i="85"/>
  <c r="R62" i="85"/>
  <c r="R54" i="85"/>
  <c r="R49" i="85"/>
  <c r="R46" i="85"/>
  <c r="R33" i="85"/>
  <c r="R29" i="85"/>
  <c r="R57" i="85"/>
  <c r="R40" i="85"/>
  <c r="R37" i="85"/>
  <c r="R28" i="85"/>
  <c r="P20" i="85"/>
  <c r="R20" i="85" s="1"/>
  <c r="X12" i="85"/>
  <c r="Z12" i="85" s="1"/>
  <c r="R51" i="85"/>
  <c r="R48" i="85"/>
  <c r="R64" i="85"/>
  <c r="R32" i="85"/>
  <c r="R27" i="85"/>
  <c r="X16" i="80"/>
  <c r="P32" i="80"/>
  <c r="X90" i="71"/>
  <c r="F25" i="75"/>
  <c r="F18" i="75"/>
  <c r="F19" i="75"/>
  <c r="F20" i="75"/>
  <c r="F31" i="75"/>
  <c r="F21" i="75"/>
  <c r="F23" i="75"/>
  <c r="D23" i="75"/>
  <c r="F27" i="75"/>
  <c r="L12" i="75"/>
  <c r="N12" i="75" s="1"/>
  <c r="J73" i="73"/>
  <c r="J66" i="73"/>
  <c r="J50" i="73"/>
  <c r="J44" i="73"/>
  <c r="J36" i="73"/>
  <c r="J24" i="73"/>
  <c r="J22" i="73"/>
  <c r="J61" i="73"/>
  <c r="J53" i="73"/>
  <c r="J47" i="73"/>
  <c r="J41" i="73"/>
  <c r="J35" i="73"/>
  <c r="J31" i="73"/>
  <c r="J58" i="73"/>
  <c r="J46" i="73"/>
  <c r="J38" i="73"/>
  <c r="J34" i="73"/>
  <c r="J30" i="73"/>
  <c r="J16" i="73"/>
  <c r="J57" i="73"/>
  <c r="J49" i="73"/>
  <c r="J43" i="73"/>
  <c r="J33" i="73"/>
  <c r="J29" i="73"/>
  <c r="J23" i="73"/>
  <c r="J70" i="73"/>
  <c r="J64" i="73"/>
  <c r="J60" i="73"/>
  <c r="J56" i="73"/>
  <c r="J52" i="73"/>
  <c r="J40" i="73"/>
  <c r="J28" i="73"/>
  <c r="J20" i="73"/>
  <c r="N12" i="73"/>
  <c r="J55" i="73"/>
  <c r="J51" i="73"/>
  <c r="J45" i="73"/>
  <c r="J37" i="73"/>
  <c r="J27" i="73"/>
  <c r="H20" i="73"/>
  <c r="J68" i="73"/>
  <c r="J62" i="73"/>
  <c r="J54" i="73"/>
  <c r="J48" i="73"/>
  <c r="J42" i="73"/>
  <c r="J32" i="73"/>
  <c r="J26" i="73"/>
  <c r="J18" i="73"/>
  <c r="J39" i="73"/>
  <c r="J17" i="73"/>
  <c r="J59" i="73"/>
  <c r="J25" i="73"/>
  <c r="L12" i="73"/>
  <c r="R84" i="71"/>
  <c r="R80" i="71"/>
  <c r="R77" i="71"/>
  <c r="R64" i="71"/>
  <c r="R60" i="71"/>
  <c r="R44" i="71"/>
  <c r="R36" i="71"/>
  <c r="X12" i="71"/>
  <c r="R90" i="71"/>
  <c r="R83" i="71"/>
  <c r="R71" i="71"/>
  <c r="R68" i="71"/>
  <c r="R63" i="71"/>
  <c r="R59" i="71"/>
  <c r="R52" i="71"/>
  <c r="R43" i="71"/>
  <c r="R93" i="71"/>
  <c r="R86" i="71"/>
  <c r="R82" i="71"/>
  <c r="R79" i="71"/>
  <c r="R58" i="71"/>
  <c r="R42" i="71"/>
  <c r="R35" i="71"/>
  <c r="R73" i="71"/>
  <c r="R70" i="71"/>
  <c r="R62" i="71"/>
  <c r="R57" i="71"/>
  <c r="P49" i="71"/>
  <c r="R49" i="71" s="1"/>
  <c r="R41" i="71"/>
  <c r="R91" i="71"/>
  <c r="R88" i="71"/>
  <c r="R97" i="71"/>
  <c r="R75" i="71"/>
  <c r="R72" i="71"/>
  <c r="R67" i="71"/>
  <c r="R55" i="71"/>
  <c r="R47" i="71"/>
  <c r="R87" i="71"/>
  <c r="R78" i="71"/>
  <c r="R66" i="71"/>
  <c r="R54" i="71"/>
  <c r="R51" i="71"/>
  <c r="R46" i="71"/>
  <c r="R38" i="71"/>
  <c r="R92" i="71"/>
  <c r="R65" i="71"/>
  <c r="R61" i="71"/>
  <c r="R53" i="71"/>
  <c r="R81" i="71"/>
  <c r="R56" i="71"/>
  <c r="R45" i="71"/>
  <c r="R85" i="71"/>
  <c r="R76" i="71"/>
  <c r="R39" i="71"/>
  <c r="R37" i="71"/>
  <c r="R74" i="71"/>
  <c r="R69" i="71"/>
  <c r="R40" i="71"/>
  <c r="J134" i="69"/>
  <c r="J128" i="69"/>
  <c r="J124" i="69"/>
  <c r="J114" i="69"/>
  <c r="J98" i="69"/>
  <c r="J86" i="69"/>
  <c r="J84" i="69"/>
  <c r="J78" i="69"/>
  <c r="J70" i="69"/>
  <c r="J117" i="69"/>
  <c r="J107" i="69"/>
  <c r="J101" i="69"/>
  <c r="J97" i="69"/>
  <c r="J93" i="69"/>
  <c r="J77" i="69"/>
  <c r="J69" i="69"/>
  <c r="J61" i="69"/>
  <c r="J130" i="69"/>
  <c r="J120" i="69"/>
  <c r="J116" i="69"/>
  <c r="J110" i="69"/>
  <c r="J104" i="69"/>
  <c r="J96" i="69"/>
  <c r="J92" i="69"/>
  <c r="J76" i="69"/>
  <c r="J68" i="69"/>
  <c r="J60" i="69"/>
  <c r="N12" i="69"/>
  <c r="J135" i="69"/>
  <c r="J127" i="69"/>
  <c r="J123" i="69"/>
  <c r="J119" i="69"/>
  <c r="J113" i="69"/>
  <c r="J103" i="69"/>
  <c r="J95" i="69"/>
  <c r="J91" i="69"/>
  <c r="J85" i="69"/>
  <c r="J75" i="69"/>
  <c r="J67" i="69"/>
  <c r="J59" i="69"/>
  <c r="J126" i="69"/>
  <c r="J122" i="69"/>
  <c r="J106" i="69"/>
  <c r="J100" i="69"/>
  <c r="J90" i="69"/>
  <c r="J74" i="69"/>
  <c r="J66" i="69"/>
  <c r="J58" i="69"/>
  <c r="J118" i="69"/>
  <c r="J112" i="69"/>
  <c r="J108" i="69"/>
  <c r="J102" i="69"/>
  <c r="J94" i="69"/>
  <c r="J88" i="69"/>
  <c r="J80" i="69"/>
  <c r="J72" i="69"/>
  <c r="J64" i="69"/>
  <c r="J131" i="69"/>
  <c r="J121" i="69"/>
  <c r="J111" i="69"/>
  <c r="J105" i="69"/>
  <c r="J99" i="69"/>
  <c r="J87" i="69"/>
  <c r="J79" i="69"/>
  <c r="J71" i="69"/>
  <c r="J63" i="69"/>
  <c r="H82" i="69"/>
  <c r="J139" i="69"/>
  <c r="J133" i="69"/>
  <c r="J129" i="69"/>
  <c r="J109" i="69"/>
  <c r="J65" i="69"/>
  <c r="J62" i="69"/>
  <c r="J89" i="69"/>
  <c r="J73" i="69"/>
  <c r="J56" i="69"/>
  <c r="J115" i="69"/>
  <c r="J125" i="69"/>
  <c r="J57" i="69"/>
  <c r="V79" i="70"/>
  <c r="V75" i="70"/>
  <c r="V69" i="70"/>
  <c r="V65" i="70"/>
  <c r="V61" i="70"/>
  <c r="V57" i="70"/>
  <c r="V49" i="70"/>
  <c r="V33" i="70"/>
  <c r="V25" i="70"/>
  <c r="V72" i="70"/>
  <c r="V64" i="70"/>
  <c r="V48" i="70"/>
  <c r="V32" i="70"/>
  <c r="V71" i="70"/>
  <c r="V63" i="70"/>
  <c r="V51" i="70"/>
  <c r="V43" i="70"/>
  <c r="V39" i="70"/>
  <c r="V31" i="70"/>
  <c r="V54" i="70"/>
  <c r="V50" i="70"/>
  <c r="V42" i="70"/>
  <c r="V38" i="70"/>
  <c r="V53" i="70"/>
  <c r="V45" i="70"/>
  <c r="V41" i="70"/>
  <c r="V37" i="70"/>
  <c r="T28" i="70"/>
  <c r="V67" i="70"/>
  <c r="V59" i="70"/>
  <c r="V55" i="70"/>
  <c r="V47" i="70"/>
  <c r="V35" i="70"/>
  <c r="V70" i="70"/>
  <c r="V66" i="70"/>
  <c r="V62" i="70"/>
  <c r="V58" i="70"/>
  <c r="V46" i="70"/>
  <c r="V34" i="70"/>
  <c r="V30" i="70"/>
  <c r="V26" i="70"/>
  <c r="V56" i="70"/>
  <c r="V74" i="70"/>
  <c r="V68" i="70"/>
  <c r="V60" i="70"/>
  <c r="V36" i="70"/>
  <c r="V52" i="70"/>
  <c r="V40" i="70"/>
  <c r="V44" i="70"/>
  <c r="X74" i="70"/>
  <c r="Z74" i="70" s="1"/>
  <c r="L28" i="70"/>
  <c r="N28" i="70" s="1"/>
  <c r="D77" i="70"/>
  <c r="D105" i="62"/>
  <c r="L102" i="62"/>
  <c r="P44" i="61"/>
  <c r="X16" i="61"/>
  <c r="D22" i="54"/>
  <c r="L16" i="54"/>
  <c r="L95" i="62"/>
  <c r="N95" i="62" s="1"/>
  <c r="X17" i="62"/>
  <c r="P98" i="62"/>
  <c r="T62" i="48"/>
  <c r="P27" i="43"/>
  <c r="X18" i="43"/>
  <c r="Z31" i="39"/>
  <c r="T111" i="39"/>
  <c r="N23" i="42"/>
  <c r="H102" i="42"/>
  <c r="H27" i="41"/>
  <c r="N18" i="41"/>
  <c r="X31" i="39"/>
  <c r="P111" i="39"/>
  <c r="T36" i="37"/>
  <c r="Z36" i="37" s="1"/>
  <c r="Z31" i="37"/>
  <c r="F108" i="36"/>
  <c r="F103" i="36"/>
  <c r="F87" i="36"/>
  <c r="F83" i="36"/>
  <c r="F79" i="36"/>
  <c r="F50" i="36"/>
  <c r="F47" i="36"/>
  <c r="F39" i="36"/>
  <c r="F35" i="36"/>
  <c r="F26" i="36"/>
  <c r="F106" i="36"/>
  <c r="F93" i="36"/>
  <c r="F49" i="36"/>
  <c r="F44" i="36"/>
  <c r="F33" i="36"/>
  <c r="F20" i="36"/>
  <c r="F99" i="36"/>
  <c r="F96" i="36"/>
  <c r="F92" i="36"/>
  <c r="F75" i="36"/>
  <c r="F71" i="36"/>
  <c r="F68" i="36"/>
  <c r="F63" i="36"/>
  <c r="F60" i="36"/>
  <c r="F55" i="36"/>
  <c r="F52" i="36"/>
  <c r="F32" i="36"/>
  <c r="F27" i="36"/>
  <c r="F102" i="36"/>
  <c r="F91" i="36"/>
  <c r="F82" i="36"/>
  <c r="F51" i="36"/>
  <c r="F46" i="36"/>
  <c r="F43" i="36"/>
  <c r="F31" i="36"/>
  <c r="F24" i="36"/>
  <c r="F107" i="36"/>
  <c r="F98" i="36"/>
  <c r="F101" i="36"/>
  <c r="F89" i="36"/>
  <c r="F81" i="36"/>
  <c r="F73" i="36"/>
  <c r="F48" i="36"/>
  <c r="F45" i="36"/>
  <c r="F41" i="36"/>
  <c r="F29" i="36"/>
  <c r="F21" i="36"/>
  <c r="F105" i="36"/>
  <c r="F100" i="36"/>
  <c r="F95" i="36"/>
  <c r="F88" i="36"/>
  <c r="F84" i="36"/>
  <c r="F80" i="36"/>
  <c r="F76" i="36"/>
  <c r="F72" i="36"/>
  <c r="F67" i="36"/>
  <c r="F64" i="36"/>
  <c r="F59" i="36"/>
  <c r="F56" i="36"/>
  <c r="F40" i="36"/>
  <c r="F36" i="36"/>
  <c r="F28" i="36"/>
  <c r="L12" i="36"/>
  <c r="N12" i="36" s="1"/>
  <c r="F42" i="36"/>
  <c r="F97" i="36"/>
  <c r="F94" i="36"/>
  <c r="F69" i="36"/>
  <c r="F61" i="36"/>
  <c r="F34" i="36"/>
  <c r="D24" i="36"/>
  <c r="F85" i="36"/>
  <c r="F54" i="36"/>
  <c r="F37" i="36"/>
  <c r="F86" i="36"/>
  <c r="F74" i="36"/>
  <c r="F65" i="36"/>
  <c r="F38" i="36"/>
  <c r="F66" i="36"/>
  <c r="F57" i="36"/>
  <c r="F53" i="36"/>
  <c r="F112" i="36"/>
  <c r="F77" i="36"/>
  <c r="F58" i="36"/>
  <c r="F30" i="36"/>
  <c r="F22" i="36"/>
  <c r="F90" i="36"/>
  <c r="F78" i="36"/>
  <c r="F70" i="36"/>
  <c r="F62" i="36"/>
  <c r="H27" i="29"/>
  <c r="N18" i="29"/>
  <c r="F30" i="33"/>
  <c r="T27" i="31"/>
  <c r="X27" i="31" s="1"/>
  <c r="Z18" i="31"/>
  <c r="R30" i="33"/>
  <c r="X18" i="29"/>
  <c r="P27" i="29"/>
  <c r="T27" i="19"/>
  <c r="Z18" i="19"/>
  <c r="V110" i="27"/>
  <c r="V100" i="27"/>
  <c r="V96" i="27"/>
  <c r="V92" i="27"/>
  <c r="V84" i="27"/>
  <c r="V76" i="27"/>
  <c r="V64" i="27"/>
  <c r="V48" i="27"/>
  <c r="V40" i="27"/>
  <c r="V103" i="27"/>
  <c r="V99" i="27"/>
  <c r="V87" i="27"/>
  <c r="V79" i="27"/>
  <c r="V75" i="27"/>
  <c r="V63" i="27"/>
  <c r="V59" i="27"/>
  <c r="V55" i="27"/>
  <c r="V47" i="27"/>
  <c r="V39" i="27"/>
  <c r="V108" i="27"/>
  <c r="V102" i="27"/>
  <c r="V98" i="27"/>
  <c r="V86" i="27"/>
  <c r="V78" i="27"/>
  <c r="V74" i="27"/>
  <c r="V62" i="27"/>
  <c r="V54" i="27"/>
  <c r="V46" i="27"/>
  <c r="V38" i="27"/>
  <c r="V105" i="27"/>
  <c r="V101" i="27"/>
  <c r="V89" i="27"/>
  <c r="V81" i="27"/>
  <c r="V73" i="27"/>
  <c r="V69" i="27"/>
  <c r="V61" i="27"/>
  <c r="V53" i="27"/>
  <c r="V45" i="27"/>
  <c r="V114" i="27"/>
  <c r="V104" i="27"/>
  <c r="V88" i="27"/>
  <c r="V80" i="27"/>
  <c r="V72" i="27"/>
  <c r="V68" i="27"/>
  <c r="V60" i="27"/>
  <c r="V52" i="27"/>
  <c r="V44" i="27"/>
  <c r="V109" i="27"/>
  <c r="V95" i="27"/>
  <c r="V91" i="27"/>
  <c r="V83" i="27"/>
  <c r="V71" i="27"/>
  <c r="V67" i="27"/>
  <c r="V57" i="27"/>
  <c r="V51" i="27"/>
  <c r="V43" i="27"/>
  <c r="V97" i="27"/>
  <c r="V93" i="27"/>
  <c r="V90" i="27"/>
  <c r="V49" i="27"/>
  <c r="V107" i="27"/>
  <c r="V94" i="27"/>
  <c r="T57" i="27"/>
  <c r="V85" i="27"/>
  <c r="V77" i="27"/>
  <c r="V65" i="27"/>
  <c r="V50" i="27"/>
  <c r="V41" i="27"/>
  <c r="Z12" i="27"/>
  <c r="V82" i="27"/>
  <c r="V70" i="27"/>
  <c r="V66" i="27"/>
  <c r="V42" i="27"/>
  <c r="V57" i="21"/>
  <c r="V49" i="21"/>
  <c r="V33" i="21"/>
  <c r="V29" i="21"/>
  <c r="V25" i="21"/>
  <c r="V82" i="21"/>
  <c r="V76" i="21"/>
  <c r="V60" i="21"/>
  <c r="V52" i="21"/>
  <c r="V48" i="21"/>
  <c r="V32" i="21"/>
  <c r="V24" i="21"/>
  <c r="V75" i="21"/>
  <c r="V63" i="21"/>
  <c r="V59" i="21"/>
  <c r="V51" i="21"/>
  <c r="V43" i="21"/>
  <c r="V31" i="21"/>
  <c r="V23" i="21"/>
  <c r="V78" i="21"/>
  <c r="V74" i="21"/>
  <c r="V70" i="21"/>
  <c r="V62" i="21"/>
  <c r="V54" i="21"/>
  <c r="V50" i="21"/>
  <c r="V42" i="21"/>
  <c r="V38" i="21"/>
  <c r="V30" i="21"/>
  <c r="V77" i="21"/>
  <c r="V73" i="21"/>
  <c r="V69" i="21"/>
  <c r="V65" i="21"/>
  <c r="V61" i="21"/>
  <c r="V53" i="21"/>
  <c r="V45" i="21"/>
  <c r="V41" i="21"/>
  <c r="V37" i="21"/>
  <c r="V27" i="21"/>
  <c r="V86" i="21"/>
  <c r="V80" i="21"/>
  <c r="V72" i="21"/>
  <c r="V68" i="21"/>
  <c r="V64" i="21"/>
  <c r="V56" i="21"/>
  <c r="V44" i="21"/>
  <c r="V40" i="21"/>
  <c r="V36" i="21"/>
  <c r="T27" i="21"/>
  <c r="Z12" i="21"/>
  <c r="V79" i="21"/>
  <c r="V71" i="21"/>
  <c r="V67" i="21"/>
  <c r="V55" i="21"/>
  <c r="V47" i="21"/>
  <c r="V39" i="21"/>
  <c r="V35" i="21"/>
  <c r="V66" i="21"/>
  <c r="V58" i="21"/>
  <c r="V46" i="21"/>
  <c r="V34" i="21"/>
  <c r="N57" i="27"/>
  <c r="H112" i="27"/>
  <c r="P86" i="24"/>
  <c r="X42" i="24"/>
  <c r="T86" i="24"/>
  <c r="Z42" i="24"/>
  <c r="V42" i="24"/>
  <c r="X18" i="8"/>
  <c r="P27" i="8"/>
  <c r="T27" i="5"/>
  <c r="Z18" i="5"/>
  <c r="X18" i="14"/>
  <c r="L18" i="10"/>
  <c r="D27" i="10"/>
  <c r="L18" i="8"/>
  <c r="D27" i="8"/>
  <c r="L18" i="4"/>
  <c r="D27" i="4"/>
  <c r="R219" i="12"/>
  <c r="F125" i="12"/>
  <c r="L249" i="3"/>
  <c r="N249" i="3" s="1"/>
  <c r="H27" i="98"/>
  <c r="L27" i="98" s="1"/>
  <c r="N18" i="98"/>
  <c r="T24" i="93"/>
  <c r="Z16" i="93"/>
  <c r="F75" i="92"/>
  <c r="F70" i="92"/>
  <c r="F65" i="92"/>
  <c r="F61" i="92"/>
  <c r="F38" i="92"/>
  <c r="F26" i="92"/>
  <c r="F77" i="92"/>
  <c r="F69" i="92"/>
  <c r="F57" i="92"/>
  <c r="F52" i="92"/>
  <c r="F49" i="92"/>
  <c r="F44" i="92"/>
  <c r="F41" i="92"/>
  <c r="F37" i="92"/>
  <c r="F33" i="92"/>
  <c r="F25" i="92"/>
  <c r="F68" i="92"/>
  <c r="F64" i="92"/>
  <c r="F60" i="92"/>
  <c r="F36" i="92"/>
  <c r="F32" i="92"/>
  <c r="F23" i="92"/>
  <c r="F81" i="92"/>
  <c r="F74" i="92"/>
  <c r="F67" i="92"/>
  <c r="F63" i="92"/>
  <c r="F59" i="92"/>
  <c r="F54" i="92"/>
  <c r="F51" i="92"/>
  <c r="F46" i="92"/>
  <c r="F43" i="92"/>
  <c r="F35" i="92"/>
  <c r="F31" i="92"/>
  <c r="F66" i="92"/>
  <c r="F62" i="92"/>
  <c r="F30" i="92"/>
  <c r="F17" i="92"/>
  <c r="F73" i="92"/>
  <c r="F56" i="92"/>
  <c r="F53" i="92"/>
  <c r="F48" i="92"/>
  <c r="F45" i="92"/>
  <c r="F40" i="92"/>
  <c r="F29" i="92"/>
  <c r="F24" i="92"/>
  <c r="F47" i="92"/>
  <c r="F19" i="92"/>
  <c r="F18" i="92"/>
  <c r="F71" i="92"/>
  <c r="F58" i="92"/>
  <c r="D21" i="92"/>
  <c r="F21" i="92" s="1"/>
  <c r="L12" i="92"/>
  <c r="F72" i="92"/>
  <c r="F55" i="92"/>
  <c r="F42" i="92"/>
  <c r="F27" i="92"/>
  <c r="F39" i="92"/>
  <c r="F50" i="92"/>
  <c r="F28" i="92"/>
  <c r="F34" i="92"/>
  <c r="P44" i="74"/>
  <c r="X17" i="74"/>
  <c r="T29" i="75"/>
  <c r="Z23" i="75"/>
  <c r="V23" i="75"/>
  <c r="R70" i="70"/>
  <c r="R66" i="70"/>
  <c r="R62" i="70"/>
  <c r="R58" i="70"/>
  <c r="R55" i="70"/>
  <c r="R34" i="70"/>
  <c r="R26" i="70"/>
  <c r="R79" i="70"/>
  <c r="R65" i="70"/>
  <c r="R49" i="70"/>
  <c r="R46" i="70"/>
  <c r="R33" i="70"/>
  <c r="R30" i="70"/>
  <c r="R75" i="70"/>
  <c r="R72" i="70"/>
  <c r="R69" i="70"/>
  <c r="R64" i="70"/>
  <c r="R61" i="70"/>
  <c r="R57" i="70"/>
  <c r="R32" i="70"/>
  <c r="R25" i="70"/>
  <c r="R51" i="70"/>
  <c r="R48" i="70"/>
  <c r="R43" i="70"/>
  <c r="R39" i="70"/>
  <c r="R71" i="70"/>
  <c r="R63" i="70"/>
  <c r="R54" i="70"/>
  <c r="R42" i="70"/>
  <c r="R38" i="70"/>
  <c r="R31" i="70"/>
  <c r="R68" i="70"/>
  <c r="R60" i="70"/>
  <c r="R56" i="70"/>
  <c r="R36" i="70"/>
  <c r="P28" i="70"/>
  <c r="X12" i="70"/>
  <c r="Z12" i="70" s="1"/>
  <c r="R74" i="70"/>
  <c r="R67" i="70"/>
  <c r="R59" i="70"/>
  <c r="R52" i="70"/>
  <c r="R47" i="70"/>
  <c r="R44" i="70"/>
  <c r="R40" i="70"/>
  <c r="R35" i="70"/>
  <c r="R50" i="70"/>
  <c r="R41" i="70"/>
  <c r="R53" i="70"/>
  <c r="R45" i="70"/>
  <c r="R28" i="70"/>
  <c r="R37" i="70"/>
  <c r="T34" i="65"/>
  <c r="Z16" i="65"/>
  <c r="H27" i="40"/>
  <c r="L27" i="40" s="1"/>
  <c r="N18" i="40"/>
  <c r="P27" i="35"/>
  <c r="X18" i="35"/>
  <c r="N76" i="33"/>
  <c r="L18" i="29"/>
  <c r="D27" i="29"/>
  <c r="P259" i="3"/>
  <c r="X151" i="3"/>
  <c r="D31" i="98"/>
  <c r="T30" i="89"/>
  <c r="Z16" i="89"/>
  <c r="T46" i="91"/>
  <c r="Z16" i="91"/>
  <c r="H27" i="99"/>
  <c r="N18" i="99"/>
  <c r="P69" i="97"/>
  <c r="T27" i="98"/>
  <c r="X27" i="98" s="1"/>
  <c r="Z18" i="98"/>
  <c r="Z20" i="96"/>
  <c r="J72" i="95"/>
  <c r="J54" i="95"/>
  <c r="J46" i="95"/>
  <c r="J36" i="95"/>
  <c r="J32" i="95"/>
  <c r="J85" i="95"/>
  <c r="J79" i="95"/>
  <c r="J75" i="95"/>
  <c r="J71" i="95"/>
  <c r="J59" i="95"/>
  <c r="J51" i="95"/>
  <c r="J43" i="95"/>
  <c r="J35" i="95"/>
  <c r="J70" i="95"/>
  <c r="J66" i="95"/>
  <c r="J62" i="95"/>
  <c r="J56" i="95"/>
  <c r="J48" i="95"/>
  <c r="J40" i="95"/>
  <c r="J83" i="95"/>
  <c r="J77" i="95"/>
  <c r="J69" i="95"/>
  <c r="J65" i="95"/>
  <c r="J61" i="95"/>
  <c r="J53" i="95"/>
  <c r="J45" i="95"/>
  <c r="J74" i="95"/>
  <c r="J68" i="95"/>
  <c r="J64" i="95"/>
  <c r="J58" i="95"/>
  <c r="J50" i="95"/>
  <c r="J42" i="95"/>
  <c r="J34" i="95"/>
  <c r="J28" i="95"/>
  <c r="J88" i="95"/>
  <c r="J81" i="95"/>
  <c r="J55" i="95"/>
  <c r="J47" i="95"/>
  <c r="J39" i="95"/>
  <c r="J76" i="95"/>
  <c r="J60" i="95"/>
  <c r="J52" i="95"/>
  <c r="J44" i="95"/>
  <c r="J38" i="95"/>
  <c r="J73" i="95"/>
  <c r="J67" i="95"/>
  <c r="J63" i="95"/>
  <c r="J57" i="95"/>
  <c r="J49" i="95"/>
  <c r="J41" i="95"/>
  <c r="J19" i="95"/>
  <c r="J26" i="95"/>
  <c r="J18" i="95"/>
  <c r="J27" i="95"/>
  <c r="J25" i="95"/>
  <c r="J23" i="95"/>
  <c r="J33" i="95"/>
  <c r="J30" i="95"/>
  <c r="J29" i="95"/>
  <c r="J17" i="95"/>
  <c r="J24" i="95"/>
  <c r="J31" i="95"/>
  <c r="J21" i="95"/>
  <c r="H21" i="95"/>
  <c r="N12" i="95"/>
  <c r="J37" i="95"/>
  <c r="F75" i="94"/>
  <c r="F72" i="94"/>
  <c r="F63" i="94"/>
  <c r="F59" i="94"/>
  <c r="F28" i="94"/>
  <c r="L12" i="94"/>
  <c r="N12" i="94" s="1"/>
  <c r="F71" i="94"/>
  <c r="F55" i="94"/>
  <c r="F50" i="94"/>
  <c r="F47" i="94"/>
  <c r="F42" i="94"/>
  <c r="F39" i="94"/>
  <c r="F34" i="94"/>
  <c r="F27" i="94"/>
  <c r="D21" i="94"/>
  <c r="F21" i="94" s="1"/>
  <c r="F19" i="94"/>
  <c r="F74" i="94"/>
  <c r="F70" i="94"/>
  <c r="F65" i="94"/>
  <c r="F62" i="94"/>
  <c r="F58" i="94"/>
  <c r="F38" i="94"/>
  <c r="F26" i="94"/>
  <c r="F18" i="94"/>
  <c r="F78" i="94"/>
  <c r="F69" i="94"/>
  <c r="F61" i="94"/>
  <c r="F57" i="94"/>
  <c r="F52" i="94"/>
  <c r="F49" i="94"/>
  <c r="F44" i="94"/>
  <c r="F41" i="94"/>
  <c r="F37" i="94"/>
  <c r="F33" i="94"/>
  <c r="F25" i="94"/>
  <c r="F82" i="94"/>
  <c r="F76" i="94"/>
  <c r="F68" i="94"/>
  <c r="F64" i="94"/>
  <c r="F60" i="94"/>
  <c r="F36" i="94"/>
  <c r="F32" i="94"/>
  <c r="F23" i="94"/>
  <c r="F67" i="94"/>
  <c r="F54" i="94"/>
  <c r="F51" i="94"/>
  <c r="F46" i="94"/>
  <c r="F43" i="94"/>
  <c r="F35" i="94"/>
  <c r="F31" i="94"/>
  <c r="F66" i="94"/>
  <c r="F29" i="94"/>
  <c r="F53" i="94"/>
  <c r="F48" i="94"/>
  <c r="F30" i="94"/>
  <c r="F73" i="94"/>
  <c r="F24" i="94"/>
  <c r="F45" i="94"/>
  <c r="F40" i="94"/>
  <c r="F17" i="94"/>
  <c r="F56" i="94"/>
  <c r="H50" i="91"/>
  <c r="L16" i="91"/>
  <c r="D46" i="91"/>
  <c r="H30" i="89"/>
  <c r="N16" i="89"/>
  <c r="J40" i="90"/>
  <c r="J34" i="90"/>
  <c r="J26" i="90"/>
  <c r="J18" i="90"/>
  <c r="J54" i="90"/>
  <c r="J47" i="90"/>
  <c r="J37" i="90"/>
  <c r="J31" i="90"/>
  <c r="J25" i="90"/>
  <c r="H18" i="90"/>
  <c r="J42" i="90"/>
  <c r="J36" i="90"/>
  <c r="J28" i="90"/>
  <c r="J24" i="90"/>
  <c r="J39" i="90"/>
  <c r="J33" i="90"/>
  <c r="J23" i="90"/>
  <c r="J30" i="90"/>
  <c r="J22" i="90"/>
  <c r="J20" i="90"/>
  <c r="J51" i="90"/>
  <c r="J45" i="90"/>
  <c r="J41" i="90"/>
  <c r="J35" i="90"/>
  <c r="J27" i="90"/>
  <c r="J15" i="90"/>
  <c r="J21" i="90"/>
  <c r="J43" i="90"/>
  <c r="N12" i="90"/>
  <c r="J32" i="90"/>
  <c r="J49" i="90"/>
  <c r="J38" i="90"/>
  <c r="J16" i="90"/>
  <c r="J29" i="90"/>
  <c r="T17" i="87"/>
  <c r="X17" i="87" s="1"/>
  <c r="V23" i="87"/>
  <c r="V19" i="87"/>
  <c r="V15" i="87"/>
  <c r="V27" i="87"/>
  <c r="V21" i="87"/>
  <c r="V20" i="87"/>
  <c r="X12" i="87"/>
  <c r="Z12" i="87" s="1"/>
  <c r="Z63" i="86"/>
  <c r="H32" i="88"/>
  <c r="N16" i="88"/>
  <c r="Z68" i="81"/>
  <c r="X68" i="81"/>
  <c r="L72" i="81"/>
  <c r="N72" i="81" s="1"/>
  <c r="D76" i="81"/>
  <c r="P72" i="81"/>
  <c r="X16" i="81"/>
  <c r="P33" i="82"/>
  <c r="X16" i="82"/>
  <c r="H38" i="83"/>
  <c r="N16" i="83"/>
  <c r="H71" i="76"/>
  <c r="N20" i="76"/>
  <c r="V98" i="77"/>
  <c r="V78" i="77"/>
  <c r="V107" i="77"/>
  <c r="V101" i="77"/>
  <c r="V77" i="77"/>
  <c r="V69" i="77"/>
  <c r="V100" i="77"/>
  <c r="V88" i="77"/>
  <c r="V84" i="77"/>
  <c r="V80" i="77"/>
  <c r="V72" i="77"/>
  <c r="V95" i="77"/>
  <c r="V87" i="77"/>
  <c r="V83" i="77"/>
  <c r="V79" i="77"/>
  <c r="V71" i="77"/>
  <c r="V63" i="77"/>
  <c r="V59" i="77"/>
  <c r="V94" i="77"/>
  <c r="V90" i="77"/>
  <c r="V86" i="77"/>
  <c r="V82" i="77"/>
  <c r="V74" i="77"/>
  <c r="V66" i="77"/>
  <c r="V103" i="77"/>
  <c r="V97" i="77"/>
  <c r="V93" i="77"/>
  <c r="V89" i="77"/>
  <c r="V85" i="77"/>
  <c r="V81" i="77"/>
  <c r="V73" i="77"/>
  <c r="V65" i="77"/>
  <c r="V92" i="77"/>
  <c r="V50" i="77"/>
  <c r="V42" i="77"/>
  <c r="V49" i="77"/>
  <c r="V41" i="77"/>
  <c r="V56" i="77"/>
  <c r="V48" i="77"/>
  <c r="V40" i="77"/>
  <c r="V75" i="77"/>
  <c r="V64" i="77"/>
  <c r="V55" i="77"/>
  <c r="V39" i="77"/>
  <c r="V67" i="77"/>
  <c r="V60" i="77"/>
  <c r="V58" i="77"/>
  <c r="V54" i="77"/>
  <c r="T45" i="77"/>
  <c r="X45" i="77" s="1"/>
  <c r="V38" i="77"/>
  <c r="V99" i="77"/>
  <c r="V91" i="77"/>
  <c r="V70" i="77"/>
  <c r="V52" i="77"/>
  <c r="V36" i="77"/>
  <c r="Z12" i="77"/>
  <c r="V96" i="77"/>
  <c r="V51" i="77"/>
  <c r="V47" i="77"/>
  <c r="V43" i="77"/>
  <c r="V68" i="77"/>
  <c r="V57" i="77"/>
  <c r="V76" i="77"/>
  <c r="V62" i="77"/>
  <c r="V37" i="77"/>
  <c r="V61" i="77"/>
  <c r="V53" i="77"/>
  <c r="D66" i="73"/>
  <c r="L20" i="73"/>
  <c r="F93" i="71"/>
  <c r="F88" i="71"/>
  <c r="F79" i="71"/>
  <c r="F76" i="71"/>
  <c r="F56" i="71"/>
  <c r="F49" i="71"/>
  <c r="F40" i="71"/>
  <c r="F35" i="71"/>
  <c r="F97" i="71"/>
  <c r="F75" i="71"/>
  <c r="F70" i="71"/>
  <c r="F67" i="71"/>
  <c r="F62" i="71"/>
  <c r="F55" i="71"/>
  <c r="D49" i="71"/>
  <c r="F47" i="71"/>
  <c r="F39" i="71"/>
  <c r="F91" i="71"/>
  <c r="F85" i="71"/>
  <c r="F81" i="71"/>
  <c r="F78" i="71"/>
  <c r="F66" i="71"/>
  <c r="F54" i="71"/>
  <c r="F46" i="71"/>
  <c r="F38" i="71"/>
  <c r="F72" i="71"/>
  <c r="F69" i="71"/>
  <c r="F65" i="71"/>
  <c r="F61" i="71"/>
  <c r="F53" i="71"/>
  <c r="F45" i="71"/>
  <c r="F37" i="71"/>
  <c r="F87" i="71"/>
  <c r="F92" i="71"/>
  <c r="F83" i="71"/>
  <c r="F74" i="71"/>
  <c r="F71" i="71"/>
  <c r="F63" i="71"/>
  <c r="F59" i="71"/>
  <c r="F43" i="71"/>
  <c r="F86" i="71"/>
  <c r="F82" i="71"/>
  <c r="F77" i="71"/>
  <c r="F58" i="71"/>
  <c r="F42" i="71"/>
  <c r="F73" i="71"/>
  <c r="F57" i="71"/>
  <c r="F64" i="71"/>
  <c r="F68" i="71"/>
  <c r="F60" i="71"/>
  <c r="F41" i="71"/>
  <c r="F51" i="71"/>
  <c r="F90" i="71"/>
  <c r="F52" i="71"/>
  <c r="F44" i="71"/>
  <c r="F80" i="71"/>
  <c r="L12" i="71"/>
  <c r="F84" i="71"/>
  <c r="F36" i="71"/>
  <c r="Z107" i="66"/>
  <c r="X107" i="66"/>
  <c r="D81" i="64"/>
  <c r="P38" i="65"/>
  <c r="X34" i="65"/>
  <c r="H112" i="66"/>
  <c r="N16" i="59"/>
  <c r="H52" i="59"/>
  <c r="P56" i="59"/>
  <c r="N18" i="53"/>
  <c r="H27" i="53"/>
  <c r="J88" i="64"/>
  <c r="J76" i="64"/>
  <c r="J62" i="64"/>
  <c r="J34" i="64"/>
  <c r="J73" i="64"/>
  <c r="J65" i="64"/>
  <c r="J59" i="64"/>
  <c r="J53" i="64"/>
  <c r="J33" i="64"/>
  <c r="J27" i="64"/>
  <c r="J72" i="64"/>
  <c r="J68" i="64"/>
  <c r="J64" i="64"/>
  <c r="J56" i="64"/>
  <c r="J50" i="64"/>
  <c r="J46" i="64"/>
  <c r="J42" i="64"/>
  <c r="J32" i="64"/>
  <c r="J85" i="64"/>
  <c r="J79" i="64"/>
  <c r="J75" i="64"/>
  <c r="J71" i="64"/>
  <c r="J67" i="64"/>
  <c r="J61" i="64"/>
  <c r="J55" i="64"/>
  <c r="J39" i="64"/>
  <c r="J31" i="64"/>
  <c r="J70" i="64"/>
  <c r="J58" i="64"/>
  <c r="J52" i="64"/>
  <c r="H39" i="64"/>
  <c r="J30" i="64"/>
  <c r="J83" i="64"/>
  <c r="J77" i="64"/>
  <c r="J63" i="64"/>
  <c r="J49" i="64"/>
  <c r="J45" i="64"/>
  <c r="J37" i="64"/>
  <c r="J29" i="64"/>
  <c r="J74" i="64"/>
  <c r="J66" i="64"/>
  <c r="J60" i="64"/>
  <c r="J54" i="64"/>
  <c r="J48" i="64"/>
  <c r="J44" i="64"/>
  <c r="J36" i="64"/>
  <c r="J28" i="64"/>
  <c r="N12" i="64"/>
  <c r="J57" i="64"/>
  <c r="J81" i="64"/>
  <c r="J51" i="64"/>
  <c r="L12" i="64"/>
  <c r="J43" i="64"/>
  <c r="J41" i="64"/>
  <c r="J69" i="64"/>
  <c r="J35" i="64"/>
  <c r="J47" i="64"/>
  <c r="P50" i="60"/>
  <c r="X46" i="60"/>
  <c r="X16" i="56"/>
  <c r="T31" i="49"/>
  <c r="Z27" i="49"/>
  <c r="R51" i="48"/>
  <c r="R42" i="48"/>
  <c r="R60" i="48"/>
  <c r="R57" i="48"/>
  <c r="R56" i="48"/>
  <c r="R53" i="48"/>
  <c r="R49" i="48"/>
  <c r="R46" i="48"/>
  <c r="R35" i="48"/>
  <c r="R23" i="48"/>
  <c r="R59" i="48"/>
  <c r="R55" i="48"/>
  <c r="R54" i="48"/>
  <c r="R38" i="48"/>
  <c r="R34" i="48"/>
  <c r="R22" i="48"/>
  <c r="R19" i="48"/>
  <c r="R15" i="48"/>
  <c r="R52" i="48"/>
  <c r="R45" i="48"/>
  <c r="R44" i="48"/>
  <c r="R33" i="48"/>
  <c r="R29" i="48"/>
  <c r="R21" i="48"/>
  <c r="R40" i="48"/>
  <c r="R37" i="48"/>
  <c r="R32" i="48"/>
  <c r="R28" i="48"/>
  <c r="X12" i="48"/>
  <c r="Z12" i="48" s="1"/>
  <c r="R31" i="48"/>
  <c r="R27" i="48"/>
  <c r="R20" i="48"/>
  <c r="R48" i="48"/>
  <c r="R43" i="48"/>
  <c r="R39" i="48"/>
  <c r="R26" i="48"/>
  <c r="R64" i="48"/>
  <c r="R50" i="48"/>
  <c r="R30" i="48"/>
  <c r="R25" i="48"/>
  <c r="P17" i="48"/>
  <c r="R47" i="48"/>
  <c r="R41" i="48"/>
  <c r="R36" i="48"/>
  <c r="R24" i="48"/>
  <c r="V97" i="42"/>
  <c r="V87" i="42"/>
  <c r="V83" i="42"/>
  <c r="V67" i="42"/>
  <c r="V63" i="42"/>
  <c r="V55" i="42"/>
  <c r="V43" i="42"/>
  <c r="V35" i="42"/>
  <c r="V31" i="42"/>
  <c r="V100" i="42"/>
  <c r="V90" i="42"/>
  <c r="V82" i="42"/>
  <c r="V74" i="42"/>
  <c r="V66" i="42"/>
  <c r="V62" i="42"/>
  <c r="V54" i="42"/>
  <c r="V46" i="42"/>
  <c r="V30" i="42"/>
  <c r="V93" i="42"/>
  <c r="V89" i="42"/>
  <c r="V81" i="42"/>
  <c r="V73" i="42"/>
  <c r="V69" i="42"/>
  <c r="V65" i="42"/>
  <c r="V57" i="42"/>
  <c r="V49" i="42"/>
  <c r="V45" i="42"/>
  <c r="V29" i="42"/>
  <c r="V25" i="42"/>
  <c r="V21" i="42"/>
  <c r="V98" i="42"/>
  <c r="V92" i="42"/>
  <c r="V80" i="42"/>
  <c r="V76" i="42"/>
  <c r="V72" i="42"/>
  <c r="V68" i="42"/>
  <c r="V64" i="42"/>
  <c r="V56" i="42"/>
  <c r="V48" i="42"/>
  <c r="V40" i="42"/>
  <c r="V28" i="42"/>
  <c r="V20" i="42"/>
  <c r="Z12" i="42"/>
  <c r="V95" i="42"/>
  <c r="V91" i="42"/>
  <c r="V79" i="42"/>
  <c r="V75" i="42"/>
  <c r="V71" i="42"/>
  <c r="V59" i="42"/>
  <c r="V51" i="42"/>
  <c r="V47" i="42"/>
  <c r="V39" i="42"/>
  <c r="V27" i="42"/>
  <c r="V19" i="42"/>
  <c r="V104" i="42"/>
  <c r="V94" i="42"/>
  <c r="V86" i="42"/>
  <c r="V78" i="42"/>
  <c r="V70" i="42"/>
  <c r="V58" i="42"/>
  <c r="V50" i="42"/>
  <c r="V42" i="42"/>
  <c r="V38" i="42"/>
  <c r="V34" i="42"/>
  <c r="V26" i="42"/>
  <c r="V99" i="42"/>
  <c r="V85" i="42"/>
  <c r="V77" i="42"/>
  <c r="V61" i="42"/>
  <c r="V53" i="42"/>
  <c r="V41" i="42"/>
  <c r="V37" i="42"/>
  <c r="V33" i="42"/>
  <c r="V88" i="42"/>
  <c r="V84" i="42"/>
  <c r="V60" i="42"/>
  <c r="V52" i="42"/>
  <c r="V44" i="42"/>
  <c r="V36" i="42"/>
  <c r="V32" i="42"/>
  <c r="T23" i="42"/>
  <c r="L106" i="39"/>
  <c r="N106" i="39" s="1"/>
  <c r="X18" i="34"/>
  <c r="P27" i="34"/>
  <c r="J21" i="45"/>
  <c r="F23" i="42"/>
  <c r="V108" i="36"/>
  <c r="V98" i="36"/>
  <c r="V90" i="36"/>
  <c r="V74" i="36"/>
  <c r="V70" i="36"/>
  <c r="V62" i="36"/>
  <c r="V54" i="36"/>
  <c r="V50" i="36"/>
  <c r="V42" i="36"/>
  <c r="V30" i="36"/>
  <c r="V26" i="36"/>
  <c r="V22" i="36"/>
  <c r="V106" i="36"/>
  <c r="V100" i="36"/>
  <c r="V88" i="36"/>
  <c r="V84" i="36"/>
  <c r="V80" i="36"/>
  <c r="V76" i="36"/>
  <c r="V72" i="36"/>
  <c r="V64" i="36"/>
  <c r="V56" i="36"/>
  <c r="V44" i="36"/>
  <c r="V40" i="36"/>
  <c r="V36" i="36"/>
  <c r="V28" i="36"/>
  <c r="V20" i="36"/>
  <c r="Z12" i="36"/>
  <c r="V103" i="36"/>
  <c r="V99" i="36"/>
  <c r="V87" i="36"/>
  <c r="V83" i="36"/>
  <c r="V79" i="36"/>
  <c r="V75" i="36"/>
  <c r="V71" i="36"/>
  <c r="V63" i="36"/>
  <c r="V55" i="36"/>
  <c r="V47" i="36"/>
  <c r="V39" i="36"/>
  <c r="V35" i="36"/>
  <c r="V27" i="36"/>
  <c r="V112" i="36"/>
  <c r="V102" i="36"/>
  <c r="V94" i="36"/>
  <c r="V86" i="36"/>
  <c r="V82" i="36"/>
  <c r="V78" i="36"/>
  <c r="V66" i="36"/>
  <c r="V58" i="36"/>
  <c r="V46" i="36"/>
  <c r="V38" i="36"/>
  <c r="V34" i="36"/>
  <c r="V107" i="36"/>
  <c r="V93" i="36"/>
  <c r="V96" i="36"/>
  <c r="V92" i="36"/>
  <c r="V68" i="36"/>
  <c r="V60" i="36"/>
  <c r="V52" i="36"/>
  <c r="V48" i="36"/>
  <c r="V32" i="36"/>
  <c r="V105" i="36"/>
  <c r="V95" i="36"/>
  <c r="V91" i="36"/>
  <c r="V67" i="36"/>
  <c r="V59" i="36"/>
  <c r="V51" i="36"/>
  <c r="V43" i="36"/>
  <c r="V31" i="36"/>
  <c r="V77" i="36"/>
  <c r="V29" i="36"/>
  <c r="V21" i="36"/>
  <c r="V89" i="36"/>
  <c r="V97" i="36"/>
  <c r="V69" i="36"/>
  <c r="V61" i="36"/>
  <c r="V41" i="36"/>
  <c r="V33" i="36"/>
  <c r="V85" i="36"/>
  <c r="V37" i="36"/>
  <c r="V101" i="36"/>
  <c r="V81" i="36"/>
  <c r="V65" i="36"/>
  <c r="V53" i="36"/>
  <c r="V49" i="36"/>
  <c r="V45" i="36"/>
  <c r="V73" i="36"/>
  <c r="V57" i="36"/>
  <c r="T24" i="36"/>
  <c r="V24" i="36" s="1"/>
  <c r="J77" i="33"/>
  <c r="J71" i="33"/>
  <c r="J63" i="33"/>
  <c r="J59" i="33"/>
  <c r="J53" i="33"/>
  <c r="J45" i="33"/>
  <c r="J41" i="33"/>
  <c r="J56" i="33"/>
  <c r="J50" i="33"/>
  <c r="J44" i="33"/>
  <c r="J40" i="33"/>
  <c r="J73" i="33"/>
  <c r="J65" i="33"/>
  <c r="J55" i="33"/>
  <c r="J47" i="33"/>
  <c r="J43" i="33"/>
  <c r="J39" i="33"/>
  <c r="J33" i="33"/>
  <c r="J25" i="33"/>
  <c r="J78" i="33"/>
  <c r="J70" i="33"/>
  <c r="J62" i="33"/>
  <c r="J58" i="33"/>
  <c r="J52" i="33"/>
  <c r="J38" i="33"/>
  <c r="J69" i="33"/>
  <c r="J61" i="33"/>
  <c r="J49" i="33"/>
  <c r="J37" i="33"/>
  <c r="H30" i="33"/>
  <c r="J30" i="33" s="1"/>
  <c r="J82" i="33"/>
  <c r="J76" i="33"/>
  <c r="J72" i="33"/>
  <c r="J68" i="33"/>
  <c r="J64" i="33"/>
  <c r="J60" i="33"/>
  <c r="J54" i="33"/>
  <c r="J46" i="33"/>
  <c r="J42" i="33"/>
  <c r="J36" i="33"/>
  <c r="J28" i="33"/>
  <c r="N12" i="33"/>
  <c r="J67" i="33"/>
  <c r="J57" i="33"/>
  <c r="J51" i="33"/>
  <c r="J35" i="33"/>
  <c r="J27" i="33"/>
  <c r="J74" i="33"/>
  <c r="J66" i="33"/>
  <c r="J48" i="33"/>
  <c r="J34" i="33"/>
  <c r="J32" i="33"/>
  <c r="J26" i="33"/>
  <c r="L18" i="31"/>
  <c r="D27" i="31"/>
  <c r="T27" i="28"/>
  <c r="Z18" i="28"/>
  <c r="L12" i="30"/>
  <c r="N12" i="30" s="1"/>
  <c r="F82" i="30"/>
  <c r="H27" i="23"/>
  <c r="N18" i="23"/>
  <c r="V149" i="30"/>
  <c r="V121" i="30"/>
  <c r="V113" i="30"/>
  <c r="V109" i="30"/>
  <c r="V101" i="30"/>
  <c r="V97" i="30"/>
  <c r="V93" i="30"/>
  <c r="V85" i="30"/>
  <c r="V77" i="30"/>
  <c r="V69" i="30"/>
  <c r="V61" i="30"/>
  <c r="V148" i="30"/>
  <c r="V128" i="30"/>
  <c r="V124" i="30"/>
  <c r="V112" i="30"/>
  <c r="V100" i="30"/>
  <c r="V96" i="30"/>
  <c r="V92" i="30"/>
  <c r="V76" i="30"/>
  <c r="V68" i="30"/>
  <c r="V60" i="30"/>
  <c r="Z12" i="30"/>
  <c r="V153" i="30"/>
  <c r="V143" i="30"/>
  <c r="V135" i="30"/>
  <c r="V131" i="30"/>
  <c r="V127" i="30"/>
  <c r="V123" i="30"/>
  <c r="V115" i="30"/>
  <c r="V111" i="30"/>
  <c r="V103" i="30"/>
  <c r="V95" i="30"/>
  <c r="V91" i="30"/>
  <c r="T82" i="30"/>
  <c r="V82" i="30" s="1"/>
  <c r="V75" i="30"/>
  <c r="V67" i="30"/>
  <c r="V59" i="30"/>
  <c r="V142" i="30"/>
  <c r="V138" i="30"/>
  <c r="V134" i="30"/>
  <c r="V130" i="30"/>
  <c r="V126" i="30"/>
  <c r="V114" i="30"/>
  <c r="V102" i="30"/>
  <c r="V94" i="30"/>
  <c r="V90" i="30"/>
  <c r="V74" i="30"/>
  <c r="V66" i="30"/>
  <c r="V58" i="30"/>
  <c r="V151" i="30"/>
  <c r="V145" i="30"/>
  <c r="V141" i="30"/>
  <c r="V137" i="30"/>
  <c r="V133" i="30"/>
  <c r="V129" i="30"/>
  <c r="V125" i="30"/>
  <c r="V117" i="30"/>
  <c r="V105" i="30"/>
  <c r="V89" i="30"/>
  <c r="V73" i="30"/>
  <c r="V65" i="30"/>
  <c r="V57" i="30"/>
  <c r="V144" i="30"/>
  <c r="V140" i="30"/>
  <c r="V136" i="30"/>
  <c r="V132" i="30"/>
  <c r="V120" i="30"/>
  <c r="V116" i="30"/>
  <c r="V108" i="30"/>
  <c r="V104" i="30"/>
  <c r="V88" i="30"/>
  <c r="V84" i="30"/>
  <c r="V80" i="30"/>
  <c r="V72" i="30"/>
  <c r="V64" i="30"/>
  <c r="V56" i="30"/>
  <c r="V157" i="30"/>
  <c r="V147" i="30"/>
  <c r="V139" i="30"/>
  <c r="V119" i="30"/>
  <c r="V107" i="30"/>
  <c r="V99" i="30"/>
  <c r="V87" i="30"/>
  <c r="V79" i="30"/>
  <c r="V71" i="30"/>
  <c r="V63" i="30"/>
  <c r="V152" i="30"/>
  <c r="V146" i="30"/>
  <c r="V122" i="30"/>
  <c r="V118" i="30"/>
  <c r="V110" i="30"/>
  <c r="V106" i="30"/>
  <c r="V98" i="30"/>
  <c r="V86" i="30"/>
  <c r="V78" i="30"/>
  <c r="V70" i="30"/>
  <c r="V62" i="30"/>
  <c r="X18" i="31"/>
  <c r="J57" i="27"/>
  <c r="L27" i="21"/>
  <c r="D84" i="21"/>
  <c r="H27" i="17"/>
  <c r="N18" i="17"/>
  <c r="H27" i="16"/>
  <c r="N18" i="16"/>
  <c r="F237" i="18"/>
  <c r="F220" i="18"/>
  <c r="F188" i="18"/>
  <c r="F230" i="18"/>
  <c r="F226" i="18"/>
  <c r="F223" i="18"/>
  <c r="F219" i="18"/>
  <c r="F210" i="18"/>
  <c r="F194" i="18"/>
  <c r="F191" i="18"/>
  <c r="F182" i="18"/>
  <c r="F179" i="18"/>
  <c r="F170" i="18"/>
  <c r="F167" i="18"/>
  <c r="F159" i="18"/>
  <c r="F155" i="18"/>
  <c r="F147" i="18"/>
  <c r="F139" i="18"/>
  <c r="F131" i="18"/>
  <c r="F235" i="18"/>
  <c r="F222" i="18"/>
  <c r="F218" i="18"/>
  <c r="F213" i="18"/>
  <c r="F205" i="18"/>
  <c r="F201" i="18"/>
  <c r="F190" i="18"/>
  <c r="F185" i="18"/>
  <c r="F173" i="18"/>
  <c r="F158" i="18"/>
  <c r="F154" i="18"/>
  <c r="F146" i="18"/>
  <c r="F238" i="18"/>
  <c r="F229" i="18"/>
  <c r="F225" i="18"/>
  <c r="F217" i="18"/>
  <c r="F209" i="18"/>
  <c r="F196" i="18"/>
  <c r="F193" i="18"/>
  <c r="F181" i="18"/>
  <c r="F176" i="18"/>
  <c r="F169" i="18"/>
  <c r="F164" i="18"/>
  <c r="F157" i="18"/>
  <c r="F153" i="18"/>
  <c r="F233" i="18"/>
  <c r="F228" i="18"/>
  <c r="F216" i="18"/>
  <c r="F212" i="18"/>
  <c r="F208" i="18"/>
  <c r="F204" i="18"/>
  <c r="F200" i="18"/>
  <c r="F236" i="18"/>
  <c r="F231" i="18"/>
  <c r="F227" i="18"/>
  <c r="F215" i="18"/>
  <c r="F211" i="18"/>
  <c r="F207" i="18"/>
  <c r="F203" i="18"/>
  <c r="F199" i="18"/>
  <c r="F195" i="18"/>
  <c r="F183" i="18"/>
  <c r="F178" i="18"/>
  <c r="F175" i="18"/>
  <c r="F171" i="18"/>
  <c r="F166" i="18"/>
  <c r="F163" i="18"/>
  <c r="F151" i="18"/>
  <c r="F135" i="18"/>
  <c r="F127" i="18"/>
  <c r="F239" i="18"/>
  <c r="F221" i="18"/>
  <c r="F214" i="18"/>
  <c r="F206" i="18"/>
  <c r="F202" i="18"/>
  <c r="F198" i="18"/>
  <c r="F189" i="18"/>
  <c r="F186" i="18"/>
  <c r="F174" i="18"/>
  <c r="F162" i="18"/>
  <c r="F150" i="18"/>
  <c r="F145" i="18"/>
  <c r="F243" i="18"/>
  <c r="F234" i="18"/>
  <c r="F224" i="18"/>
  <c r="F197" i="18"/>
  <c r="F192" i="18"/>
  <c r="F180" i="18"/>
  <c r="F177" i="18"/>
  <c r="F168" i="18"/>
  <c r="F165" i="18"/>
  <c r="F161" i="18"/>
  <c r="F156" i="18"/>
  <c r="F149" i="18"/>
  <c r="F187" i="18"/>
  <c r="F172" i="18"/>
  <c r="D142" i="18"/>
  <c r="F142" i="18" s="1"/>
  <c r="F133" i="18"/>
  <c r="F121" i="18"/>
  <c r="F113" i="18"/>
  <c r="F105" i="18"/>
  <c r="F97" i="18"/>
  <c r="F184" i="18"/>
  <c r="F148" i="18"/>
  <c r="F120" i="18"/>
  <c r="F112" i="18"/>
  <c r="F104" i="18"/>
  <c r="F96" i="18"/>
  <c r="F144" i="18"/>
  <c r="F136" i="18"/>
  <c r="F119" i="18"/>
  <c r="F111" i="18"/>
  <c r="F103" i="18"/>
  <c r="F95" i="18"/>
  <c r="F152" i="18"/>
  <c r="F118" i="18"/>
  <c r="F110" i="18"/>
  <c r="F102" i="18"/>
  <c r="F94" i="18"/>
  <c r="F138" i="18"/>
  <c r="F137" i="18"/>
  <c r="F126" i="18"/>
  <c r="F117" i="18"/>
  <c r="F109" i="18"/>
  <c r="F101" i="18"/>
  <c r="F130" i="18"/>
  <c r="F125" i="18"/>
  <c r="F124" i="18"/>
  <c r="F116" i="18"/>
  <c r="F108" i="18"/>
  <c r="F100" i="18"/>
  <c r="L12" i="18"/>
  <c r="F160" i="18"/>
  <c r="F129" i="18"/>
  <c r="F128" i="18"/>
  <c r="F123" i="18"/>
  <c r="F115" i="18"/>
  <c r="F107" i="18"/>
  <c r="F99" i="18"/>
  <c r="F140" i="18"/>
  <c r="F134" i="18"/>
  <c r="F132" i="18"/>
  <c r="F122" i="18"/>
  <c r="F114" i="18"/>
  <c r="F106" i="18"/>
  <c r="F98" i="18"/>
  <c r="F93" i="18"/>
  <c r="X18" i="17"/>
  <c r="P27" i="17"/>
  <c r="L18" i="5"/>
  <c r="D27" i="5"/>
  <c r="P88" i="9"/>
  <c r="X16" i="9"/>
  <c r="V233" i="18"/>
  <c r="T217" i="15"/>
  <c r="Z120" i="15"/>
  <c r="P225" i="12"/>
  <c r="X125" i="12"/>
  <c r="V249" i="3"/>
  <c r="T259" i="3"/>
  <c r="Z151" i="3"/>
  <c r="V151" i="3"/>
  <c r="P81" i="95"/>
  <c r="X21" i="95"/>
  <c r="D17" i="87"/>
  <c r="F29" i="87"/>
  <c r="F23" i="87"/>
  <c r="F27" i="87"/>
  <c r="F21" i="87"/>
  <c r="F19" i="87"/>
  <c r="F15" i="87"/>
  <c r="L12" i="87"/>
  <c r="N12" i="87" s="1"/>
  <c r="F32" i="87"/>
  <c r="F25" i="87"/>
  <c r="F17" i="87"/>
  <c r="F20" i="87"/>
  <c r="T33" i="82"/>
  <c r="Z16" i="82"/>
  <c r="P27" i="44"/>
  <c r="X18" i="44"/>
  <c r="Z18" i="43"/>
  <c r="T27" i="43"/>
  <c r="P31" i="99"/>
  <c r="T32" i="88"/>
  <c r="T66" i="86"/>
  <c r="Z17" i="86"/>
  <c r="T27" i="100"/>
  <c r="Z18" i="100"/>
  <c r="T27" i="99"/>
  <c r="X27" i="99" s="1"/>
  <c r="Z18" i="99"/>
  <c r="L20" i="96"/>
  <c r="N20" i="96" s="1"/>
  <c r="D62" i="97"/>
  <c r="L17" i="97"/>
  <c r="N17" i="97" s="1"/>
  <c r="X16" i="89"/>
  <c r="L78" i="85"/>
  <c r="H37" i="82"/>
  <c r="P85" i="79"/>
  <c r="R81" i="79"/>
  <c r="V74" i="79"/>
  <c r="V70" i="79"/>
  <c r="V50" i="79"/>
  <c r="V42" i="79"/>
  <c r="V26" i="79"/>
  <c r="V22" i="79"/>
  <c r="V18" i="79"/>
  <c r="V85" i="79"/>
  <c r="V79" i="79"/>
  <c r="V73" i="79"/>
  <c r="V69" i="79"/>
  <c r="V61" i="79"/>
  <c r="V53" i="79"/>
  <c r="V45" i="79"/>
  <c r="V41" i="79"/>
  <c r="V25" i="79"/>
  <c r="V17" i="79"/>
  <c r="V76" i="79"/>
  <c r="V68" i="79"/>
  <c r="V60" i="79"/>
  <c r="V56" i="79"/>
  <c r="V52" i="79"/>
  <c r="V44" i="79"/>
  <c r="V36" i="79"/>
  <c r="V24" i="79"/>
  <c r="V16" i="79"/>
  <c r="V75" i="79"/>
  <c r="V67" i="79"/>
  <c r="V63" i="79"/>
  <c r="V59" i="79"/>
  <c r="V55" i="79"/>
  <c r="V47" i="79"/>
  <c r="V43" i="79"/>
  <c r="V35" i="79"/>
  <c r="V31" i="79"/>
  <c r="V23" i="79"/>
  <c r="V66" i="79"/>
  <c r="V62" i="79"/>
  <c r="V58" i="79"/>
  <c r="V54" i="79"/>
  <c r="V46" i="79"/>
  <c r="V38" i="79"/>
  <c r="V34" i="79"/>
  <c r="V30" i="79"/>
  <c r="V20" i="79"/>
  <c r="V88" i="79"/>
  <c r="V83" i="79"/>
  <c r="V81" i="79"/>
  <c r="V65" i="79"/>
  <c r="V57" i="79"/>
  <c r="V49" i="79"/>
  <c r="V37" i="79"/>
  <c r="V33" i="79"/>
  <c r="V29" i="79"/>
  <c r="T20" i="79"/>
  <c r="V78" i="79"/>
  <c r="V72" i="79"/>
  <c r="V64" i="79"/>
  <c r="V48" i="79"/>
  <c r="V40" i="79"/>
  <c r="V32" i="79"/>
  <c r="V28" i="79"/>
  <c r="Z12" i="79"/>
  <c r="V71" i="79"/>
  <c r="V27" i="79"/>
  <c r="V39" i="79"/>
  <c r="V51" i="79"/>
  <c r="X12" i="79"/>
  <c r="T36" i="80"/>
  <c r="Z17" i="74"/>
  <c r="T44" i="74"/>
  <c r="Z90" i="71"/>
  <c r="P66" i="73"/>
  <c r="X20" i="73"/>
  <c r="Z20" i="73" s="1"/>
  <c r="J100" i="77"/>
  <c r="J94" i="77"/>
  <c r="J90" i="77"/>
  <c r="J86" i="77"/>
  <c r="J82" i="77"/>
  <c r="J74" i="77"/>
  <c r="J97" i="77"/>
  <c r="J93" i="77"/>
  <c r="J79" i="77"/>
  <c r="J71" i="77"/>
  <c r="J92" i="77"/>
  <c r="J76" i="77"/>
  <c r="J103" i="77"/>
  <c r="J99" i="77"/>
  <c r="J89" i="77"/>
  <c r="J85" i="77"/>
  <c r="J81" i="77"/>
  <c r="J73" i="77"/>
  <c r="J65" i="77"/>
  <c r="J96" i="77"/>
  <c r="J78" i="77"/>
  <c r="J70" i="77"/>
  <c r="J107" i="77"/>
  <c r="J101" i="77"/>
  <c r="J91" i="77"/>
  <c r="J75" i="77"/>
  <c r="J67" i="77"/>
  <c r="J61" i="77"/>
  <c r="J58" i="77"/>
  <c r="J54" i="77"/>
  <c r="J48" i="77"/>
  <c r="J38" i="77"/>
  <c r="J83" i="77"/>
  <c r="J72" i="77"/>
  <c r="J68" i="77"/>
  <c r="J62" i="77"/>
  <c r="J53" i="77"/>
  <c r="J45" i="77"/>
  <c r="J37" i="77"/>
  <c r="J95" i="77"/>
  <c r="J87" i="77"/>
  <c r="J52" i="77"/>
  <c r="H45" i="77"/>
  <c r="J84" i="77"/>
  <c r="J80" i="77"/>
  <c r="J57" i="77"/>
  <c r="J51" i="77"/>
  <c r="J43" i="77"/>
  <c r="J88" i="77"/>
  <c r="J50" i="77"/>
  <c r="J42" i="77"/>
  <c r="J36" i="77"/>
  <c r="J98" i="77"/>
  <c r="J64" i="77"/>
  <c r="J56" i="77"/>
  <c r="J40" i="77"/>
  <c r="J77" i="77"/>
  <c r="J69" i="77"/>
  <c r="J66" i="77"/>
  <c r="J63" i="77"/>
  <c r="J60" i="77"/>
  <c r="J59" i="77"/>
  <c r="J55" i="77"/>
  <c r="J39" i="77"/>
  <c r="J41" i="77"/>
  <c r="J49" i="77"/>
  <c r="J47" i="77"/>
  <c r="N17" i="74"/>
  <c r="H44" i="74"/>
  <c r="T71" i="76"/>
  <c r="P75" i="76"/>
  <c r="X71" i="76"/>
  <c r="J97" i="71"/>
  <c r="J91" i="71"/>
  <c r="J85" i="71"/>
  <c r="J81" i="71"/>
  <c r="J75" i="71"/>
  <c r="J67" i="71"/>
  <c r="J55" i="71"/>
  <c r="J47" i="71"/>
  <c r="J39" i="71"/>
  <c r="J78" i="71"/>
  <c r="J72" i="71"/>
  <c r="J66" i="71"/>
  <c r="J54" i="71"/>
  <c r="J46" i="71"/>
  <c r="J38" i="71"/>
  <c r="J87" i="71"/>
  <c r="J69" i="71"/>
  <c r="J65" i="71"/>
  <c r="J61" i="71"/>
  <c r="J53" i="71"/>
  <c r="J51" i="71"/>
  <c r="J45" i="71"/>
  <c r="J37" i="71"/>
  <c r="J92" i="71"/>
  <c r="J84" i="71"/>
  <c r="J80" i="71"/>
  <c r="J74" i="71"/>
  <c r="J64" i="71"/>
  <c r="J60" i="71"/>
  <c r="J44" i="71"/>
  <c r="J36" i="71"/>
  <c r="N12" i="71"/>
  <c r="J90" i="71"/>
  <c r="J86" i="71"/>
  <c r="J82" i="71"/>
  <c r="J68" i="71"/>
  <c r="J58" i="71"/>
  <c r="J52" i="71"/>
  <c r="J42" i="71"/>
  <c r="J93" i="71"/>
  <c r="J79" i="71"/>
  <c r="J73" i="71"/>
  <c r="J57" i="71"/>
  <c r="J41" i="71"/>
  <c r="J35" i="71"/>
  <c r="J88" i="71"/>
  <c r="J43" i="71"/>
  <c r="J40" i="71"/>
  <c r="J70" i="71"/>
  <c r="J71" i="71"/>
  <c r="J83" i="71"/>
  <c r="J62" i="71"/>
  <c r="J77" i="71"/>
  <c r="J59" i="71"/>
  <c r="J56" i="71"/>
  <c r="J76" i="71"/>
  <c r="H49" i="71"/>
  <c r="J49" i="71" s="1"/>
  <c r="J63" i="71"/>
  <c r="L107" i="66"/>
  <c r="N107" i="66" s="1"/>
  <c r="V109" i="66"/>
  <c r="V95" i="66"/>
  <c r="V91" i="66"/>
  <c r="V83" i="66"/>
  <c r="V71" i="66"/>
  <c r="V67" i="66"/>
  <c r="V51" i="66"/>
  <c r="V43" i="66"/>
  <c r="V94" i="66"/>
  <c r="V90" i="66"/>
  <c r="V82" i="66"/>
  <c r="V70" i="66"/>
  <c r="V66" i="66"/>
  <c r="T57" i="66"/>
  <c r="V50" i="66"/>
  <c r="V42" i="66"/>
  <c r="V107" i="66"/>
  <c r="V97" i="66"/>
  <c r="V93" i="66"/>
  <c r="V85" i="66"/>
  <c r="V77" i="66"/>
  <c r="V65" i="66"/>
  <c r="V49" i="66"/>
  <c r="V41" i="66"/>
  <c r="V110" i="66"/>
  <c r="V100" i="66"/>
  <c r="V96" i="66"/>
  <c r="V92" i="66"/>
  <c r="V84" i="66"/>
  <c r="V76" i="66"/>
  <c r="V64" i="66"/>
  <c r="V48" i="66"/>
  <c r="V40" i="66"/>
  <c r="V103" i="66"/>
  <c r="V99" i="66"/>
  <c r="V87" i="66"/>
  <c r="V79" i="66"/>
  <c r="V75" i="66"/>
  <c r="V63" i="66"/>
  <c r="V59" i="66"/>
  <c r="V55" i="66"/>
  <c r="V47" i="66"/>
  <c r="V39" i="66"/>
  <c r="V108" i="66"/>
  <c r="V102" i="66"/>
  <c r="V98" i="66"/>
  <c r="V86" i="66"/>
  <c r="V105" i="66"/>
  <c r="V101" i="66"/>
  <c r="V89" i="66"/>
  <c r="V81" i="66"/>
  <c r="V73" i="66"/>
  <c r="V69" i="66"/>
  <c r="V61" i="66"/>
  <c r="V53" i="66"/>
  <c r="V45" i="66"/>
  <c r="V74" i="66"/>
  <c r="V54" i="66"/>
  <c r="V60" i="66"/>
  <c r="V68" i="66"/>
  <c r="V44" i="66"/>
  <c r="V104" i="66"/>
  <c r="V72" i="66"/>
  <c r="V52" i="66"/>
  <c r="V114" i="66"/>
  <c r="V88" i="66"/>
  <c r="V78" i="66"/>
  <c r="Z12" i="66"/>
  <c r="V62" i="66"/>
  <c r="V46" i="66"/>
  <c r="V80" i="66"/>
  <c r="V38" i="66"/>
  <c r="L16" i="57"/>
  <c r="D59" i="57"/>
  <c r="H71" i="58"/>
  <c r="N67" i="58"/>
  <c r="H53" i="60"/>
  <c r="N50" i="60"/>
  <c r="T63" i="57"/>
  <c r="Z16" i="55"/>
  <c r="T30" i="55"/>
  <c r="D63" i="56"/>
  <c r="L16" i="56"/>
  <c r="T27" i="50"/>
  <c r="Z18" i="50"/>
  <c r="N90" i="51"/>
  <c r="X16" i="60"/>
  <c r="L18" i="52"/>
  <c r="D27" i="52"/>
  <c r="P67" i="56"/>
  <c r="X63" i="56"/>
  <c r="H27" i="47"/>
  <c r="N18" i="47"/>
  <c r="R84" i="51"/>
  <c r="R80" i="51"/>
  <c r="R77" i="51"/>
  <c r="R64" i="51"/>
  <c r="R60" i="51"/>
  <c r="R44" i="51"/>
  <c r="R36" i="51"/>
  <c r="R90" i="51"/>
  <c r="R83" i="51"/>
  <c r="R71" i="51"/>
  <c r="R68" i="51"/>
  <c r="R63" i="51"/>
  <c r="R59" i="51"/>
  <c r="R52" i="51"/>
  <c r="R43" i="51"/>
  <c r="R93" i="51"/>
  <c r="R86" i="51"/>
  <c r="R82" i="51"/>
  <c r="R79" i="51"/>
  <c r="R58" i="51"/>
  <c r="R49" i="51"/>
  <c r="R42" i="51"/>
  <c r="R35" i="51"/>
  <c r="R73" i="51"/>
  <c r="R70" i="51"/>
  <c r="R62" i="51"/>
  <c r="R57" i="51"/>
  <c r="P49" i="51"/>
  <c r="R41" i="51"/>
  <c r="R91" i="51"/>
  <c r="R88" i="51"/>
  <c r="R85" i="51"/>
  <c r="R81" i="51"/>
  <c r="R76" i="51"/>
  <c r="R56" i="51"/>
  <c r="R40" i="51"/>
  <c r="R97" i="51"/>
  <c r="R75" i="51"/>
  <c r="R72" i="51"/>
  <c r="R67" i="51"/>
  <c r="R55" i="51"/>
  <c r="R47" i="51"/>
  <c r="R39" i="51"/>
  <c r="R87" i="51"/>
  <c r="R78" i="51"/>
  <c r="R66" i="51"/>
  <c r="R54" i="51"/>
  <c r="R51" i="51"/>
  <c r="R46" i="51"/>
  <c r="R38" i="51"/>
  <c r="R61" i="51"/>
  <c r="X12" i="51"/>
  <c r="Z12" i="51" s="1"/>
  <c r="R53" i="51"/>
  <c r="R37" i="51"/>
  <c r="R92" i="51"/>
  <c r="R74" i="51"/>
  <c r="R69" i="51"/>
  <c r="R65" i="51"/>
  <c r="R45" i="51"/>
  <c r="D31" i="40"/>
  <c r="X106" i="39"/>
  <c r="Z106" i="39" s="1"/>
  <c r="P36" i="40"/>
  <c r="H111" i="39"/>
  <c r="N27" i="35"/>
  <c r="T27" i="34"/>
  <c r="Z18" i="34"/>
  <c r="T27" i="26"/>
  <c r="Z18" i="26"/>
  <c r="T27" i="20"/>
  <c r="Z18" i="20"/>
  <c r="T27" i="23"/>
  <c r="Z18" i="23"/>
  <c r="X18" i="19"/>
  <c r="P27" i="19"/>
  <c r="Z219" i="12"/>
  <c r="P31" i="16"/>
  <c r="T27" i="16"/>
  <c r="X27" i="16" s="1"/>
  <c r="Z18" i="16"/>
  <c r="X18" i="13"/>
  <c r="P27" i="13"/>
  <c r="R142" i="18"/>
  <c r="H27" i="11"/>
  <c r="N18" i="11"/>
  <c r="L18" i="11"/>
  <c r="T36" i="17"/>
  <c r="Z36" i="17" s="1"/>
  <c r="Z31" i="17"/>
  <c r="X18" i="11"/>
  <c r="P27" i="11"/>
  <c r="X18" i="5"/>
  <c r="P27" i="5"/>
  <c r="L12" i="12"/>
  <c r="N12" i="12" s="1"/>
  <c r="R151" i="3"/>
  <c r="H27" i="100"/>
  <c r="N18" i="100"/>
  <c r="X59" i="97"/>
  <c r="Z59" i="97" s="1"/>
  <c r="L20" i="78"/>
  <c r="D28" i="78"/>
  <c r="D33" i="82"/>
  <c r="L16" i="82"/>
  <c r="F109" i="66"/>
  <c r="F100" i="66"/>
  <c r="F76" i="66"/>
  <c r="F64" i="66"/>
  <c r="F48" i="66"/>
  <c r="F40" i="66"/>
  <c r="F103" i="66"/>
  <c r="F99" i="66"/>
  <c r="F90" i="66"/>
  <c r="F87" i="66"/>
  <c r="F82" i="66"/>
  <c r="F79" i="66"/>
  <c r="F75" i="66"/>
  <c r="F70" i="66"/>
  <c r="F63" i="66"/>
  <c r="D57" i="66"/>
  <c r="F55" i="66"/>
  <c r="F47" i="66"/>
  <c r="F39" i="66"/>
  <c r="F107" i="66"/>
  <c r="F102" i="66"/>
  <c r="F74" i="66"/>
  <c r="F62" i="66"/>
  <c r="F54" i="66"/>
  <c r="F46" i="66"/>
  <c r="F110" i="66"/>
  <c r="F105" i="66"/>
  <c r="F96" i="66"/>
  <c r="F92" i="66"/>
  <c r="F89" i="66"/>
  <c r="F84" i="66"/>
  <c r="F81" i="66"/>
  <c r="F73" i="66"/>
  <c r="F69" i="66"/>
  <c r="F61" i="66"/>
  <c r="F53" i="66"/>
  <c r="F45" i="66"/>
  <c r="F114" i="66"/>
  <c r="F72" i="66"/>
  <c r="F68" i="66"/>
  <c r="F59" i="66"/>
  <c r="F52" i="66"/>
  <c r="F44" i="66"/>
  <c r="L12" i="66"/>
  <c r="N12" i="66" s="1"/>
  <c r="F108" i="66"/>
  <c r="F98" i="66"/>
  <c r="F95" i="66"/>
  <c r="F91" i="66"/>
  <c r="F86" i="66"/>
  <c r="F101" i="66"/>
  <c r="F94" i="66"/>
  <c r="F66" i="66"/>
  <c r="F50" i="66"/>
  <c r="F42" i="66"/>
  <c r="F104" i="66"/>
  <c r="F67" i="66"/>
  <c r="F51" i="66"/>
  <c r="F43" i="66"/>
  <c r="F71" i="66"/>
  <c r="F97" i="66"/>
  <c r="F88" i="66"/>
  <c r="F85" i="66"/>
  <c r="F77" i="66"/>
  <c r="F65" i="66"/>
  <c r="F41" i="66"/>
  <c r="F78" i="66"/>
  <c r="F49" i="66"/>
  <c r="F38" i="66"/>
  <c r="F80" i="66"/>
  <c r="F93" i="66"/>
  <c r="F83" i="66"/>
  <c r="F60" i="66"/>
  <c r="N22" i="54"/>
  <c r="H26" i="54"/>
  <c r="H27" i="37"/>
  <c r="L27" i="37" s="1"/>
  <c r="N18" i="37"/>
  <c r="L18" i="37"/>
  <c r="L18" i="40"/>
  <c r="H28" i="96"/>
  <c r="H66" i="97"/>
  <c r="D27" i="100"/>
  <c r="L18" i="100"/>
  <c r="X18" i="100"/>
  <c r="P27" i="100"/>
  <c r="P31" i="98"/>
  <c r="V59" i="97"/>
  <c r="V53" i="97"/>
  <c r="V49" i="97"/>
  <c r="V37" i="97"/>
  <c r="V33" i="97"/>
  <c r="V29" i="97"/>
  <c r="V21" i="97"/>
  <c r="V52" i="97"/>
  <c r="V48" i="97"/>
  <c r="V40" i="97"/>
  <c r="V32" i="97"/>
  <c r="V28" i="97"/>
  <c r="V20" i="97"/>
  <c r="V55" i="97"/>
  <c r="V51" i="97"/>
  <c r="V43" i="97"/>
  <c r="V39" i="97"/>
  <c r="V31" i="97"/>
  <c r="V27" i="97"/>
  <c r="V56" i="97"/>
  <c r="V44" i="97"/>
  <c r="V36" i="97"/>
  <c r="V24" i="97"/>
  <c r="V47" i="97"/>
  <c r="V35" i="97"/>
  <c r="V45" i="97"/>
  <c r="V19" i="97"/>
  <c r="V15" i="97"/>
  <c r="V34" i="97"/>
  <c r="V25" i="97"/>
  <c r="V41" i="97"/>
  <c r="V26" i="97"/>
  <c r="V50" i="97"/>
  <c r="V42" i="97"/>
  <c r="Z12" i="97"/>
  <c r="V57" i="97"/>
  <c r="X12" i="97"/>
  <c r="T17" i="97"/>
  <c r="V64" i="97"/>
  <c r="V60" i="97"/>
  <c r="V46" i="97"/>
  <c r="V23" i="97"/>
  <c r="V54" i="97"/>
  <c r="V38" i="97"/>
  <c r="V30" i="97"/>
  <c r="V22" i="97"/>
  <c r="T24" i="96"/>
  <c r="Z16" i="96"/>
  <c r="T81" i="95"/>
  <c r="Z21" i="95"/>
  <c r="X16" i="93"/>
  <c r="P24" i="93"/>
  <c r="Z18" i="90"/>
  <c r="T47" i="90"/>
  <c r="X16" i="91"/>
  <c r="P46" i="91"/>
  <c r="X18" i="90"/>
  <c r="P47" i="90"/>
  <c r="T83" i="92"/>
  <c r="F18" i="90"/>
  <c r="V17" i="84"/>
  <c r="T81" i="85"/>
  <c r="V20" i="85"/>
  <c r="H34" i="84"/>
  <c r="L34" i="84" s="1"/>
  <c r="N17" i="84"/>
  <c r="J78" i="85"/>
  <c r="V22" i="78"/>
  <c r="V18" i="78"/>
  <c r="V17" i="78"/>
  <c r="V30" i="78"/>
  <c r="V24" i="78"/>
  <c r="V16" i="78"/>
  <c r="V23" i="78"/>
  <c r="T20" i="78"/>
  <c r="V20" i="78" s="1"/>
  <c r="V26" i="78"/>
  <c r="Z12" i="78"/>
  <c r="L78" i="79"/>
  <c r="L20" i="79"/>
  <c r="D81" i="79"/>
  <c r="L17" i="74"/>
  <c r="D44" i="74"/>
  <c r="T70" i="73"/>
  <c r="X20" i="76"/>
  <c r="Z20" i="76" s="1"/>
  <c r="T48" i="67"/>
  <c r="R114" i="66"/>
  <c r="R101" i="66"/>
  <c r="R72" i="66"/>
  <c r="R68" i="66"/>
  <c r="R52" i="66"/>
  <c r="R44" i="66"/>
  <c r="X12" i="66"/>
  <c r="R104" i="66"/>
  <c r="R95" i="66"/>
  <c r="R91" i="66"/>
  <c r="R88" i="66"/>
  <c r="R83" i="66"/>
  <c r="R80" i="66"/>
  <c r="R71" i="66"/>
  <c r="R67" i="66"/>
  <c r="R60" i="66"/>
  <c r="R51" i="66"/>
  <c r="R43" i="66"/>
  <c r="R109" i="66"/>
  <c r="R94" i="66"/>
  <c r="R66" i="66"/>
  <c r="R50" i="66"/>
  <c r="R42" i="66"/>
  <c r="R97" i="66"/>
  <c r="R93" i="66"/>
  <c r="R90" i="66"/>
  <c r="R85" i="66"/>
  <c r="R82" i="66"/>
  <c r="R77" i="66"/>
  <c r="R70" i="66"/>
  <c r="R65" i="66"/>
  <c r="P57" i="66"/>
  <c r="R49" i="66"/>
  <c r="R41" i="66"/>
  <c r="R107" i="66"/>
  <c r="R100" i="66"/>
  <c r="R76" i="66"/>
  <c r="R64" i="66"/>
  <c r="R48" i="66"/>
  <c r="R40" i="66"/>
  <c r="R110" i="66"/>
  <c r="R103" i="66"/>
  <c r="R99" i="66"/>
  <c r="R96" i="66"/>
  <c r="R92" i="66"/>
  <c r="R87" i="66"/>
  <c r="R102" i="66"/>
  <c r="R74" i="66"/>
  <c r="R62" i="66"/>
  <c r="R59" i="66"/>
  <c r="R54" i="66"/>
  <c r="R46" i="66"/>
  <c r="R78" i="66"/>
  <c r="R38" i="66"/>
  <c r="R98" i="66"/>
  <c r="R89" i="66"/>
  <c r="R86" i="66"/>
  <c r="R81" i="66"/>
  <c r="R79" i="66"/>
  <c r="R75" i="66"/>
  <c r="R63" i="66"/>
  <c r="R55" i="66"/>
  <c r="R47" i="66"/>
  <c r="R39" i="66"/>
  <c r="R69" i="66"/>
  <c r="R61" i="66"/>
  <c r="R45" i="66"/>
  <c r="R84" i="66"/>
  <c r="R73" i="66"/>
  <c r="R53" i="66"/>
  <c r="R105" i="66"/>
  <c r="R108" i="66"/>
  <c r="H48" i="67"/>
  <c r="N21" i="67"/>
  <c r="P67" i="58"/>
  <c r="X16" i="58"/>
  <c r="V74" i="64"/>
  <c r="V70" i="64"/>
  <c r="V66" i="64"/>
  <c r="V58" i="64"/>
  <c r="V54" i="64"/>
  <c r="V30" i="64"/>
  <c r="V83" i="64"/>
  <c r="V77" i="64"/>
  <c r="V69" i="64"/>
  <c r="V57" i="64"/>
  <c r="V49" i="64"/>
  <c r="V45" i="64"/>
  <c r="V41" i="64"/>
  <c r="V37" i="64"/>
  <c r="V29" i="64"/>
  <c r="V76" i="64"/>
  <c r="V60" i="64"/>
  <c r="V48" i="64"/>
  <c r="V44" i="64"/>
  <c r="V36" i="64"/>
  <c r="V28" i="64"/>
  <c r="Z12" i="64"/>
  <c r="V59" i="64"/>
  <c r="V51" i="64"/>
  <c r="V47" i="64"/>
  <c r="V43" i="64"/>
  <c r="V35" i="64"/>
  <c r="V27" i="64"/>
  <c r="V62" i="64"/>
  <c r="V50" i="64"/>
  <c r="V46" i="64"/>
  <c r="V42" i="64"/>
  <c r="V34" i="64"/>
  <c r="V79" i="64"/>
  <c r="V73" i="64"/>
  <c r="V65" i="64"/>
  <c r="V61" i="64"/>
  <c r="V53" i="64"/>
  <c r="V33" i="64"/>
  <c r="V72" i="64"/>
  <c r="V68" i="64"/>
  <c r="V64" i="64"/>
  <c r="V56" i="64"/>
  <c r="V52" i="64"/>
  <c r="T39" i="64"/>
  <c r="V39" i="64" s="1"/>
  <c r="V32" i="64"/>
  <c r="V71" i="64"/>
  <c r="V67" i="64"/>
  <c r="V31" i="64"/>
  <c r="V55" i="64"/>
  <c r="V63" i="64"/>
  <c r="V75" i="64"/>
  <c r="Z16" i="59"/>
  <c r="T52" i="59"/>
  <c r="T44" i="61"/>
  <c r="Z16" i="61"/>
  <c r="H59" i="57"/>
  <c r="N16" i="57"/>
  <c r="D27" i="50"/>
  <c r="L18" i="50"/>
  <c r="F93" i="51"/>
  <c r="F88" i="51"/>
  <c r="F79" i="51"/>
  <c r="F76" i="51"/>
  <c r="F56" i="51"/>
  <c r="F40" i="51"/>
  <c r="F35" i="51"/>
  <c r="F97" i="51"/>
  <c r="F75" i="51"/>
  <c r="F70" i="51"/>
  <c r="F67" i="51"/>
  <c r="F62" i="51"/>
  <c r="F55" i="51"/>
  <c r="D49" i="51"/>
  <c r="F47" i="51"/>
  <c r="F39" i="51"/>
  <c r="F91" i="51"/>
  <c r="F85" i="51"/>
  <c r="F81" i="51"/>
  <c r="F78" i="51"/>
  <c r="F66" i="51"/>
  <c r="F54" i="51"/>
  <c r="F46" i="51"/>
  <c r="F38" i="51"/>
  <c r="F72" i="51"/>
  <c r="F69" i="51"/>
  <c r="F65" i="51"/>
  <c r="F61" i="51"/>
  <c r="F53" i="51"/>
  <c r="F45" i="51"/>
  <c r="F37" i="51"/>
  <c r="F87" i="51"/>
  <c r="F84" i="51"/>
  <c r="F80" i="51"/>
  <c r="F64" i="51"/>
  <c r="F60" i="51"/>
  <c r="F51" i="51"/>
  <c r="F44" i="51"/>
  <c r="F36" i="51"/>
  <c r="L12" i="51"/>
  <c r="N12" i="51" s="1"/>
  <c r="F92" i="51"/>
  <c r="F83" i="51"/>
  <c r="F74" i="51"/>
  <c r="F71" i="51"/>
  <c r="F63" i="51"/>
  <c r="F59" i="51"/>
  <c r="F43" i="51"/>
  <c r="F86" i="51"/>
  <c r="F82" i="51"/>
  <c r="F77" i="51"/>
  <c r="F58" i="51"/>
  <c r="F42" i="51"/>
  <c r="F90" i="51"/>
  <c r="F52" i="51"/>
  <c r="F41" i="51"/>
  <c r="F57" i="51"/>
  <c r="F68" i="51"/>
  <c r="F73" i="51"/>
  <c r="X18" i="50"/>
  <c r="P27" i="50"/>
  <c r="J59" i="48"/>
  <c r="J97" i="51"/>
  <c r="J91" i="51"/>
  <c r="J85" i="51"/>
  <c r="J81" i="51"/>
  <c r="J75" i="51"/>
  <c r="J67" i="51"/>
  <c r="J55" i="51"/>
  <c r="J47" i="51"/>
  <c r="J39" i="51"/>
  <c r="J78" i="51"/>
  <c r="J72" i="51"/>
  <c r="J66" i="51"/>
  <c r="J54" i="51"/>
  <c r="J46" i="51"/>
  <c r="J38" i="51"/>
  <c r="J87" i="51"/>
  <c r="J69" i="51"/>
  <c r="J65" i="51"/>
  <c r="J61" i="51"/>
  <c r="J53" i="51"/>
  <c r="J51" i="51"/>
  <c r="J45" i="51"/>
  <c r="J37" i="51"/>
  <c r="J92" i="51"/>
  <c r="J84" i="51"/>
  <c r="J80" i="51"/>
  <c r="J74" i="51"/>
  <c r="J64" i="51"/>
  <c r="J60" i="51"/>
  <c r="J44" i="51"/>
  <c r="J36" i="51"/>
  <c r="J83" i="51"/>
  <c r="J77" i="51"/>
  <c r="J71" i="51"/>
  <c r="J63" i="51"/>
  <c r="J59" i="51"/>
  <c r="J43" i="51"/>
  <c r="J90" i="51"/>
  <c r="J86" i="51"/>
  <c r="J82" i="51"/>
  <c r="J68" i="51"/>
  <c r="J58" i="51"/>
  <c r="J52" i="51"/>
  <c r="J42" i="51"/>
  <c r="J93" i="51"/>
  <c r="J79" i="51"/>
  <c r="J73" i="51"/>
  <c r="J57" i="51"/>
  <c r="J49" i="51"/>
  <c r="J41" i="51"/>
  <c r="J35" i="51"/>
  <c r="J56" i="51"/>
  <c r="H49" i="51"/>
  <c r="J62" i="51"/>
  <c r="J76" i="51"/>
  <c r="J88" i="51"/>
  <c r="J70" i="51"/>
  <c r="J40" i="51"/>
  <c r="P31" i="47"/>
  <c r="Z105" i="36"/>
  <c r="H62" i="48"/>
  <c r="T27" i="44"/>
  <c r="Z18" i="44"/>
  <c r="Z27" i="46"/>
  <c r="T31" i="46"/>
  <c r="H27" i="31"/>
  <c r="N18" i="31"/>
  <c r="P31" i="31"/>
  <c r="T80" i="33"/>
  <c r="Z30" i="33"/>
  <c r="X82" i="30"/>
  <c r="P155" i="30"/>
  <c r="H27" i="26"/>
  <c r="N18" i="26"/>
  <c r="L18" i="26"/>
  <c r="D27" i="26"/>
  <c r="L18" i="20"/>
  <c r="D27" i="20"/>
  <c r="N233" i="18"/>
  <c r="L18" i="23"/>
  <c r="D27" i="23"/>
  <c r="X233" i="18"/>
  <c r="Z233" i="18" s="1"/>
  <c r="F120" i="15"/>
  <c r="N211" i="15"/>
  <c r="J235" i="18"/>
  <c r="J223" i="18"/>
  <c r="J219" i="18"/>
  <c r="J213" i="18"/>
  <c r="J205" i="18"/>
  <c r="J201" i="18"/>
  <c r="J191" i="18"/>
  <c r="J238" i="18"/>
  <c r="J222" i="18"/>
  <c r="J218" i="18"/>
  <c r="J196" i="18"/>
  <c r="J190" i="18"/>
  <c r="J176" i="18"/>
  <c r="J164" i="18"/>
  <c r="J158" i="18"/>
  <c r="J154" i="18"/>
  <c r="J146" i="18"/>
  <c r="J144" i="18"/>
  <c r="J138" i="18"/>
  <c r="J130" i="18"/>
  <c r="J233" i="18"/>
  <c r="J229" i="18"/>
  <c r="J225" i="18"/>
  <c r="J217" i="18"/>
  <c r="J209" i="18"/>
  <c r="J193" i="18"/>
  <c r="J187" i="18"/>
  <c r="J181" i="18"/>
  <c r="J169" i="18"/>
  <c r="J157" i="18"/>
  <c r="J153" i="18"/>
  <c r="J236" i="18"/>
  <c r="J228" i="18"/>
  <c r="J216" i="18"/>
  <c r="J212" i="18"/>
  <c r="J208" i="18"/>
  <c r="J204" i="18"/>
  <c r="J200" i="18"/>
  <c r="J184" i="18"/>
  <c r="J178" i="18"/>
  <c r="J172" i="18"/>
  <c r="J166" i="18"/>
  <c r="J152" i="18"/>
  <c r="J239" i="18"/>
  <c r="J231" i="18"/>
  <c r="J227" i="18"/>
  <c r="J221" i="18"/>
  <c r="J215" i="18"/>
  <c r="J211" i="18"/>
  <c r="J207" i="18"/>
  <c r="J203" i="18"/>
  <c r="J199" i="18"/>
  <c r="J195" i="18"/>
  <c r="J189" i="18"/>
  <c r="J234" i="18"/>
  <c r="J224" i="18"/>
  <c r="J214" i="18"/>
  <c r="J206" i="18"/>
  <c r="J202" i="18"/>
  <c r="J198" i="18"/>
  <c r="J192" i="18"/>
  <c r="J186" i="18"/>
  <c r="J180" i="18"/>
  <c r="J174" i="18"/>
  <c r="J168" i="18"/>
  <c r="J162" i="18"/>
  <c r="J156" i="18"/>
  <c r="J150" i="18"/>
  <c r="J134" i="18"/>
  <c r="J126" i="18"/>
  <c r="J243" i="18"/>
  <c r="J237" i="18"/>
  <c r="J197" i="18"/>
  <c r="J177" i="18"/>
  <c r="J165" i="18"/>
  <c r="J161" i="18"/>
  <c r="J149" i="18"/>
  <c r="J230" i="18"/>
  <c r="J226" i="18"/>
  <c r="J220" i="18"/>
  <c r="J210" i="18"/>
  <c r="J194" i="18"/>
  <c r="J188" i="18"/>
  <c r="J182" i="18"/>
  <c r="J170" i="18"/>
  <c r="J160" i="18"/>
  <c r="J148" i="18"/>
  <c r="J140" i="18"/>
  <c r="J173" i="18"/>
  <c r="J120" i="18"/>
  <c r="J112" i="18"/>
  <c r="J104" i="18"/>
  <c r="J96" i="18"/>
  <c r="J185" i="18"/>
  <c r="J163" i="18"/>
  <c r="J145" i="18"/>
  <c r="J136" i="18"/>
  <c r="J135" i="18"/>
  <c r="J119" i="18"/>
  <c r="J111" i="18"/>
  <c r="J103" i="18"/>
  <c r="J95" i="18"/>
  <c r="J151" i="18"/>
  <c r="J118" i="18"/>
  <c r="J110" i="18"/>
  <c r="J102" i="18"/>
  <c r="J94" i="18"/>
  <c r="J167" i="18"/>
  <c r="J159" i="18"/>
  <c r="J137" i="18"/>
  <c r="J117" i="18"/>
  <c r="J109" i="18"/>
  <c r="J101" i="18"/>
  <c r="J125" i="18"/>
  <c r="J124" i="18"/>
  <c r="J116" i="18"/>
  <c r="J108" i="18"/>
  <c r="J100" i="18"/>
  <c r="N12" i="18"/>
  <c r="J179" i="18"/>
  <c r="J175" i="18"/>
  <c r="J171" i="18"/>
  <c r="J139" i="18"/>
  <c r="J129" i="18"/>
  <c r="J128" i="18"/>
  <c r="J127" i="18"/>
  <c r="J123" i="18"/>
  <c r="J115" i="18"/>
  <c r="J107" i="18"/>
  <c r="J99" i="18"/>
  <c r="J93" i="18"/>
  <c r="J183" i="18"/>
  <c r="J155" i="18"/>
  <c r="J147" i="18"/>
  <c r="J132" i="18"/>
  <c r="J131" i="18"/>
  <c r="J122" i="18"/>
  <c r="J114" i="18"/>
  <c r="J106" i="18"/>
  <c r="J98" i="18"/>
  <c r="H142" i="18"/>
  <c r="J142" i="18" s="1"/>
  <c r="J133" i="18"/>
  <c r="J121" i="18"/>
  <c r="J113" i="18"/>
  <c r="J105" i="18"/>
  <c r="J97" i="18"/>
  <c r="L18" i="16"/>
  <c r="D27" i="16"/>
  <c r="X18" i="10"/>
  <c r="P27" i="10"/>
  <c r="Z16" i="6"/>
  <c r="T22" i="6"/>
  <c r="X18" i="16"/>
  <c r="T27" i="7"/>
  <c r="X27" i="7" s="1"/>
  <c r="Z18" i="7"/>
  <c r="H92" i="9"/>
  <c r="N88" i="9"/>
  <c r="P26" i="6"/>
  <c r="X22" i="6"/>
  <c r="Z31" i="40" l="1"/>
  <c r="H36" i="20"/>
  <c r="N36" i="20" s="1"/>
  <c r="P31" i="37"/>
  <c r="P36" i="37" s="1"/>
  <c r="X36" i="37" s="1"/>
  <c r="Z31" i="11"/>
  <c r="T36" i="32"/>
  <c r="Z36" i="32" s="1"/>
  <c r="T36" i="40"/>
  <c r="Z36" i="40" s="1"/>
  <c r="N31" i="22"/>
  <c r="N31" i="10"/>
  <c r="N27" i="44"/>
  <c r="H31" i="44"/>
  <c r="N27" i="49"/>
  <c r="H31" i="49"/>
  <c r="H31" i="8"/>
  <c r="N27" i="8"/>
  <c r="H31" i="4"/>
  <c r="N27" i="4"/>
  <c r="N27" i="32"/>
  <c r="H31" i="32"/>
  <c r="T85" i="85"/>
  <c r="V81" i="85"/>
  <c r="D31" i="100"/>
  <c r="L27" i="100"/>
  <c r="T31" i="50"/>
  <c r="Z27" i="50"/>
  <c r="D79" i="81"/>
  <c r="L79" i="81" s="1"/>
  <c r="L76" i="81"/>
  <c r="T50" i="91"/>
  <c r="D31" i="25"/>
  <c r="L27" i="25"/>
  <c r="N24" i="36"/>
  <c r="H110" i="36"/>
  <c r="D41" i="84"/>
  <c r="X27" i="4"/>
  <c r="P31" i="4"/>
  <c r="D31" i="16"/>
  <c r="L27" i="16"/>
  <c r="H66" i="48"/>
  <c r="N62" i="48"/>
  <c r="J62" i="48"/>
  <c r="T48" i="61"/>
  <c r="T73" i="73"/>
  <c r="V70" i="73"/>
  <c r="T85" i="95"/>
  <c r="D112" i="66"/>
  <c r="L57" i="66"/>
  <c r="N57" i="66" s="1"/>
  <c r="N27" i="100"/>
  <c r="H31" i="100"/>
  <c r="Z27" i="16"/>
  <c r="T31" i="16"/>
  <c r="X31" i="16" s="1"/>
  <c r="H115" i="39"/>
  <c r="J111" i="39"/>
  <c r="P70" i="73"/>
  <c r="X66" i="73"/>
  <c r="Z66" i="73" s="1"/>
  <c r="P31" i="44"/>
  <c r="X27" i="44"/>
  <c r="P85" i="95"/>
  <c r="X81" i="95"/>
  <c r="Z81" i="95" s="1"/>
  <c r="R81" i="95"/>
  <c r="T221" i="15"/>
  <c r="V217" i="15"/>
  <c r="T36" i="49"/>
  <c r="Z36" i="49" s="1"/>
  <c r="Z31" i="49"/>
  <c r="P59" i="59"/>
  <c r="X56" i="59"/>
  <c r="D85" i="64"/>
  <c r="F81" i="64"/>
  <c r="H31" i="99"/>
  <c r="N27" i="99"/>
  <c r="X259" i="3"/>
  <c r="Z259" i="3" s="1"/>
  <c r="P263" i="3"/>
  <c r="R259" i="3"/>
  <c r="D31" i="8"/>
  <c r="L27" i="8"/>
  <c r="D110" i="36"/>
  <c r="L24" i="36"/>
  <c r="P102" i="62"/>
  <c r="X98" i="62"/>
  <c r="Z98" i="62" s="1"/>
  <c r="T77" i="70"/>
  <c r="H31" i="93"/>
  <c r="N31" i="93" s="1"/>
  <c r="N28" i="93"/>
  <c r="T80" i="94"/>
  <c r="Z21" i="94"/>
  <c r="D26" i="6"/>
  <c r="L22" i="6"/>
  <c r="P48" i="67"/>
  <c r="X21" i="67"/>
  <c r="Z21" i="67" s="1"/>
  <c r="D51" i="90"/>
  <c r="F47" i="90"/>
  <c r="H155" i="30"/>
  <c r="P114" i="36"/>
  <c r="R110" i="36"/>
  <c r="H94" i="45"/>
  <c r="J90" i="45"/>
  <c r="H85" i="79"/>
  <c r="T38" i="84"/>
  <c r="V34" i="84"/>
  <c r="D31" i="13"/>
  <c r="L27" i="13"/>
  <c r="P36" i="52"/>
  <c r="X36" i="52" s="1"/>
  <c r="X31" i="52"/>
  <c r="T95" i="51"/>
  <c r="V49" i="51"/>
  <c r="P45" i="83"/>
  <c r="L82" i="30"/>
  <c r="N82" i="30" s="1"/>
  <c r="D31" i="34"/>
  <c r="L27" i="34"/>
  <c r="D31" i="43"/>
  <c r="L27" i="43"/>
  <c r="L27" i="41"/>
  <c r="D31" i="41"/>
  <c r="D31" i="49"/>
  <c r="L27" i="49"/>
  <c r="L66" i="86"/>
  <c r="N66" i="86" s="1"/>
  <c r="D70" i="86"/>
  <c r="Z27" i="7"/>
  <c r="T31" i="7"/>
  <c r="X31" i="7" s="1"/>
  <c r="D48" i="74"/>
  <c r="L44" i="74"/>
  <c r="T28" i="96"/>
  <c r="T48" i="74"/>
  <c r="D50" i="91"/>
  <c r="L46" i="91"/>
  <c r="N46" i="91" s="1"/>
  <c r="T33" i="75"/>
  <c r="Z29" i="75"/>
  <c r="V29" i="75"/>
  <c r="T115" i="39"/>
  <c r="V111" i="39"/>
  <c r="P29" i="87"/>
  <c r="P31" i="6"/>
  <c r="X26" i="6"/>
  <c r="T84" i="33"/>
  <c r="V80" i="33"/>
  <c r="H95" i="9"/>
  <c r="L27" i="26"/>
  <c r="D31" i="26"/>
  <c r="P36" i="31"/>
  <c r="P112" i="66"/>
  <c r="X57" i="66"/>
  <c r="Z57" i="66" s="1"/>
  <c r="H95" i="51"/>
  <c r="T56" i="59"/>
  <c r="P50" i="91"/>
  <c r="X46" i="91"/>
  <c r="Z46" i="91" s="1"/>
  <c r="P36" i="16"/>
  <c r="Z27" i="20"/>
  <c r="T31" i="20"/>
  <c r="H105" i="77"/>
  <c r="Z66" i="86"/>
  <c r="T70" i="86"/>
  <c r="H31" i="17"/>
  <c r="L31" i="17" s="1"/>
  <c r="N27" i="17"/>
  <c r="T102" i="42"/>
  <c r="V23" i="42"/>
  <c r="H56" i="59"/>
  <c r="D95" i="71"/>
  <c r="L49" i="71"/>
  <c r="P76" i="81"/>
  <c r="X72" i="81"/>
  <c r="V17" i="87"/>
  <c r="H34" i="89"/>
  <c r="H81" i="95"/>
  <c r="L81" i="95" s="1"/>
  <c r="N21" i="95"/>
  <c r="D31" i="29"/>
  <c r="L27" i="29"/>
  <c r="T38" i="65"/>
  <c r="Z34" i="65"/>
  <c r="P77" i="70"/>
  <c r="X28" i="70"/>
  <c r="Z28" i="70" s="1"/>
  <c r="H31" i="98"/>
  <c r="N27" i="98"/>
  <c r="T112" i="27"/>
  <c r="Z27" i="31"/>
  <c r="T31" i="31"/>
  <c r="X31" i="31" s="1"/>
  <c r="D29" i="75"/>
  <c r="L23" i="75"/>
  <c r="L30" i="55"/>
  <c r="N30" i="55" s="1"/>
  <c r="D34" i="55"/>
  <c r="H225" i="12"/>
  <c r="X24" i="36"/>
  <c r="H31" i="52"/>
  <c r="N27" i="52"/>
  <c r="P33" i="75"/>
  <c r="X29" i="75"/>
  <c r="R29" i="75"/>
  <c r="D85" i="85"/>
  <c r="L81" i="85"/>
  <c r="F81" i="85"/>
  <c r="P245" i="18"/>
  <c r="X241" i="18"/>
  <c r="Z241" i="18" s="1"/>
  <c r="R241" i="18"/>
  <c r="H90" i="24"/>
  <c r="H31" i="28"/>
  <c r="N27" i="28"/>
  <c r="D94" i="45"/>
  <c r="L90" i="45"/>
  <c r="N90" i="45" s="1"/>
  <c r="F90" i="45"/>
  <c r="H51" i="61"/>
  <c r="L48" i="61"/>
  <c r="N48" i="61" s="1"/>
  <c r="P81" i="64"/>
  <c r="X39" i="64"/>
  <c r="Z39" i="64" s="1"/>
  <c r="H87" i="94"/>
  <c r="J84" i="94"/>
  <c r="T31" i="14"/>
  <c r="X31" i="14" s="1"/>
  <c r="Z27" i="14"/>
  <c r="P31" i="20"/>
  <c r="X27" i="20"/>
  <c r="H34" i="55"/>
  <c r="H41" i="65"/>
  <c r="X21" i="92"/>
  <c r="Z21" i="92" s="1"/>
  <c r="P79" i="92"/>
  <c r="D31" i="99"/>
  <c r="L27" i="99"/>
  <c r="L27" i="7"/>
  <c r="D31" i="7"/>
  <c r="T81" i="64"/>
  <c r="T36" i="88"/>
  <c r="X36" i="88" s="1"/>
  <c r="Z27" i="8"/>
  <c r="T31" i="8"/>
  <c r="D31" i="23"/>
  <c r="L27" i="23"/>
  <c r="H31" i="31"/>
  <c r="N27" i="31"/>
  <c r="P31" i="50"/>
  <c r="X27" i="50"/>
  <c r="T62" i="97"/>
  <c r="Z17" i="97"/>
  <c r="X17" i="97"/>
  <c r="H31" i="54"/>
  <c r="N26" i="54"/>
  <c r="D37" i="82"/>
  <c r="L33" i="82"/>
  <c r="N33" i="82" s="1"/>
  <c r="X27" i="5"/>
  <c r="P31" i="5"/>
  <c r="H31" i="11"/>
  <c r="N27" i="11"/>
  <c r="L27" i="11"/>
  <c r="Z27" i="26"/>
  <c r="T31" i="26"/>
  <c r="P78" i="76"/>
  <c r="R75" i="76"/>
  <c r="Z20" i="79"/>
  <c r="T81" i="79"/>
  <c r="X20" i="79"/>
  <c r="P36" i="99"/>
  <c r="T263" i="3"/>
  <c r="V259" i="3"/>
  <c r="P92" i="9"/>
  <c r="X88" i="9"/>
  <c r="Z88" i="9" s="1"/>
  <c r="L27" i="31"/>
  <c r="D31" i="31"/>
  <c r="P53" i="60"/>
  <c r="X50" i="60"/>
  <c r="H116" i="66"/>
  <c r="J112" i="66"/>
  <c r="V45" i="77"/>
  <c r="N71" i="76"/>
  <c r="H75" i="76"/>
  <c r="Z27" i="98"/>
  <c r="T31" i="98"/>
  <c r="X31" i="98" s="1"/>
  <c r="T90" i="24"/>
  <c r="V86" i="24"/>
  <c r="P115" i="39"/>
  <c r="X111" i="39"/>
  <c r="Z111" i="39" s="1"/>
  <c r="R111" i="39"/>
  <c r="H137" i="69"/>
  <c r="J82" i="69"/>
  <c r="D39" i="88"/>
  <c r="L36" i="88"/>
  <c r="X80" i="94"/>
  <c r="P84" i="94"/>
  <c r="R80" i="94"/>
  <c r="N27" i="25"/>
  <c r="H31" i="25"/>
  <c r="P26" i="54"/>
  <c r="X22" i="54"/>
  <c r="L66" i="48"/>
  <c r="D69" i="48"/>
  <c r="F66" i="48"/>
  <c r="H67" i="56"/>
  <c r="D75" i="76"/>
  <c r="L71" i="76"/>
  <c r="F71" i="76"/>
  <c r="Z72" i="81"/>
  <c r="T76" i="81"/>
  <c r="L82" i="69"/>
  <c r="N82" i="69" s="1"/>
  <c r="D36" i="37"/>
  <c r="T42" i="83"/>
  <c r="Z38" i="83"/>
  <c r="D85" i="95"/>
  <c r="F81" i="95"/>
  <c r="T225" i="12"/>
  <c r="Z125" i="12"/>
  <c r="N27" i="13"/>
  <c r="H31" i="13"/>
  <c r="P88" i="21"/>
  <c r="X84" i="21"/>
  <c r="R84" i="21"/>
  <c r="P31" i="26"/>
  <c r="X27" i="26"/>
  <c r="X57" i="27"/>
  <c r="Z57" i="27" s="1"/>
  <c r="P94" i="45"/>
  <c r="R90" i="45"/>
  <c r="Z27" i="47"/>
  <c r="T31" i="47"/>
  <c r="X31" i="47" s="1"/>
  <c r="T50" i="60"/>
  <c r="Z46" i="60"/>
  <c r="D48" i="67"/>
  <c r="L21" i="67"/>
  <c r="N53" i="60"/>
  <c r="T31" i="28"/>
  <c r="X31" i="28" s="1"/>
  <c r="Z27" i="28"/>
  <c r="P221" i="15"/>
  <c r="X217" i="15"/>
  <c r="Z217" i="15" s="1"/>
  <c r="R217" i="15"/>
  <c r="L27" i="47"/>
  <c r="D31" i="47"/>
  <c r="N27" i="26"/>
  <c r="H31" i="26"/>
  <c r="D95" i="51"/>
  <c r="L49" i="51"/>
  <c r="N49" i="51" s="1"/>
  <c r="R57" i="66"/>
  <c r="T51" i="90"/>
  <c r="Z47" i="90"/>
  <c r="T26" i="6"/>
  <c r="Z22" i="6"/>
  <c r="P159" i="30"/>
  <c r="R155" i="30"/>
  <c r="T36" i="46"/>
  <c r="Z36" i="46" s="1"/>
  <c r="Z31" i="46"/>
  <c r="F49" i="51"/>
  <c r="D31" i="50"/>
  <c r="L27" i="50"/>
  <c r="P71" i="58"/>
  <c r="X67" i="58"/>
  <c r="Z67" i="58" s="1"/>
  <c r="T52" i="67"/>
  <c r="D85" i="79"/>
  <c r="L81" i="79"/>
  <c r="N81" i="79" s="1"/>
  <c r="F81" i="79"/>
  <c r="H69" i="97"/>
  <c r="J66" i="97"/>
  <c r="F57" i="66"/>
  <c r="L28" i="78"/>
  <c r="D32" i="78"/>
  <c r="F28" i="78"/>
  <c r="P31" i="19"/>
  <c r="X27" i="19"/>
  <c r="X49" i="51"/>
  <c r="Z49" i="51" s="1"/>
  <c r="P95" i="51"/>
  <c r="P70" i="56"/>
  <c r="D67" i="56"/>
  <c r="L63" i="56"/>
  <c r="N63" i="56" s="1"/>
  <c r="H74" i="58"/>
  <c r="T112" i="66"/>
  <c r="V57" i="66"/>
  <c r="Z71" i="76"/>
  <c r="T75" i="76"/>
  <c r="X75" i="76" s="1"/>
  <c r="P88" i="79"/>
  <c r="R85" i="79"/>
  <c r="D31" i="5"/>
  <c r="L27" i="5"/>
  <c r="H31" i="23"/>
  <c r="N27" i="23"/>
  <c r="H53" i="91"/>
  <c r="T34" i="89"/>
  <c r="X30" i="89"/>
  <c r="Z30" i="89" s="1"/>
  <c r="P48" i="74"/>
  <c r="X44" i="74"/>
  <c r="Z44" i="74" s="1"/>
  <c r="Z27" i="21"/>
  <c r="T84" i="21"/>
  <c r="T31" i="19"/>
  <c r="Z27" i="19"/>
  <c r="H31" i="29"/>
  <c r="N27" i="29"/>
  <c r="D34" i="89"/>
  <c r="L30" i="89"/>
  <c r="N30" i="89" s="1"/>
  <c r="P36" i="32"/>
  <c r="X31" i="32"/>
  <c r="P31" i="53"/>
  <c r="X27" i="53"/>
  <c r="T245" i="18"/>
  <c r="V241" i="18"/>
  <c r="D95" i="9"/>
  <c r="L95" i="9" s="1"/>
  <c r="L92" i="9"/>
  <c r="N92" i="9" s="1"/>
  <c r="J125" i="12"/>
  <c r="P36" i="14"/>
  <c r="N27" i="19"/>
  <c r="H31" i="19"/>
  <c r="L31" i="19" s="1"/>
  <c r="P31" i="38"/>
  <c r="X27" i="38"/>
  <c r="D31" i="38"/>
  <c r="L27" i="38"/>
  <c r="L71" i="58"/>
  <c r="N71" i="58" s="1"/>
  <c r="D141" i="69"/>
  <c r="L137" i="69"/>
  <c r="F137" i="69"/>
  <c r="H259" i="3"/>
  <c r="N151" i="3"/>
  <c r="J151" i="3"/>
  <c r="D31" i="22"/>
  <c r="L27" i="22"/>
  <c r="D106" i="42"/>
  <c r="L102" i="42"/>
  <c r="N102" i="42" s="1"/>
  <c r="F102" i="42"/>
  <c r="H36" i="80"/>
  <c r="N32" i="80"/>
  <c r="L27" i="17"/>
  <c r="L27" i="19"/>
  <c r="D31" i="32"/>
  <c r="L27" i="32"/>
  <c r="D31" i="44"/>
  <c r="L27" i="44"/>
  <c r="H79" i="92"/>
  <c r="N21" i="92"/>
  <c r="X66" i="86"/>
  <c r="P28" i="96"/>
  <c r="X24" i="96"/>
  <c r="Z24" i="96" s="1"/>
  <c r="N27" i="14"/>
  <c r="H31" i="14"/>
  <c r="D28" i="96"/>
  <c r="L24" i="96"/>
  <c r="N24" i="96" s="1"/>
  <c r="P36" i="47"/>
  <c r="T28" i="78"/>
  <c r="H31" i="47"/>
  <c r="N27" i="47"/>
  <c r="D66" i="97"/>
  <c r="L62" i="97"/>
  <c r="N62" i="97" s="1"/>
  <c r="F62" i="97"/>
  <c r="D70" i="73"/>
  <c r="D31" i="10"/>
  <c r="L27" i="10"/>
  <c r="L77" i="70"/>
  <c r="N77" i="70" s="1"/>
  <c r="D81" i="70"/>
  <c r="F77" i="70"/>
  <c r="L27" i="35"/>
  <c r="D31" i="35"/>
  <c r="P63" i="57"/>
  <c r="X59" i="57"/>
  <c r="Z59" i="57" s="1"/>
  <c r="D56" i="59"/>
  <c r="L52" i="59"/>
  <c r="N52" i="59" s="1"/>
  <c r="T86" i="92"/>
  <c r="V83" i="92"/>
  <c r="P28" i="93"/>
  <c r="X24" i="93"/>
  <c r="V17" i="97"/>
  <c r="P36" i="98"/>
  <c r="X27" i="11"/>
  <c r="P31" i="11"/>
  <c r="P31" i="13"/>
  <c r="X27" i="13"/>
  <c r="Z27" i="34"/>
  <c r="T31" i="34"/>
  <c r="D36" i="40"/>
  <c r="D31" i="52"/>
  <c r="L27" i="52"/>
  <c r="T34" i="55"/>
  <c r="Z30" i="55"/>
  <c r="X30" i="55"/>
  <c r="L59" i="57"/>
  <c r="D63" i="57"/>
  <c r="H95" i="71"/>
  <c r="N49" i="71"/>
  <c r="T39" i="80"/>
  <c r="T31" i="99"/>
  <c r="X31" i="99" s="1"/>
  <c r="Z27" i="99"/>
  <c r="Z27" i="43"/>
  <c r="T31" i="43"/>
  <c r="P36" i="28"/>
  <c r="N27" i="53"/>
  <c r="H31" i="53"/>
  <c r="T105" i="77"/>
  <c r="Z45" i="77"/>
  <c r="H42" i="83"/>
  <c r="Z17" i="87"/>
  <c r="T25" i="87"/>
  <c r="R69" i="97"/>
  <c r="D36" i="98"/>
  <c r="X27" i="35"/>
  <c r="P31" i="35"/>
  <c r="P90" i="24"/>
  <c r="X86" i="24"/>
  <c r="Z86" i="24" s="1"/>
  <c r="R86" i="24"/>
  <c r="X27" i="29"/>
  <c r="P31" i="29"/>
  <c r="P31" i="43"/>
  <c r="X27" i="43"/>
  <c r="D26" i="54"/>
  <c r="L22" i="54"/>
  <c r="V28" i="70"/>
  <c r="H66" i="73"/>
  <c r="N20" i="73"/>
  <c r="P36" i="80"/>
  <c r="X32" i="80"/>
  <c r="Z32" i="80" s="1"/>
  <c r="D42" i="83"/>
  <c r="L38" i="83"/>
  <c r="N38" i="83" s="1"/>
  <c r="D221" i="15"/>
  <c r="L217" i="15"/>
  <c r="F217" i="15"/>
  <c r="P31" i="25"/>
  <c r="X27" i="25"/>
  <c r="X27" i="22"/>
  <c r="P31" i="22"/>
  <c r="T31" i="29"/>
  <c r="Z27" i="29"/>
  <c r="J24" i="36"/>
  <c r="L74" i="58"/>
  <c r="D38" i="65"/>
  <c r="L34" i="65"/>
  <c r="N34" i="65" s="1"/>
  <c r="N81" i="85"/>
  <c r="H85" i="85"/>
  <c r="J81" i="85"/>
  <c r="X32" i="88"/>
  <c r="Z32" i="88" s="1"/>
  <c r="T95" i="9"/>
  <c r="T90" i="45"/>
  <c r="Z21" i="45"/>
  <c r="T67" i="56"/>
  <c r="Z63" i="56"/>
  <c r="T31" i="53"/>
  <c r="Z27" i="53"/>
  <c r="P137" i="69"/>
  <c r="X82" i="69"/>
  <c r="Z82" i="69" s="1"/>
  <c r="R82" i="69"/>
  <c r="X20" i="78"/>
  <c r="Z20" i="78" s="1"/>
  <c r="P28" i="78"/>
  <c r="H79" i="81"/>
  <c r="N76" i="81"/>
  <c r="H70" i="86"/>
  <c r="D36" i="17"/>
  <c r="D36" i="19"/>
  <c r="Z27" i="22"/>
  <c r="T31" i="22"/>
  <c r="D31" i="28"/>
  <c r="L27" i="28"/>
  <c r="T31" i="38"/>
  <c r="Z27" i="38"/>
  <c r="H31" i="43"/>
  <c r="N27" i="43"/>
  <c r="L53" i="60"/>
  <c r="T141" i="69"/>
  <c r="V137" i="69"/>
  <c r="H81" i="70"/>
  <c r="J77" i="70"/>
  <c r="D105" i="77"/>
  <c r="L45" i="77"/>
  <c r="N45" i="77" s="1"/>
  <c r="P73" i="86"/>
  <c r="L151" i="3"/>
  <c r="P109" i="77"/>
  <c r="X105" i="77"/>
  <c r="R105" i="77"/>
  <c r="H31" i="37"/>
  <c r="N27" i="37"/>
  <c r="T37" i="82"/>
  <c r="Z33" i="82"/>
  <c r="D241" i="18"/>
  <c r="L142" i="18"/>
  <c r="D88" i="21"/>
  <c r="L84" i="21"/>
  <c r="F84" i="21"/>
  <c r="P62" i="48"/>
  <c r="X17" i="48"/>
  <c r="Z17" i="48" s="1"/>
  <c r="P95" i="71"/>
  <c r="X49" i="71"/>
  <c r="P102" i="42"/>
  <c r="X23" i="42"/>
  <c r="Z23" i="42" s="1"/>
  <c r="X27" i="46"/>
  <c r="P31" i="46"/>
  <c r="P116" i="27"/>
  <c r="R112" i="27"/>
  <c r="X27" i="10"/>
  <c r="P31" i="10"/>
  <c r="L27" i="20"/>
  <c r="D31" i="20"/>
  <c r="H63" i="57"/>
  <c r="N59" i="57"/>
  <c r="H52" i="67"/>
  <c r="H31" i="96"/>
  <c r="H48" i="74"/>
  <c r="N44" i="74"/>
  <c r="H40" i="82"/>
  <c r="L17" i="87"/>
  <c r="N17" i="87" s="1"/>
  <c r="D25" i="87"/>
  <c r="P229" i="12"/>
  <c r="X225" i="12"/>
  <c r="R225" i="12"/>
  <c r="X27" i="17"/>
  <c r="P31" i="17"/>
  <c r="X27" i="28"/>
  <c r="H80" i="33"/>
  <c r="Z24" i="36"/>
  <c r="T110" i="36"/>
  <c r="X27" i="34"/>
  <c r="P31" i="34"/>
  <c r="H81" i="64"/>
  <c r="P41" i="65"/>
  <c r="X38" i="65"/>
  <c r="H47" i="90"/>
  <c r="N18" i="90"/>
  <c r="D79" i="92"/>
  <c r="L21" i="92"/>
  <c r="T28" i="93"/>
  <c r="Z24" i="93"/>
  <c r="D31" i="4"/>
  <c r="L27" i="4"/>
  <c r="T31" i="5"/>
  <c r="Z27" i="5"/>
  <c r="H116" i="27"/>
  <c r="J112" i="27"/>
  <c r="N27" i="41"/>
  <c r="H31" i="41"/>
  <c r="P81" i="85"/>
  <c r="X20" i="85"/>
  <c r="Z20" i="85" s="1"/>
  <c r="V21" i="94"/>
  <c r="Z27" i="4"/>
  <c r="T31" i="4"/>
  <c r="Z27" i="10"/>
  <c r="T31" i="10"/>
  <c r="L30" i="33"/>
  <c r="N30" i="33" s="1"/>
  <c r="D31" i="53"/>
  <c r="L27" i="53"/>
  <c r="H32" i="78"/>
  <c r="N28" i="78"/>
  <c r="D36" i="80"/>
  <c r="L32" i="80"/>
  <c r="X17" i="84"/>
  <c r="Z17" i="84" s="1"/>
  <c r="P34" i="84"/>
  <c r="P39" i="88"/>
  <c r="L125" i="12"/>
  <c r="N125" i="12" s="1"/>
  <c r="H88" i="21"/>
  <c r="N84" i="21"/>
  <c r="H217" i="15"/>
  <c r="N120" i="15"/>
  <c r="X27" i="41"/>
  <c r="P31" i="41"/>
  <c r="L27" i="46"/>
  <c r="D31" i="46"/>
  <c r="N27" i="50"/>
  <c r="H31" i="50"/>
  <c r="D263" i="3"/>
  <c r="L259" i="3"/>
  <c r="F259" i="3"/>
  <c r="P84" i="33"/>
  <c r="X80" i="33"/>
  <c r="Z80" i="33" s="1"/>
  <c r="R80" i="33"/>
  <c r="N23" i="75"/>
  <c r="H29" i="75"/>
  <c r="H105" i="62"/>
  <c r="N102" i="62"/>
  <c r="H241" i="18"/>
  <c r="N142" i="18"/>
  <c r="Z27" i="44"/>
  <c r="T31" i="44"/>
  <c r="H38" i="84"/>
  <c r="N34" i="84"/>
  <c r="P51" i="90"/>
  <c r="X47" i="90"/>
  <c r="R47" i="90"/>
  <c r="P31" i="100"/>
  <c r="X27" i="100"/>
  <c r="T31" i="23"/>
  <c r="Z27" i="23"/>
  <c r="H36" i="35"/>
  <c r="N36" i="35" s="1"/>
  <c r="N31" i="35"/>
  <c r="X31" i="37"/>
  <c r="T66" i="57"/>
  <c r="T31" i="100"/>
  <c r="Z27" i="100"/>
  <c r="H31" i="16"/>
  <c r="N27" i="16"/>
  <c r="T155" i="30"/>
  <c r="Z82" i="30"/>
  <c r="R17" i="48"/>
  <c r="X52" i="59"/>
  <c r="Z52" i="59" s="1"/>
  <c r="L39" i="64"/>
  <c r="N39" i="64" s="1"/>
  <c r="P37" i="82"/>
  <c r="X33" i="82"/>
  <c r="N32" i="88"/>
  <c r="H36" i="88"/>
  <c r="D80" i="94"/>
  <c r="L21" i="94"/>
  <c r="N21" i="94" s="1"/>
  <c r="N27" i="40"/>
  <c r="H31" i="40"/>
  <c r="L31" i="40" s="1"/>
  <c r="X27" i="8"/>
  <c r="P31" i="8"/>
  <c r="H106" i="42"/>
  <c r="J102" i="42"/>
  <c r="T66" i="48"/>
  <c r="V62" i="48"/>
  <c r="X44" i="61"/>
  <c r="Z44" i="61" s="1"/>
  <c r="P48" i="61"/>
  <c r="P36" i="49"/>
  <c r="X31" i="49"/>
  <c r="L18" i="90"/>
  <c r="P36" i="7"/>
  <c r="X27" i="23"/>
  <c r="P31" i="23"/>
  <c r="D86" i="24"/>
  <c r="L42" i="24"/>
  <c r="N42" i="24" s="1"/>
  <c r="D84" i="33"/>
  <c r="L80" i="33"/>
  <c r="F80" i="33"/>
  <c r="N27" i="34"/>
  <c r="H31" i="34"/>
  <c r="D111" i="39"/>
  <c r="L31" i="39"/>
  <c r="N31" i="39" s="1"/>
  <c r="T26" i="54"/>
  <c r="Z22" i="54"/>
  <c r="D229" i="12"/>
  <c r="L225" i="12"/>
  <c r="F225" i="12"/>
  <c r="H31" i="5"/>
  <c r="N27" i="5"/>
  <c r="D31" i="14"/>
  <c r="L27" i="14"/>
  <c r="T31" i="25"/>
  <c r="Z27" i="25"/>
  <c r="N27" i="46"/>
  <c r="H31" i="46"/>
  <c r="T105" i="62"/>
  <c r="H32" i="87"/>
  <c r="J29" i="87"/>
  <c r="Z27" i="41"/>
  <c r="T31" i="41"/>
  <c r="H31" i="7"/>
  <c r="N27" i="7"/>
  <c r="T31" i="13"/>
  <c r="Z27" i="13"/>
  <c r="D116" i="27"/>
  <c r="L112" i="27"/>
  <c r="N112" i="27" s="1"/>
  <c r="F112" i="27"/>
  <c r="D159" i="30"/>
  <c r="L155" i="30"/>
  <c r="F155" i="30"/>
  <c r="N27" i="38"/>
  <c r="H31" i="38"/>
  <c r="T95" i="71"/>
  <c r="Z49" i="71"/>
  <c r="V49" i="71"/>
  <c r="D28" i="93"/>
  <c r="L24" i="93"/>
  <c r="J23" i="75"/>
  <c r="X36" i="32" l="1"/>
  <c r="X36" i="40"/>
  <c r="X36" i="49"/>
  <c r="H36" i="44"/>
  <c r="N36" i="44" s="1"/>
  <c r="N31" i="44"/>
  <c r="H36" i="4"/>
  <c r="N36" i="4" s="1"/>
  <c r="N31" i="4"/>
  <c r="H36" i="32"/>
  <c r="N36" i="32" s="1"/>
  <c r="N31" i="32"/>
  <c r="H36" i="8"/>
  <c r="N36" i="8" s="1"/>
  <c r="N31" i="8"/>
  <c r="H36" i="49"/>
  <c r="N36" i="49" s="1"/>
  <c r="N31" i="49"/>
  <c r="P36" i="34"/>
  <c r="X31" i="34"/>
  <c r="P119" i="27"/>
  <c r="R116" i="27"/>
  <c r="T36" i="25"/>
  <c r="Z36" i="25" s="1"/>
  <c r="Z31" i="25"/>
  <c r="L79" i="92"/>
  <c r="D83" i="92"/>
  <c r="F79" i="92"/>
  <c r="H51" i="74"/>
  <c r="H66" i="57"/>
  <c r="N63" i="57"/>
  <c r="P36" i="46"/>
  <c r="X36" i="46" s="1"/>
  <c r="X31" i="46"/>
  <c r="H36" i="37"/>
  <c r="N36" i="37" s="1"/>
  <c r="N31" i="37"/>
  <c r="L105" i="77"/>
  <c r="N105" i="77" s="1"/>
  <c r="D109" i="77"/>
  <c r="F105" i="77"/>
  <c r="T144" i="69"/>
  <c r="V141" i="69"/>
  <c r="Z31" i="22"/>
  <c r="T36" i="22"/>
  <c r="Z36" i="22" s="1"/>
  <c r="T36" i="53"/>
  <c r="Z36" i="53" s="1"/>
  <c r="Z31" i="53"/>
  <c r="P36" i="25"/>
  <c r="X31" i="25"/>
  <c r="H36" i="53"/>
  <c r="N36" i="53" s="1"/>
  <c r="N31" i="53"/>
  <c r="T37" i="55"/>
  <c r="X34" i="55"/>
  <c r="Z34" i="55" s="1"/>
  <c r="P36" i="13"/>
  <c r="X31" i="13"/>
  <c r="H36" i="23"/>
  <c r="N36" i="23" s="1"/>
  <c r="N31" i="23"/>
  <c r="T55" i="67"/>
  <c r="P224" i="15"/>
  <c r="X221" i="15"/>
  <c r="Z221" i="15" s="1"/>
  <c r="R221" i="15"/>
  <c r="P36" i="26"/>
  <c r="X31" i="26"/>
  <c r="P87" i="94"/>
  <c r="R84" i="94"/>
  <c r="D36" i="7"/>
  <c r="L31" i="7"/>
  <c r="H37" i="55"/>
  <c r="T116" i="27"/>
  <c r="X116" i="27" s="1"/>
  <c r="Z112" i="27"/>
  <c r="V112" i="27"/>
  <c r="P79" i="81"/>
  <c r="X79" i="81" s="1"/>
  <c r="X76" i="81"/>
  <c r="T51" i="74"/>
  <c r="D36" i="43"/>
  <c r="L31" i="43"/>
  <c r="T81" i="70"/>
  <c r="V77" i="70"/>
  <c r="H118" i="39"/>
  <c r="J115" i="39"/>
  <c r="T88" i="95"/>
  <c r="Z85" i="95"/>
  <c r="H69" i="48"/>
  <c r="N66" i="48"/>
  <c r="J66" i="48"/>
  <c r="D119" i="27"/>
  <c r="L116" i="27"/>
  <c r="N116" i="27" s="1"/>
  <c r="F116" i="27"/>
  <c r="T31" i="54"/>
  <c r="Z26" i="54"/>
  <c r="H39" i="88"/>
  <c r="N36" i="88"/>
  <c r="T159" i="30"/>
  <c r="Z155" i="30"/>
  <c r="V155" i="30"/>
  <c r="P36" i="41"/>
  <c r="X31" i="41"/>
  <c r="D36" i="53"/>
  <c r="L31" i="53"/>
  <c r="P85" i="85"/>
  <c r="X81" i="85"/>
  <c r="Z81" i="85" s="1"/>
  <c r="R81" i="85"/>
  <c r="Z110" i="36"/>
  <c r="T114" i="36"/>
  <c r="V110" i="36"/>
  <c r="D36" i="20"/>
  <c r="L36" i="20" s="1"/>
  <c r="L31" i="20"/>
  <c r="N79" i="81"/>
  <c r="H70" i="73"/>
  <c r="Z39" i="80"/>
  <c r="P36" i="11"/>
  <c r="X36" i="11" s="1"/>
  <c r="X31" i="11"/>
  <c r="H83" i="92"/>
  <c r="N79" i="92"/>
  <c r="H39" i="80"/>
  <c r="H263" i="3"/>
  <c r="L263" i="3" s="1"/>
  <c r="N259" i="3"/>
  <c r="J259" i="3"/>
  <c r="P36" i="38"/>
  <c r="X31" i="38"/>
  <c r="D37" i="89"/>
  <c r="L34" i="89"/>
  <c r="P51" i="74"/>
  <c r="X51" i="74" s="1"/>
  <c r="X48" i="74"/>
  <c r="Z48" i="74" s="1"/>
  <c r="P99" i="51"/>
  <c r="X95" i="51"/>
  <c r="R95" i="51"/>
  <c r="X155" i="30"/>
  <c r="D99" i="51"/>
  <c r="L95" i="51"/>
  <c r="F95" i="51"/>
  <c r="T36" i="47"/>
  <c r="Z36" i="47" s="1"/>
  <c r="Z31" i="47"/>
  <c r="T79" i="81"/>
  <c r="Z76" i="81"/>
  <c r="L69" i="48"/>
  <c r="F69" i="48"/>
  <c r="P118" i="39"/>
  <c r="X115" i="39"/>
  <c r="R115" i="39"/>
  <c r="T85" i="79"/>
  <c r="X81" i="79"/>
  <c r="Z81" i="79" s="1"/>
  <c r="D36" i="23"/>
  <c r="L31" i="23"/>
  <c r="P248" i="18"/>
  <c r="X245" i="18"/>
  <c r="R245" i="18"/>
  <c r="D36" i="29"/>
  <c r="L31" i="29"/>
  <c r="H36" i="17"/>
  <c r="N36" i="17" s="1"/>
  <c r="N31" i="17"/>
  <c r="P116" i="66"/>
  <c r="X112" i="66"/>
  <c r="R112" i="66"/>
  <c r="T118" i="39"/>
  <c r="Z115" i="39"/>
  <c r="V115" i="39"/>
  <c r="X110" i="36"/>
  <c r="P52" i="67"/>
  <c r="X48" i="67"/>
  <c r="Z48" i="67" s="1"/>
  <c r="P268" i="3"/>
  <c r="X263" i="3"/>
  <c r="R263" i="3"/>
  <c r="X59" i="59"/>
  <c r="P88" i="95"/>
  <c r="X85" i="95"/>
  <c r="R85" i="95"/>
  <c r="Z31" i="16"/>
  <c r="T36" i="16"/>
  <c r="Z36" i="16" s="1"/>
  <c r="N110" i="36"/>
  <c r="H114" i="36"/>
  <c r="J110" i="36"/>
  <c r="D232" i="12"/>
  <c r="F229" i="12"/>
  <c r="T69" i="48"/>
  <c r="V66" i="48"/>
  <c r="P66" i="48"/>
  <c r="X62" i="48"/>
  <c r="Z62" i="48" s="1"/>
  <c r="R62" i="48"/>
  <c r="H73" i="86"/>
  <c r="D87" i="33"/>
  <c r="F84" i="33"/>
  <c r="D90" i="24"/>
  <c r="L86" i="24"/>
  <c r="N86" i="24" s="1"/>
  <c r="F86" i="24"/>
  <c r="T70" i="56"/>
  <c r="D36" i="52"/>
  <c r="L31" i="52"/>
  <c r="D31" i="96"/>
  <c r="L31" i="96" s="1"/>
  <c r="N31" i="96" s="1"/>
  <c r="L28" i="96"/>
  <c r="N28" i="96" s="1"/>
  <c r="D36" i="5"/>
  <c r="L31" i="5"/>
  <c r="P74" i="58"/>
  <c r="X74" i="58" s="1"/>
  <c r="Z74" i="58" s="1"/>
  <c r="X71" i="58"/>
  <c r="Z71" i="58" s="1"/>
  <c r="Z31" i="8"/>
  <c r="T36" i="8"/>
  <c r="Z36" i="8" s="1"/>
  <c r="D33" i="75"/>
  <c r="L29" i="75"/>
  <c r="N29" i="75" s="1"/>
  <c r="F29" i="75"/>
  <c r="T73" i="86"/>
  <c r="P117" i="36"/>
  <c r="X114" i="36"/>
  <c r="R114" i="36"/>
  <c r="D36" i="16"/>
  <c r="L31" i="16"/>
  <c r="D115" i="39"/>
  <c r="L111" i="39"/>
  <c r="N111" i="39" s="1"/>
  <c r="F111" i="39"/>
  <c r="P51" i="61"/>
  <c r="X48" i="61"/>
  <c r="Z48" i="61" s="1"/>
  <c r="H36" i="16"/>
  <c r="N36" i="16" s="1"/>
  <c r="N31" i="16"/>
  <c r="H33" i="75"/>
  <c r="J29" i="75"/>
  <c r="Z31" i="10"/>
  <c r="T36" i="10"/>
  <c r="Z36" i="10" s="1"/>
  <c r="P106" i="42"/>
  <c r="X102" i="42"/>
  <c r="Z102" i="42" s="1"/>
  <c r="R102" i="42"/>
  <c r="P112" i="77"/>
  <c r="R109" i="77"/>
  <c r="H36" i="14"/>
  <c r="N36" i="14" s="1"/>
  <c r="N31" i="14"/>
  <c r="H36" i="29"/>
  <c r="N36" i="29" s="1"/>
  <c r="N31" i="29"/>
  <c r="J69" i="97"/>
  <c r="P91" i="21"/>
  <c r="X88" i="21"/>
  <c r="R88" i="21"/>
  <c r="L39" i="88"/>
  <c r="T93" i="24"/>
  <c r="V90" i="24"/>
  <c r="P36" i="5"/>
  <c r="X31" i="5"/>
  <c r="T66" i="97"/>
  <c r="X62" i="97"/>
  <c r="Z62" i="97" s="1"/>
  <c r="V62" i="97"/>
  <c r="D36" i="99"/>
  <c r="L31" i="99"/>
  <c r="P36" i="20"/>
  <c r="X31" i="20"/>
  <c r="H36" i="52"/>
  <c r="N36" i="52" s="1"/>
  <c r="N31" i="52"/>
  <c r="H36" i="98"/>
  <c r="N36" i="98" s="1"/>
  <c r="N31" i="98"/>
  <c r="H85" i="95"/>
  <c r="N81" i="95"/>
  <c r="P53" i="91"/>
  <c r="X50" i="91"/>
  <c r="T99" i="51"/>
  <c r="Z95" i="51"/>
  <c r="V95" i="51"/>
  <c r="D31" i="6"/>
  <c r="L31" i="6" s="1"/>
  <c r="N31" i="6" s="1"/>
  <c r="L26" i="6"/>
  <c r="P105" i="62"/>
  <c r="X105" i="62" s="1"/>
  <c r="X102" i="62"/>
  <c r="Z102" i="62" s="1"/>
  <c r="X31" i="44"/>
  <c r="P36" i="44"/>
  <c r="H36" i="100"/>
  <c r="N36" i="100" s="1"/>
  <c r="N31" i="100"/>
  <c r="V73" i="73"/>
  <c r="P36" i="100"/>
  <c r="X31" i="100"/>
  <c r="H35" i="78"/>
  <c r="N35" i="78" s="1"/>
  <c r="N32" i="78"/>
  <c r="T99" i="71"/>
  <c r="V95" i="71"/>
  <c r="H245" i="18"/>
  <c r="J241" i="18"/>
  <c r="D36" i="14"/>
  <c r="L31" i="14"/>
  <c r="H109" i="42"/>
  <c r="J106" i="42"/>
  <c r="P54" i="90"/>
  <c r="X51" i="90"/>
  <c r="R51" i="90"/>
  <c r="T36" i="5"/>
  <c r="Z36" i="5" s="1"/>
  <c r="Z31" i="5"/>
  <c r="V86" i="92"/>
  <c r="Z31" i="28"/>
  <c r="T36" i="28"/>
  <c r="Z36" i="28" s="1"/>
  <c r="P95" i="9"/>
  <c r="X95" i="9" s="1"/>
  <c r="X92" i="9"/>
  <c r="Z92" i="9" s="1"/>
  <c r="J87" i="94"/>
  <c r="T87" i="33"/>
  <c r="V84" i="33"/>
  <c r="T31" i="96"/>
  <c r="L31" i="34"/>
  <c r="D36" i="34"/>
  <c r="T41" i="84"/>
  <c r="V38" i="84"/>
  <c r="T36" i="50"/>
  <c r="Z36" i="50" s="1"/>
  <c r="Z31" i="50"/>
  <c r="T36" i="13"/>
  <c r="Z36" i="13" s="1"/>
  <c r="Z31" i="13"/>
  <c r="P36" i="23"/>
  <c r="X31" i="23"/>
  <c r="P36" i="8"/>
  <c r="X31" i="8"/>
  <c r="D29" i="87"/>
  <c r="L25" i="87"/>
  <c r="N25" i="87" s="1"/>
  <c r="P36" i="10"/>
  <c r="X31" i="10"/>
  <c r="H84" i="70"/>
  <c r="J81" i="70"/>
  <c r="H36" i="43"/>
  <c r="N36" i="43" s="1"/>
  <c r="N31" i="43"/>
  <c r="D224" i="15"/>
  <c r="L221" i="15"/>
  <c r="F221" i="15"/>
  <c r="P93" i="24"/>
  <c r="X90" i="24"/>
  <c r="Z90" i="24" s="1"/>
  <c r="R90" i="24"/>
  <c r="H99" i="71"/>
  <c r="J95" i="71"/>
  <c r="D36" i="44"/>
  <c r="L31" i="44"/>
  <c r="Z105" i="62"/>
  <c r="H36" i="5"/>
  <c r="N36" i="5" s="1"/>
  <c r="N31" i="5"/>
  <c r="N31" i="34"/>
  <c r="H36" i="34"/>
  <c r="N36" i="34" s="1"/>
  <c r="P40" i="82"/>
  <c r="X40" i="82" s="1"/>
  <c r="X37" i="82"/>
  <c r="Z37" i="82" s="1"/>
  <c r="H41" i="84"/>
  <c r="L41" i="84" s="1"/>
  <c r="H221" i="15"/>
  <c r="N217" i="15"/>
  <c r="J217" i="15"/>
  <c r="N31" i="41"/>
  <c r="H36" i="41"/>
  <c r="N36" i="41" s="1"/>
  <c r="D36" i="4"/>
  <c r="L31" i="4"/>
  <c r="H84" i="33"/>
  <c r="L84" i="33" s="1"/>
  <c r="N80" i="33"/>
  <c r="J80" i="33"/>
  <c r="D245" i="18"/>
  <c r="L241" i="18"/>
  <c r="N241" i="18" s="1"/>
  <c r="F241" i="18"/>
  <c r="T94" i="45"/>
  <c r="V90" i="45"/>
  <c r="T36" i="29"/>
  <c r="Z36" i="29" s="1"/>
  <c r="Z31" i="29"/>
  <c r="D31" i="54"/>
  <c r="L31" i="54" s="1"/>
  <c r="N31" i="54" s="1"/>
  <c r="L26" i="54"/>
  <c r="P36" i="35"/>
  <c r="X36" i="35" s="1"/>
  <c r="X31" i="35"/>
  <c r="T36" i="43"/>
  <c r="Z36" i="43" s="1"/>
  <c r="Z31" i="43"/>
  <c r="D66" i="57"/>
  <c r="L63" i="57"/>
  <c r="D59" i="59"/>
  <c r="L56" i="59"/>
  <c r="H36" i="47"/>
  <c r="N36" i="47" s="1"/>
  <c r="N31" i="47"/>
  <c r="D109" i="42"/>
  <c r="L106" i="42"/>
  <c r="N106" i="42" s="1"/>
  <c r="F106" i="42"/>
  <c r="D144" i="69"/>
  <c r="F141" i="69"/>
  <c r="T37" i="89"/>
  <c r="X34" i="89"/>
  <c r="Z34" i="89" s="1"/>
  <c r="N74" i="58"/>
  <c r="P36" i="19"/>
  <c r="X31" i="19"/>
  <c r="D36" i="50"/>
  <c r="L31" i="50"/>
  <c r="Z26" i="6"/>
  <c r="T31" i="6"/>
  <c r="D36" i="47"/>
  <c r="L36" i="47" s="1"/>
  <c r="L31" i="47"/>
  <c r="X90" i="45"/>
  <c r="Z90" i="45" s="1"/>
  <c r="H36" i="13"/>
  <c r="N36" i="13" s="1"/>
  <c r="N31" i="13"/>
  <c r="T45" i="83"/>
  <c r="X26" i="54"/>
  <c r="P31" i="54"/>
  <c r="H119" i="66"/>
  <c r="J116" i="66"/>
  <c r="P83" i="92"/>
  <c r="X79" i="92"/>
  <c r="Z79" i="92" s="1"/>
  <c r="R79" i="92"/>
  <c r="P85" i="64"/>
  <c r="X81" i="64"/>
  <c r="Z81" i="64" s="1"/>
  <c r="R81" i="64"/>
  <c r="H36" i="28"/>
  <c r="N36" i="28" s="1"/>
  <c r="N31" i="28"/>
  <c r="D88" i="85"/>
  <c r="L85" i="85"/>
  <c r="F85" i="85"/>
  <c r="H59" i="59"/>
  <c r="N56" i="59"/>
  <c r="D36" i="26"/>
  <c r="L31" i="26"/>
  <c r="T36" i="75"/>
  <c r="Z33" i="75"/>
  <c r="V33" i="75"/>
  <c r="D51" i="74"/>
  <c r="L51" i="74" s="1"/>
  <c r="L48" i="74"/>
  <c r="N48" i="74" s="1"/>
  <c r="D36" i="49"/>
  <c r="L31" i="49"/>
  <c r="X42" i="83"/>
  <c r="Z42" i="83" s="1"/>
  <c r="H88" i="79"/>
  <c r="H159" i="30"/>
  <c r="N155" i="30"/>
  <c r="J155" i="30"/>
  <c r="H36" i="99"/>
  <c r="N36" i="99" s="1"/>
  <c r="N31" i="99"/>
  <c r="D36" i="25"/>
  <c r="L31" i="25"/>
  <c r="D36" i="100"/>
  <c r="L31" i="100"/>
  <c r="P87" i="33"/>
  <c r="X84" i="33"/>
  <c r="Z84" i="33" s="1"/>
  <c r="R84" i="33"/>
  <c r="H119" i="27"/>
  <c r="J116" i="27"/>
  <c r="D36" i="28"/>
  <c r="L31" i="28"/>
  <c r="J32" i="87"/>
  <c r="D268" i="3"/>
  <c r="F263" i="3"/>
  <c r="D91" i="21"/>
  <c r="L88" i="21"/>
  <c r="F88" i="21"/>
  <c r="H88" i="85"/>
  <c r="N85" i="85"/>
  <c r="J85" i="85"/>
  <c r="T29" i="87"/>
  <c r="V25" i="87"/>
  <c r="D69" i="97"/>
  <c r="L66" i="97"/>
  <c r="N66" i="97" s="1"/>
  <c r="F66" i="97"/>
  <c r="T248" i="18"/>
  <c r="Z245" i="18"/>
  <c r="V245" i="18"/>
  <c r="T116" i="66"/>
  <c r="Z112" i="66"/>
  <c r="V112" i="66"/>
  <c r="P162" i="30"/>
  <c r="X159" i="30"/>
  <c r="R159" i="30"/>
  <c r="D88" i="95"/>
  <c r="L85" i="95"/>
  <c r="F85" i="95"/>
  <c r="H36" i="11"/>
  <c r="N31" i="11"/>
  <c r="L31" i="11"/>
  <c r="N31" i="46"/>
  <c r="H36" i="46"/>
  <c r="N36" i="46" s="1"/>
  <c r="T36" i="23"/>
  <c r="Z36" i="23" s="1"/>
  <c r="Z31" i="23"/>
  <c r="H36" i="50"/>
  <c r="N36" i="50" s="1"/>
  <c r="N31" i="50"/>
  <c r="D39" i="80"/>
  <c r="L39" i="80" s="1"/>
  <c r="L36" i="80"/>
  <c r="N36" i="80" s="1"/>
  <c r="P99" i="71"/>
  <c r="X95" i="71"/>
  <c r="Z95" i="71" s="1"/>
  <c r="R95" i="71"/>
  <c r="X70" i="86"/>
  <c r="Z70" i="86" s="1"/>
  <c r="P36" i="22"/>
  <c r="X31" i="22"/>
  <c r="H45" i="83"/>
  <c r="D36" i="10"/>
  <c r="L36" i="10" s="1"/>
  <c r="L31" i="10"/>
  <c r="T36" i="19"/>
  <c r="Z36" i="19" s="1"/>
  <c r="Z31" i="19"/>
  <c r="R88" i="79"/>
  <c r="D78" i="76"/>
  <c r="L75" i="76"/>
  <c r="F75" i="76"/>
  <c r="R78" i="76"/>
  <c r="P36" i="50"/>
  <c r="X31" i="50"/>
  <c r="T39" i="88"/>
  <c r="Z36" i="88"/>
  <c r="T36" i="14"/>
  <c r="Z36" i="14" s="1"/>
  <c r="Z31" i="14"/>
  <c r="L105" i="62"/>
  <c r="N105" i="62" s="1"/>
  <c r="P81" i="70"/>
  <c r="X77" i="70"/>
  <c r="Z77" i="70" s="1"/>
  <c r="R77" i="70"/>
  <c r="H37" i="89"/>
  <c r="N34" i="89"/>
  <c r="H109" i="77"/>
  <c r="J105" i="77"/>
  <c r="T59" i="59"/>
  <c r="Z56" i="59"/>
  <c r="X25" i="87"/>
  <c r="Z25" i="87" s="1"/>
  <c r="T36" i="7"/>
  <c r="Z36" i="7" s="1"/>
  <c r="Z31" i="7"/>
  <c r="D36" i="41"/>
  <c r="L31" i="41"/>
  <c r="X45" i="83"/>
  <c r="T84" i="94"/>
  <c r="X84" i="94" s="1"/>
  <c r="Z80" i="94"/>
  <c r="V80" i="94"/>
  <c r="D114" i="36"/>
  <c r="L110" i="36"/>
  <c r="F110" i="36"/>
  <c r="P73" i="73"/>
  <c r="X73" i="73" s="1"/>
  <c r="Z73" i="73" s="1"/>
  <c r="X70" i="73"/>
  <c r="Z70" i="73" s="1"/>
  <c r="T51" i="61"/>
  <c r="P36" i="4"/>
  <c r="X31" i="4"/>
  <c r="D36" i="46"/>
  <c r="L36" i="46" s="1"/>
  <c r="L31" i="46"/>
  <c r="D84" i="94"/>
  <c r="L80" i="94"/>
  <c r="N80" i="94" s="1"/>
  <c r="F80" i="94"/>
  <c r="H36" i="38"/>
  <c r="N36" i="38" s="1"/>
  <c r="N31" i="38"/>
  <c r="P38" i="84"/>
  <c r="X34" i="84"/>
  <c r="Z34" i="84" s="1"/>
  <c r="H51" i="90"/>
  <c r="P232" i="12"/>
  <c r="R229" i="12"/>
  <c r="P32" i="78"/>
  <c r="X28" i="78"/>
  <c r="Z28" i="78" s="1"/>
  <c r="R28" i="78"/>
  <c r="L81" i="70"/>
  <c r="N81" i="70" s="1"/>
  <c r="D84" i="70"/>
  <c r="F81" i="70"/>
  <c r="H36" i="19"/>
  <c r="N36" i="19" s="1"/>
  <c r="N31" i="19"/>
  <c r="H36" i="26"/>
  <c r="N36" i="26" s="1"/>
  <c r="N31" i="26"/>
  <c r="D97" i="45"/>
  <c r="L94" i="45"/>
  <c r="F94" i="45"/>
  <c r="D99" i="71"/>
  <c r="L95" i="71"/>
  <c r="N95" i="71" s="1"/>
  <c r="F95" i="71"/>
  <c r="D31" i="93"/>
  <c r="L31" i="93" s="1"/>
  <c r="L28" i="93"/>
  <c r="H36" i="7"/>
  <c r="N36" i="7" s="1"/>
  <c r="N31" i="7"/>
  <c r="H36" i="40"/>
  <c r="N36" i="40" s="1"/>
  <c r="N31" i="40"/>
  <c r="T36" i="100"/>
  <c r="Z36" i="100" s="1"/>
  <c r="Z31" i="100"/>
  <c r="Z31" i="44"/>
  <c r="T36" i="44"/>
  <c r="Z36" i="44" s="1"/>
  <c r="Z31" i="4"/>
  <c r="T36" i="4"/>
  <c r="Z36" i="4" s="1"/>
  <c r="T36" i="38"/>
  <c r="Z36" i="38" s="1"/>
  <c r="Z31" i="38"/>
  <c r="D45" i="83"/>
  <c r="L42" i="83"/>
  <c r="N42" i="83" s="1"/>
  <c r="Z31" i="34"/>
  <c r="T36" i="34"/>
  <c r="Z36" i="34" s="1"/>
  <c r="T32" i="78"/>
  <c r="V28" i="78"/>
  <c r="D36" i="32"/>
  <c r="L31" i="32"/>
  <c r="P36" i="53"/>
  <c r="X31" i="53"/>
  <c r="D52" i="67"/>
  <c r="L48" i="67"/>
  <c r="N48" i="67" s="1"/>
  <c r="P97" i="45"/>
  <c r="X94" i="45"/>
  <c r="R94" i="45"/>
  <c r="L31" i="37"/>
  <c r="H36" i="25"/>
  <c r="N36" i="25" s="1"/>
  <c r="N31" i="25"/>
  <c r="T36" i="98"/>
  <c r="Z36" i="98" s="1"/>
  <c r="Z31" i="98"/>
  <c r="T268" i="3"/>
  <c r="Z263" i="3"/>
  <c r="V263" i="3"/>
  <c r="D162" i="30"/>
  <c r="F159" i="30"/>
  <c r="T36" i="41"/>
  <c r="Z36" i="41" s="1"/>
  <c r="Z31" i="41"/>
  <c r="H91" i="21"/>
  <c r="N88" i="21"/>
  <c r="T31" i="93"/>
  <c r="H85" i="64"/>
  <c r="P36" i="17"/>
  <c r="X36" i="17" s="1"/>
  <c r="X31" i="17"/>
  <c r="N40" i="82"/>
  <c r="H55" i="67"/>
  <c r="X112" i="27"/>
  <c r="T40" i="82"/>
  <c r="X73" i="86"/>
  <c r="P141" i="69"/>
  <c r="X137" i="69"/>
  <c r="Z137" i="69" s="1"/>
  <c r="R137" i="69"/>
  <c r="Z95" i="9"/>
  <c r="P36" i="43"/>
  <c r="X31" i="43"/>
  <c r="L31" i="98"/>
  <c r="P66" i="57"/>
  <c r="X66" i="57" s="1"/>
  <c r="Z66" i="57" s="1"/>
  <c r="X63" i="57"/>
  <c r="Z63" i="57" s="1"/>
  <c r="L66" i="73"/>
  <c r="N66" i="73" s="1"/>
  <c r="P31" i="96"/>
  <c r="X31" i="96" s="1"/>
  <c r="X28" i="96"/>
  <c r="Z28" i="96" s="1"/>
  <c r="D36" i="22"/>
  <c r="L36" i="22" s="1"/>
  <c r="L31" i="22"/>
  <c r="T88" i="21"/>
  <c r="Z84" i="21"/>
  <c r="V84" i="21"/>
  <c r="N53" i="91"/>
  <c r="T78" i="76"/>
  <c r="X78" i="76" s="1"/>
  <c r="Z75" i="76"/>
  <c r="D70" i="56"/>
  <c r="L67" i="56"/>
  <c r="D35" i="78"/>
  <c r="L32" i="78"/>
  <c r="F32" i="78"/>
  <c r="D88" i="79"/>
  <c r="L85" i="79"/>
  <c r="N85" i="79" s="1"/>
  <c r="F85" i="79"/>
  <c r="T54" i="90"/>
  <c r="Z51" i="90"/>
  <c r="H141" i="69"/>
  <c r="N137" i="69"/>
  <c r="J137" i="69"/>
  <c r="X53" i="60"/>
  <c r="T36" i="26"/>
  <c r="Z36" i="26" s="1"/>
  <c r="Z31" i="26"/>
  <c r="D40" i="82"/>
  <c r="L40" i="82" s="1"/>
  <c r="L37" i="82"/>
  <c r="N37" i="82" s="1"/>
  <c r="L51" i="61"/>
  <c r="N51" i="61" s="1"/>
  <c r="H93" i="24"/>
  <c r="H229" i="12"/>
  <c r="N225" i="12"/>
  <c r="J225" i="12"/>
  <c r="T36" i="31"/>
  <c r="Z36" i="31" s="1"/>
  <c r="Z31" i="31"/>
  <c r="T106" i="42"/>
  <c r="V102" i="42"/>
  <c r="T36" i="20"/>
  <c r="Z36" i="20" s="1"/>
  <c r="Z31" i="20"/>
  <c r="P32" i="87"/>
  <c r="X29" i="87"/>
  <c r="L50" i="91"/>
  <c r="N50" i="91" s="1"/>
  <c r="D53" i="91"/>
  <c r="L53" i="91" s="1"/>
  <c r="L47" i="90"/>
  <c r="N47" i="90" s="1"/>
  <c r="L81" i="64"/>
  <c r="N81" i="64" s="1"/>
  <c r="T224" i="15"/>
  <c r="V221" i="15"/>
  <c r="D116" i="66"/>
  <c r="L112" i="66"/>
  <c r="N112" i="66" s="1"/>
  <c r="F112" i="66"/>
  <c r="T53" i="91"/>
  <c r="Z50" i="91"/>
  <c r="D41" i="65"/>
  <c r="L41" i="65" s="1"/>
  <c r="L38" i="65"/>
  <c r="N38" i="65" s="1"/>
  <c r="P39" i="80"/>
  <c r="X39" i="80" s="1"/>
  <c r="X36" i="80"/>
  <c r="Z36" i="80" s="1"/>
  <c r="P36" i="29"/>
  <c r="X31" i="29"/>
  <c r="Z105" i="77"/>
  <c r="T109" i="77"/>
  <c r="X109" i="77" s="1"/>
  <c r="V105" i="77"/>
  <c r="T36" i="99"/>
  <c r="Z36" i="99" s="1"/>
  <c r="Z31" i="99"/>
  <c r="P31" i="93"/>
  <c r="X31" i="93" s="1"/>
  <c r="X28" i="93"/>
  <c r="Z28" i="93" s="1"/>
  <c r="D36" i="35"/>
  <c r="L36" i="35" s="1"/>
  <c r="L31" i="35"/>
  <c r="D73" i="73"/>
  <c r="L70" i="73"/>
  <c r="D36" i="38"/>
  <c r="L31" i="38"/>
  <c r="X67" i="56"/>
  <c r="Z67" i="56" s="1"/>
  <c r="T53" i="60"/>
  <c r="Z50" i="60"/>
  <c r="T229" i="12"/>
  <c r="Z225" i="12"/>
  <c r="V225" i="12"/>
  <c r="H70" i="56"/>
  <c r="N67" i="56"/>
  <c r="H78" i="76"/>
  <c r="N75" i="76"/>
  <c r="D36" i="31"/>
  <c r="L31" i="31"/>
  <c r="H36" i="31"/>
  <c r="N36" i="31" s="1"/>
  <c r="N31" i="31"/>
  <c r="T85" i="64"/>
  <c r="V81" i="64"/>
  <c r="N41" i="65"/>
  <c r="P36" i="75"/>
  <c r="X33" i="75"/>
  <c r="R33" i="75"/>
  <c r="L34" i="55"/>
  <c r="N34" i="55" s="1"/>
  <c r="D37" i="55"/>
  <c r="L37" i="55" s="1"/>
  <c r="T41" i="65"/>
  <c r="Z38" i="65"/>
  <c r="N95" i="51"/>
  <c r="H99" i="51"/>
  <c r="J95" i="51"/>
  <c r="N95" i="9"/>
  <c r="D73" i="86"/>
  <c r="L73" i="86" s="1"/>
  <c r="L70" i="86"/>
  <c r="N70" i="86" s="1"/>
  <c r="D36" i="13"/>
  <c r="L31" i="13"/>
  <c r="H97" i="45"/>
  <c r="N94" i="45"/>
  <c r="J94" i="45"/>
  <c r="D54" i="90"/>
  <c r="L51" i="90"/>
  <c r="F51" i="90"/>
  <c r="D36" i="8"/>
  <c r="L31" i="8"/>
  <c r="D88" i="64"/>
  <c r="L85" i="64"/>
  <c r="F85" i="64"/>
  <c r="L38" i="84"/>
  <c r="N38" i="84" s="1"/>
  <c r="T88" i="85"/>
  <c r="V85" i="85"/>
  <c r="X36" i="10" l="1"/>
  <c r="X36" i="8"/>
  <c r="L36" i="4"/>
  <c r="L36" i="44"/>
  <c r="L36" i="8"/>
  <c r="L36" i="31"/>
  <c r="X36" i="25"/>
  <c r="L36" i="13"/>
  <c r="L36" i="32"/>
  <c r="L36" i="23"/>
  <c r="X36" i="38"/>
  <c r="X36" i="43"/>
  <c r="L36" i="25"/>
  <c r="X36" i="47"/>
  <c r="L36" i="53"/>
  <c r="X36" i="13"/>
  <c r="X36" i="99"/>
  <c r="L36" i="40"/>
  <c r="X36" i="28"/>
  <c r="X36" i="41"/>
  <c r="X36" i="4"/>
  <c r="X36" i="19"/>
  <c r="L36" i="7"/>
  <c r="X36" i="31"/>
  <c r="X36" i="50"/>
  <c r="L36" i="49"/>
  <c r="X36" i="23"/>
  <c r="L36" i="29"/>
  <c r="X36" i="22"/>
  <c r="L36" i="37"/>
  <c r="V41" i="84"/>
  <c r="T117" i="36"/>
  <c r="Z114" i="36"/>
  <c r="V114" i="36"/>
  <c r="T232" i="12"/>
  <c r="V229" i="12"/>
  <c r="P35" i="78"/>
  <c r="X32" i="78"/>
  <c r="Z32" i="78" s="1"/>
  <c r="R32" i="78"/>
  <c r="X36" i="7"/>
  <c r="N36" i="11"/>
  <c r="L36" i="11"/>
  <c r="L66" i="57"/>
  <c r="L36" i="14"/>
  <c r="D93" i="24"/>
  <c r="L90" i="24"/>
  <c r="N90" i="24" s="1"/>
  <c r="F90" i="24"/>
  <c r="V88" i="85"/>
  <c r="L36" i="52"/>
  <c r="D248" i="18"/>
  <c r="L245" i="18"/>
  <c r="F245" i="18"/>
  <c r="X88" i="95"/>
  <c r="R88" i="95"/>
  <c r="L88" i="79"/>
  <c r="F88" i="79"/>
  <c r="T102" i="51"/>
  <c r="Z99" i="51"/>
  <c r="V99" i="51"/>
  <c r="D36" i="75"/>
  <c r="L33" i="75"/>
  <c r="F33" i="75"/>
  <c r="Z79" i="81"/>
  <c r="R97" i="45"/>
  <c r="H162" i="30"/>
  <c r="J159" i="30"/>
  <c r="L109" i="42"/>
  <c r="F109" i="42"/>
  <c r="D32" i="87"/>
  <c r="L32" i="87" s="1"/>
  <c r="N32" i="87" s="1"/>
  <c r="L29" i="87"/>
  <c r="N29" i="87" s="1"/>
  <c r="T88" i="79"/>
  <c r="Z85" i="79"/>
  <c r="X85" i="79"/>
  <c r="D112" i="77"/>
  <c r="L109" i="77"/>
  <c r="F109" i="77"/>
  <c r="X91" i="21"/>
  <c r="R91" i="21"/>
  <c r="F54" i="90"/>
  <c r="T88" i="64"/>
  <c r="V85" i="64"/>
  <c r="D119" i="66"/>
  <c r="L116" i="66"/>
  <c r="N116" i="66" s="1"/>
  <c r="F116" i="66"/>
  <c r="L35" i="78"/>
  <c r="F35" i="78"/>
  <c r="T91" i="21"/>
  <c r="Z88" i="21"/>
  <c r="V88" i="21"/>
  <c r="D55" i="67"/>
  <c r="L55" i="67" s="1"/>
  <c r="N55" i="67" s="1"/>
  <c r="L52" i="67"/>
  <c r="N52" i="67" s="1"/>
  <c r="D102" i="71"/>
  <c r="L99" i="71"/>
  <c r="N99" i="71" s="1"/>
  <c r="F99" i="71"/>
  <c r="R232" i="12"/>
  <c r="X36" i="14"/>
  <c r="T32" i="87"/>
  <c r="Z29" i="87"/>
  <c r="V29" i="87"/>
  <c r="J119" i="27"/>
  <c r="N88" i="79"/>
  <c r="V36" i="75"/>
  <c r="X36" i="100"/>
  <c r="X53" i="91"/>
  <c r="Z53" i="91" s="1"/>
  <c r="X36" i="20"/>
  <c r="X36" i="5"/>
  <c r="V69" i="48"/>
  <c r="X268" i="3"/>
  <c r="R268" i="3"/>
  <c r="H73" i="73"/>
  <c r="L73" i="73" s="1"/>
  <c r="N70" i="73"/>
  <c r="Z159" i="30"/>
  <c r="T162" i="30"/>
  <c r="V159" i="30"/>
  <c r="L36" i="43"/>
  <c r="X37" i="55"/>
  <c r="Z37" i="55" s="1"/>
  <c r="R119" i="27"/>
  <c r="N109" i="42"/>
  <c r="J109" i="42"/>
  <c r="L69" i="97"/>
  <c r="N69" i="97" s="1"/>
  <c r="F69" i="97"/>
  <c r="X36" i="44"/>
  <c r="P109" i="42"/>
  <c r="X106" i="42"/>
  <c r="R106" i="42"/>
  <c r="N66" i="57"/>
  <c r="P144" i="69"/>
  <c r="X141" i="69"/>
  <c r="Z141" i="69" s="1"/>
  <c r="R141" i="69"/>
  <c r="T35" i="78"/>
  <c r="V32" i="78"/>
  <c r="L91" i="21"/>
  <c r="N91" i="21" s="1"/>
  <c r="F91" i="21"/>
  <c r="X31" i="54"/>
  <c r="Z31" i="54" s="1"/>
  <c r="H117" i="36"/>
  <c r="J114" i="36"/>
  <c r="X224" i="15"/>
  <c r="R224" i="15"/>
  <c r="X36" i="29"/>
  <c r="Z59" i="59"/>
  <c r="P84" i="70"/>
  <c r="X81" i="70"/>
  <c r="Z81" i="70" s="1"/>
  <c r="R81" i="70"/>
  <c r="L36" i="17"/>
  <c r="T119" i="66"/>
  <c r="V116" i="66"/>
  <c r="N263" i="3"/>
  <c r="H268" i="3"/>
  <c r="J263" i="3"/>
  <c r="J118" i="39"/>
  <c r="L36" i="38"/>
  <c r="X32" i="87"/>
  <c r="Z40" i="82"/>
  <c r="H88" i="64"/>
  <c r="N85" i="64"/>
  <c r="L84" i="70"/>
  <c r="F84" i="70"/>
  <c r="H54" i="90"/>
  <c r="L54" i="90" s="1"/>
  <c r="N51" i="90"/>
  <c r="D87" i="94"/>
  <c r="L84" i="94"/>
  <c r="N84" i="94" s="1"/>
  <c r="F84" i="94"/>
  <c r="F88" i="95"/>
  <c r="L268" i="3"/>
  <c r="F268" i="3"/>
  <c r="X31" i="6"/>
  <c r="Z31" i="6" s="1"/>
  <c r="Z45" i="83"/>
  <c r="T97" i="45"/>
  <c r="Z94" i="45"/>
  <c r="V94" i="45"/>
  <c r="H87" i="33"/>
  <c r="N84" i="33"/>
  <c r="J84" i="33"/>
  <c r="H224" i="15"/>
  <c r="L224" i="15" s="1"/>
  <c r="N221" i="15"/>
  <c r="J221" i="15"/>
  <c r="Z31" i="96"/>
  <c r="X54" i="90"/>
  <c r="R54" i="90"/>
  <c r="H248" i="18"/>
  <c r="N245" i="18"/>
  <c r="J245" i="18"/>
  <c r="D118" i="39"/>
  <c r="L115" i="39"/>
  <c r="N115" i="39" s="1"/>
  <c r="F115" i="39"/>
  <c r="L87" i="33"/>
  <c r="F87" i="33"/>
  <c r="P119" i="66"/>
  <c r="X116" i="66"/>
  <c r="Z116" i="66" s="1"/>
  <c r="R116" i="66"/>
  <c r="X248" i="18"/>
  <c r="Z248" i="18" s="1"/>
  <c r="R248" i="18"/>
  <c r="X118" i="39"/>
  <c r="R118" i="39"/>
  <c r="N39" i="80"/>
  <c r="P88" i="85"/>
  <c r="X85" i="85"/>
  <c r="Z85" i="85" s="1"/>
  <c r="R85" i="85"/>
  <c r="Z51" i="74"/>
  <c r="R87" i="94"/>
  <c r="X70" i="56"/>
  <c r="Z70" i="56" s="1"/>
  <c r="D86" i="92"/>
  <c r="L83" i="92"/>
  <c r="F83" i="92"/>
  <c r="Z78" i="76"/>
  <c r="P41" i="84"/>
  <c r="X41" i="84" s="1"/>
  <c r="Z41" i="84" s="1"/>
  <c r="X38" i="84"/>
  <c r="Z38" i="84" s="1"/>
  <c r="D117" i="36"/>
  <c r="L114" i="36"/>
  <c r="N114" i="36" s="1"/>
  <c r="F114" i="36"/>
  <c r="V87" i="33"/>
  <c r="T102" i="71"/>
  <c r="V99" i="71"/>
  <c r="F232" i="12"/>
  <c r="V144" i="69"/>
  <c r="L36" i="98"/>
  <c r="L36" i="100"/>
  <c r="J119" i="66"/>
  <c r="H102" i="71"/>
  <c r="J99" i="71"/>
  <c r="X117" i="36"/>
  <c r="R117" i="36"/>
  <c r="H144" i="69"/>
  <c r="J141" i="69"/>
  <c r="T119" i="27"/>
  <c r="Z116" i="27"/>
  <c r="V116" i="27"/>
  <c r="H102" i="51"/>
  <c r="J99" i="51"/>
  <c r="X36" i="75"/>
  <c r="Z36" i="75" s="1"/>
  <c r="R36" i="75"/>
  <c r="Z54" i="90"/>
  <c r="L70" i="56"/>
  <c r="N70" i="56" s="1"/>
  <c r="L159" i="30"/>
  <c r="N159" i="30" s="1"/>
  <c r="X36" i="53"/>
  <c r="L36" i="41"/>
  <c r="H112" i="77"/>
  <c r="N109" i="77"/>
  <c r="J109" i="77"/>
  <c r="V248" i="18"/>
  <c r="L88" i="85"/>
  <c r="F88" i="85"/>
  <c r="P86" i="92"/>
  <c r="X83" i="92"/>
  <c r="Z83" i="92" s="1"/>
  <c r="R83" i="92"/>
  <c r="L36" i="50"/>
  <c r="L141" i="69"/>
  <c r="N141" i="69" s="1"/>
  <c r="L59" i="59"/>
  <c r="N59" i="59" s="1"/>
  <c r="X41" i="65"/>
  <c r="Z41" i="65" s="1"/>
  <c r="X93" i="24"/>
  <c r="R93" i="24"/>
  <c r="N84" i="70"/>
  <c r="J84" i="70"/>
  <c r="H88" i="95"/>
  <c r="N85" i="95"/>
  <c r="L36" i="99"/>
  <c r="R112" i="77"/>
  <c r="N33" i="75"/>
  <c r="H36" i="75"/>
  <c r="J33" i="75"/>
  <c r="Z73" i="86"/>
  <c r="P55" i="67"/>
  <c r="X55" i="67" s="1"/>
  <c r="Z55" i="67" s="1"/>
  <c r="X52" i="67"/>
  <c r="Z52" i="67" s="1"/>
  <c r="X36" i="16"/>
  <c r="D102" i="51"/>
  <c r="L99" i="51"/>
  <c r="N99" i="51" s="1"/>
  <c r="F99" i="51"/>
  <c r="L37" i="89"/>
  <c r="N37" i="89" s="1"/>
  <c r="N39" i="88"/>
  <c r="T84" i="70"/>
  <c r="V81" i="70"/>
  <c r="X36" i="34"/>
  <c r="X162" i="30"/>
  <c r="R162" i="30"/>
  <c r="L36" i="28"/>
  <c r="F224" i="15"/>
  <c r="T69" i="97"/>
  <c r="Z66" i="97"/>
  <c r="X66" i="97"/>
  <c r="V66" i="97"/>
  <c r="Z88" i="95"/>
  <c r="Z53" i="60"/>
  <c r="T109" i="42"/>
  <c r="Z106" i="42"/>
  <c r="V106" i="42"/>
  <c r="Z268" i="3"/>
  <c r="V268" i="3"/>
  <c r="L36" i="34"/>
  <c r="X51" i="61"/>
  <c r="Z51" i="61" s="1"/>
  <c r="X66" i="48"/>
  <c r="Z66" i="48" s="1"/>
  <c r="P69" i="48"/>
  <c r="R66" i="48"/>
  <c r="Z118" i="39"/>
  <c r="V118" i="39"/>
  <c r="P102" i="51"/>
  <c r="X99" i="51"/>
  <c r="R99" i="51"/>
  <c r="X229" i="12"/>
  <c r="Z229" i="12" s="1"/>
  <c r="T87" i="94"/>
  <c r="Z84" i="94"/>
  <c r="V84" i="94"/>
  <c r="X85" i="64"/>
  <c r="Z85" i="64" s="1"/>
  <c r="P88" i="64"/>
  <c r="R85" i="64"/>
  <c r="X37" i="89"/>
  <c r="Z37" i="89" s="1"/>
  <c r="L36" i="19"/>
  <c r="L119" i="27"/>
  <c r="N119" i="27" s="1"/>
  <c r="F119" i="27"/>
  <c r="N51" i="74"/>
  <c r="L88" i="64"/>
  <c r="F88" i="64"/>
  <c r="N97" i="45"/>
  <c r="J97" i="45"/>
  <c r="T112" i="77"/>
  <c r="Z109" i="77"/>
  <c r="V109" i="77"/>
  <c r="Z224" i="15"/>
  <c r="V224" i="15"/>
  <c r="H232" i="12"/>
  <c r="N229" i="12"/>
  <c r="J229" i="12"/>
  <c r="Z31" i="93"/>
  <c r="F162" i="30"/>
  <c r="L45" i="83"/>
  <c r="N45" i="83" s="1"/>
  <c r="L97" i="45"/>
  <c r="F97" i="45"/>
  <c r="L78" i="76"/>
  <c r="N78" i="76" s="1"/>
  <c r="F78" i="76"/>
  <c r="P102" i="71"/>
  <c r="X99" i="71"/>
  <c r="Z99" i="71" s="1"/>
  <c r="R99" i="71"/>
  <c r="N88" i="85"/>
  <c r="J88" i="85"/>
  <c r="X87" i="33"/>
  <c r="Z87" i="33" s="1"/>
  <c r="R87" i="33"/>
  <c r="L36" i="26"/>
  <c r="L144" i="69"/>
  <c r="F144" i="69"/>
  <c r="X36" i="98"/>
  <c r="N41" i="84"/>
  <c r="Z93" i="24"/>
  <c r="V93" i="24"/>
  <c r="L36" i="16"/>
  <c r="L36" i="5"/>
  <c r="N73" i="86"/>
  <c r="L229" i="12"/>
  <c r="N83" i="92"/>
  <c r="H86" i="92"/>
  <c r="N69" i="48"/>
  <c r="J69" i="48"/>
  <c r="N37" i="55"/>
  <c r="X36" i="26"/>
  <c r="X39" i="88"/>
  <c r="Z39" i="88" s="1"/>
  <c r="L112" i="77" l="1"/>
  <c r="F112" i="77"/>
  <c r="L36" i="75"/>
  <c r="F36" i="75"/>
  <c r="V87" i="94"/>
  <c r="X69" i="48"/>
  <c r="Z69" i="48" s="1"/>
  <c r="R69" i="48"/>
  <c r="V109" i="42"/>
  <c r="V84" i="70"/>
  <c r="V119" i="27"/>
  <c r="L118" i="39"/>
  <c r="N118" i="39" s="1"/>
  <c r="F118" i="39"/>
  <c r="L87" i="94"/>
  <c r="N87" i="94" s="1"/>
  <c r="F87" i="94"/>
  <c r="X84" i="70"/>
  <c r="Z84" i="70" s="1"/>
  <c r="R84" i="70"/>
  <c r="X144" i="69"/>
  <c r="Z144" i="69" s="1"/>
  <c r="R144" i="69"/>
  <c r="X119" i="27"/>
  <c r="Z119" i="27" s="1"/>
  <c r="L102" i="71"/>
  <c r="N102" i="71" s="1"/>
  <c r="F102" i="71"/>
  <c r="V97" i="45"/>
  <c r="N73" i="73"/>
  <c r="J232" i="12"/>
  <c r="J102" i="71"/>
  <c r="X88" i="85"/>
  <c r="Z88" i="85" s="1"/>
  <c r="R88" i="85"/>
  <c r="X119" i="66"/>
  <c r="R119" i="66"/>
  <c r="N54" i="90"/>
  <c r="Z32" i="87"/>
  <c r="V32" i="87"/>
  <c r="Z88" i="79"/>
  <c r="X88" i="79"/>
  <c r="V102" i="51"/>
  <c r="L93" i="24"/>
  <c r="N93" i="24" s="1"/>
  <c r="F93" i="24"/>
  <c r="X35" i="78"/>
  <c r="R35" i="78"/>
  <c r="X102" i="71"/>
  <c r="R102" i="71"/>
  <c r="N36" i="75"/>
  <c r="J36" i="75"/>
  <c r="N112" i="77"/>
  <c r="J112" i="77"/>
  <c r="L232" i="12"/>
  <c r="N232" i="12" s="1"/>
  <c r="L117" i="36"/>
  <c r="F117" i="36"/>
  <c r="J248" i="18"/>
  <c r="L119" i="66"/>
  <c r="N119" i="66" s="1"/>
  <c r="F119" i="66"/>
  <c r="X97" i="45"/>
  <c r="Z97" i="45" s="1"/>
  <c r="L248" i="18"/>
  <c r="N248" i="18" s="1"/>
  <c r="F248" i="18"/>
  <c r="L86" i="92"/>
  <c r="F86" i="92"/>
  <c r="N224" i="15"/>
  <c r="J224" i="15"/>
  <c r="V232" i="12"/>
  <c r="N86" i="92"/>
  <c r="X88" i="64"/>
  <c r="Z88" i="64" s="1"/>
  <c r="R88" i="64"/>
  <c r="X102" i="51"/>
  <c r="Z102" i="51" s="1"/>
  <c r="R102" i="51"/>
  <c r="X86" i="92"/>
  <c r="Z86" i="92" s="1"/>
  <c r="R86" i="92"/>
  <c r="X87" i="94"/>
  <c r="Z87" i="94" s="1"/>
  <c r="N87" i="33"/>
  <c r="J87" i="33"/>
  <c r="Z119" i="66"/>
  <c r="V119" i="66"/>
  <c r="Z117" i="36"/>
  <c r="V117" i="36"/>
  <c r="N117" i="36"/>
  <c r="J117" i="36"/>
  <c r="L102" i="51"/>
  <c r="N102" i="51" s="1"/>
  <c r="F102" i="51"/>
  <c r="J102" i="51"/>
  <c r="N144" i="69"/>
  <c r="J144" i="69"/>
  <c r="L88" i="95"/>
  <c r="N88" i="95" s="1"/>
  <c r="Z35" i="78"/>
  <c r="V35" i="78"/>
  <c r="X232" i="12"/>
  <c r="Z232" i="12" s="1"/>
  <c r="V88" i="64"/>
  <c r="V112" i="77"/>
  <c r="J162" i="30"/>
  <c r="L162" i="30"/>
  <c r="N162" i="30" s="1"/>
  <c r="Z69" i="97"/>
  <c r="V69" i="97"/>
  <c r="X69" i="97"/>
  <c r="X112" i="77"/>
  <c r="Z112" i="77" s="1"/>
  <c r="Z102" i="71"/>
  <c r="V102" i="71"/>
  <c r="N88" i="64"/>
  <c r="N268" i="3"/>
  <c r="J268" i="3"/>
  <c r="X109" i="42"/>
  <c r="Z109" i="42" s="1"/>
  <c r="R109" i="42"/>
  <c r="Z162" i="30"/>
  <c r="V162" i="30"/>
  <c r="Z91" i="21"/>
  <c r="V91" i="21"/>
</calcChain>
</file>

<file path=xl/sharedStrings.xml><?xml version="1.0" encoding="utf-8"?>
<sst xmlns="http://schemas.openxmlformats.org/spreadsheetml/2006/main" count="2844" uniqueCount="314">
  <si>
    <t>Grid Title</t>
  </si>
  <si>
    <t>FxCode Text</t>
  </si>
  <si>
    <t>Storage Type</t>
  </si>
  <si>
    <t>Dim3Text</t>
  </si>
  <si>
    <t>Dim4Relate to data</t>
  </si>
  <si>
    <t>Variable Dim0Relate to data</t>
  </si>
  <si>
    <t>Variable Dim5Special Rules</t>
  </si>
  <si>
    <t>Variable Dim6</t>
  </si>
  <si>
    <t>Variable Dim6Relate to data</t>
  </si>
  <si>
    <t>Variable Dim8Text</t>
  </si>
  <si>
    <t>Variable Dim Name12</t>
  </si>
  <si>
    <t>Variable Dim12Text</t>
  </si>
  <si>
    <t>Storage Field0</t>
  </si>
  <si>
    <t>Storage Field9 Name</t>
  </si>
  <si>
    <t>Storage Field14</t>
  </si>
  <si>
    <t>Storage Field18</t>
  </si>
  <si>
    <t>DimGridName</t>
  </si>
  <si>
    <t>Chart 4th Data Series</t>
  </si>
  <si>
    <t>Chart 4th Data Series Name</t>
  </si>
  <si>
    <t>IGRowLabelRange</t>
  </si>
  <si>
    <t>MinDG</t>
  </si>
  <si>
    <t>Division 308 - Combined Textbooks</t>
  </si>
  <si>
    <t>Division 331 - Combined 315 &amp; 326</t>
  </si>
  <si>
    <t xml:space="preserve">Forty Niner Shops, Inc. </t>
  </si>
  <si>
    <t>Module Name</t>
  </si>
  <si>
    <t>Time  Relate to data</t>
  </si>
  <si>
    <t>Scenario  Special Rules</t>
  </si>
  <si>
    <t>Category  Special Rules</t>
  </si>
  <si>
    <t>Dim2Text</t>
  </si>
  <si>
    <t>Variable Dim7Special Rules</t>
  </si>
  <si>
    <t>Variable Dim7Text</t>
  </si>
  <si>
    <t>Variable Dim10Relate to data</t>
  </si>
  <si>
    <t>Variable Dim10Special Rules</t>
  </si>
  <si>
    <t>Variable Dim11Text</t>
  </si>
  <si>
    <t>Variable Dim Name16</t>
  </si>
  <si>
    <t>Storage Field3 Name</t>
  </si>
  <si>
    <t>Storage Field4</t>
  </si>
  <si>
    <t>Storage Field8</t>
  </si>
  <si>
    <t>LIDColLabelRange</t>
  </si>
  <si>
    <t>YEAR TO DATE</t>
  </si>
  <si>
    <t>% of Sales</t>
  </si>
  <si>
    <t>Time Text</t>
  </si>
  <si>
    <t>Dim0Special Rules</t>
  </si>
  <si>
    <t>Dim1</t>
  </si>
  <si>
    <t>Variable Dim Name1</t>
  </si>
  <si>
    <t>Variable Dim1Relate to data</t>
  </si>
  <si>
    <t>Variable Dim Name5</t>
  </si>
  <si>
    <t>Variable Dim6Text</t>
  </si>
  <si>
    <t>Variable Dim10Text</t>
  </si>
  <si>
    <t>Variable Dim12Special Rules</t>
  </si>
  <si>
    <t>Variable Dim16Relate to data</t>
  </si>
  <si>
    <t>Storage Field13 Name</t>
  </si>
  <si>
    <t>Storage Field19 Name</t>
  </si>
  <si>
    <t>ChartType</t>
  </si>
  <si>
    <t>Chart 5th Data Series</t>
  </si>
  <si>
    <t>Division 310 &amp; 491 - C-Stores &amp; Cash Food Operations</t>
  </si>
  <si>
    <t>Tess.Monzon@csulb.edu</t>
  </si>
  <si>
    <t>Actual</t>
  </si>
  <si>
    <t>Grid Cell Range</t>
  </si>
  <si>
    <t>Time  Special Rules</t>
  </si>
  <si>
    <t>Scenario</t>
  </si>
  <si>
    <t>Retain Zero Value</t>
  </si>
  <si>
    <t>Dim1Text</t>
  </si>
  <si>
    <t>Dim2Special Rules</t>
  </si>
  <si>
    <t>Dim Label3</t>
  </si>
  <si>
    <t>Dim5</t>
  </si>
  <si>
    <t>Dim5Relate to data</t>
  </si>
  <si>
    <t>Dim Label7</t>
  </si>
  <si>
    <t>Dim9</t>
  </si>
  <si>
    <t>Variable Dim7Relate to data</t>
  </si>
  <si>
    <t>Variable Dim Name9</t>
  </si>
  <si>
    <t>Variable Dim9Special Rules</t>
  </si>
  <si>
    <t>Variable Dim13</t>
  </si>
  <si>
    <t>Variable Dim14Special Rules</t>
  </si>
  <si>
    <t>Storage Field8 Name</t>
  </si>
  <si>
    <t>Storage Field11</t>
  </si>
  <si>
    <t>StorageGridName</t>
  </si>
  <si>
    <t>Chart 2nd Data Series</t>
  </si>
  <si>
    <t>Chart 2nd Data Series Name</t>
  </si>
  <si>
    <t>LIDRowsNumber</t>
  </si>
  <si>
    <t>Division 330 - Combined 307 &amp; 314</t>
  </si>
  <si>
    <t>Interest Income/Other</t>
  </si>
  <si>
    <t>Grid Special Rules</t>
  </si>
  <si>
    <t>Dim0Text</t>
  </si>
  <si>
    <t>Dim4Special Rules</t>
  </si>
  <si>
    <t>Variable Dim3</t>
  </si>
  <si>
    <t>Variable Dim5Text</t>
  </si>
  <si>
    <t>Variable Dim7</t>
  </si>
  <si>
    <t>Variable Dim11Relate to data</t>
  </si>
  <si>
    <t>Variable Dim Name13</t>
  </si>
  <si>
    <t>Variable Dim16Special Rules</t>
  </si>
  <si>
    <t>Variable Dim17</t>
  </si>
  <si>
    <t>Variable Dim17Relate to data</t>
  </si>
  <si>
    <t>Storage Field1</t>
  </si>
  <si>
    <t>Storage Field2 Name</t>
  </si>
  <si>
    <t>Storage Field15</t>
  </si>
  <si>
    <t>Storage Field18 Name</t>
  </si>
  <si>
    <t>Storage Field19</t>
  </si>
  <si>
    <t>Running Actual Sheet row Number</t>
  </si>
  <si>
    <t>ChartDisplayLabel</t>
  </si>
  <si>
    <t>Chart 6th Data Series Name</t>
  </si>
  <si>
    <t>DG Display Label</t>
  </si>
  <si>
    <t>IGDataRange</t>
  </si>
  <si>
    <t>IGDecimalDigits</t>
  </si>
  <si>
    <t>Division 5 - ID Card Services</t>
  </si>
  <si>
    <t>Division 491 - Cash Food Operations</t>
  </si>
  <si>
    <t>Division 3 - Bookstore &amp; C-Stores</t>
  </si>
  <si>
    <t>GROSS MARGIN</t>
  </si>
  <si>
    <t>Entity Special Rules</t>
  </si>
  <si>
    <t>Updated Date</t>
  </si>
  <si>
    <t>Dim0Relate to data</t>
  </si>
  <si>
    <t>Dim6Relate to data</t>
  </si>
  <si>
    <t>Dim6Special Rules</t>
  </si>
  <si>
    <t>Variable Dim0Special Rules</t>
  </si>
  <si>
    <t>Variable Dim2Relate to data</t>
  </si>
  <si>
    <t>Variable Dim4Text</t>
  </si>
  <si>
    <t>Variable Dim Name17</t>
  </si>
  <si>
    <t>Variable Dim18Special Rules</t>
  </si>
  <si>
    <t>Storage Field5</t>
  </si>
  <si>
    <t>Storage Field9</t>
  </si>
  <si>
    <t>Storage Field12 Name</t>
  </si>
  <si>
    <t>Enable SIMWindow</t>
  </si>
  <si>
    <t>Chart 6th Data Series</t>
  </si>
  <si>
    <t>BudgetTotal</t>
  </si>
  <si>
    <t>Division 332 - Combined 316, 320, &amp; 323</t>
  </si>
  <si>
    <t>OPERATING CONTRIBUTION</t>
  </si>
  <si>
    <t>Variance</t>
  </si>
  <si>
    <t>G &amp; A Allocation</t>
  </si>
  <si>
    <t>Entity</t>
  </si>
  <si>
    <t>Time</t>
  </si>
  <si>
    <t>Dim Label0</t>
  </si>
  <si>
    <t>Dim2</t>
  </si>
  <si>
    <t>Dim8Special Rules</t>
  </si>
  <si>
    <t>Variable Dim Name2</t>
  </si>
  <si>
    <t>Variable Dim3Text</t>
  </si>
  <si>
    <t>Variable Dim8Relate to data</t>
  </si>
  <si>
    <t>Storage Field7 Name</t>
  </si>
  <si>
    <t>Chart 1stData Series</t>
  </si>
  <si>
    <t>Division 2 - Administration</t>
  </si>
  <si>
    <t>Sales</t>
  </si>
  <si>
    <t>Dim Label4</t>
  </si>
  <si>
    <t>Dim6</t>
  </si>
  <si>
    <t>Dim Label8</t>
  </si>
  <si>
    <t>Variable Dim0</t>
  </si>
  <si>
    <t>Variable Dim2Special Rules</t>
  </si>
  <si>
    <t>Variable Dim2Text</t>
  </si>
  <si>
    <t>Variable Dim Name6</t>
  </si>
  <si>
    <t>Variable Dim10</t>
  </si>
  <si>
    <t>Variable Dim12Relate to data</t>
  </si>
  <si>
    <t>Variable Dim14</t>
  </si>
  <si>
    <t>Variable Dim18Relate to data</t>
  </si>
  <si>
    <t>Variable Dim19Text</t>
  </si>
  <si>
    <t>Storage Field1 Name</t>
  </si>
  <si>
    <t>Storage Field12</t>
  </si>
  <si>
    <t>Storage Field17 Name</t>
  </si>
  <si>
    <t>DimSheetName</t>
  </si>
  <si>
    <t>StorageSheetName</t>
  </si>
  <si>
    <t>Running Actual Grid Number</t>
  </si>
  <si>
    <t>DGHide</t>
  </si>
  <si>
    <t>IGDisplayLabel</t>
  </si>
  <si>
    <t>Entity Relate to data</t>
  </si>
  <si>
    <t>Scenario  Relate to data</t>
  </si>
  <si>
    <t>Dim1Relate to data</t>
  </si>
  <si>
    <t>Dim7Relate to data</t>
  </si>
  <si>
    <t>Dim9Text</t>
  </si>
  <si>
    <t>Variable Dim3Relate to data</t>
  </si>
  <si>
    <t>Variable Dim4</t>
  </si>
  <si>
    <t>Variable Dim4Special Rules</t>
  </si>
  <si>
    <t>Variable Dim8</t>
  </si>
  <si>
    <t>Variable Dim9Relate to data</t>
  </si>
  <si>
    <t>Variable Dim Name10</t>
  </si>
  <si>
    <t>Variable Dim Name14</t>
  </si>
  <si>
    <t>Variable Dim18</t>
  </si>
  <si>
    <t>Variable Dim18Text</t>
  </si>
  <si>
    <t>Storage Field2</t>
  </si>
  <si>
    <t>Storage Field11 Name</t>
  </si>
  <si>
    <t>Storage Field16</t>
  </si>
  <si>
    <t>Interface Setting Grid Number</t>
  </si>
  <si>
    <t>Chart Legend Location</t>
  </si>
  <si>
    <t>Chart 3rd Data Series</t>
  </si>
  <si>
    <t>DGRow Label</t>
  </si>
  <si>
    <t>ActualTotal</t>
  </si>
  <si>
    <t>Division 492 - Residential Dining</t>
  </si>
  <si>
    <t>Gain/(Loss) on FMV of Investments</t>
  </si>
  <si>
    <t>Scenario Text</t>
  </si>
  <si>
    <t>Category</t>
  </si>
  <si>
    <t>FxCode  Special Rules</t>
  </si>
  <si>
    <t>Variable Dim1Text</t>
  </si>
  <si>
    <t>Variable Dim6Special Rules</t>
  </si>
  <si>
    <t>Variable Dim11Special Rules</t>
  </si>
  <si>
    <t>Variable Dim17Text</t>
  </si>
  <si>
    <t>Variable Dim Name18</t>
  </si>
  <si>
    <t>Storage Field0 Name</t>
  </si>
  <si>
    <t>Storage Field6</t>
  </si>
  <si>
    <t>Storage Field6 Name</t>
  </si>
  <si>
    <t>Active Grid Number</t>
  </si>
  <si>
    <t>Chart 3rd Data SeriesName</t>
  </si>
  <si>
    <t>IGHide</t>
  </si>
  <si>
    <t>Division 310 - C-Stores</t>
  </si>
  <si>
    <t>Division 4 - Food Services</t>
  </si>
  <si>
    <t>Category  Relate to data</t>
  </si>
  <si>
    <t>FxCode  Relate to data</t>
  </si>
  <si>
    <t>Dim1Special Rules</t>
  </si>
  <si>
    <t>Dim2Relate to data</t>
  </si>
  <si>
    <t>Dim3</t>
  </si>
  <si>
    <t>Dim8Text</t>
  </si>
  <si>
    <t>Variable Dim0Text</t>
  </si>
  <si>
    <t>Variable Dim Name3</t>
  </si>
  <si>
    <t>Variable Dim8Special Rules</t>
  </si>
  <si>
    <t>Variable Dim13Relate to data</t>
  </si>
  <si>
    <t>Variable Dim19Relate to data</t>
  </si>
  <si>
    <t>Storage Field10 Name</t>
  </si>
  <si>
    <t>Storage Field16 Name</t>
  </si>
  <si>
    <t>ChartXAxiesLabel</t>
  </si>
  <si>
    <t>Chart 1st DataSeries Name</t>
  </si>
  <si>
    <t>Chart 5th Data Series Name</t>
  </si>
  <si>
    <t>EnableLID</t>
  </si>
  <si>
    <t>Division 1 - Corporate</t>
  </si>
  <si>
    <t>Division 6 - Computer Store</t>
  </si>
  <si>
    <t>Dim Label1</t>
  </si>
  <si>
    <t>Dim3Special Rules</t>
  </si>
  <si>
    <t>Dim Label5</t>
  </si>
  <si>
    <t>Dim7</t>
  </si>
  <si>
    <t>Dim7Text</t>
  </si>
  <si>
    <t>Dim8Relate to data</t>
  </si>
  <si>
    <t>Dim Label9</t>
  </si>
  <si>
    <t>Variable Dim1</t>
  </si>
  <si>
    <t>Variable Dim4Relate to data</t>
  </si>
  <si>
    <t>Variable Dim Name7</t>
  </si>
  <si>
    <t>Variable Dim11</t>
  </si>
  <si>
    <t>Variable Dim13Special Rules</t>
  </si>
  <si>
    <t>Variable Dim15</t>
  </si>
  <si>
    <t>Variable Dim16Text</t>
  </si>
  <si>
    <t>Storage Field5 Name</t>
  </si>
  <si>
    <t>SliderMinMovePer</t>
  </si>
  <si>
    <t>TotalHide</t>
  </si>
  <si>
    <t>Combined Operating Statement by Department</t>
  </si>
  <si>
    <t>Prior Year</t>
  </si>
  <si>
    <t>Sheet Name</t>
  </si>
  <si>
    <t>Entity Text</t>
  </si>
  <si>
    <t>Category Text</t>
  </si>
  <si>
    <t>Dim5Special Rules</t>
  </si>
  <si>
    <t>Dim6Text</t>
  </si>
  <si>
    <t>Variable Dim5</t>
  </si>
  <si>
    <t>Variable Dim9</t>
  </si>
  <si>
    <t>Variable Dim Name11</t>
  </si>
  <si>
    <t>Variable Dim14Relate to data</t>
  </si>
  <si>
    <t>Variable Dim15Special Rules</t>
  </si>
  <si>
    <t>Variable Dim15Text</t>
  </si>
  <si>
    <t>Variable Dim19</t>
  </si>
  <si>
    <t>Storage Field13</t>
  </si>
  <si>
    <t>Storage Field17</t>
  </si>
  <si>
    <t>DG Decimal Digits</t>
  </si>
  <si>
    <t>LIDHide</t>
  </si>
  <si>
    <t>SliderMaxpercentage</t>
  </si>
  <si>
    <t>Division 300 - Bookstore</t>
  </si>
  <si>
    <t>Cost of Goods Sold</t>
  </si>
  <si>
    <t>% Variance</t>
  </si>
  <si>
    <t xml:space="preserve">FxCode </t>
  </si>
  <si>
    <t>Dim3Relate to data</t>
  </si>
  <si>
    <t>Dim9Relate to data</t>
  </si>
  <si>
    <t>Variable Dim5Relate to data</t>
  </si>
  <si>
    <t>Variable Dim14Text</t>
  </si>
  <si>
    <t>Variable Dim Name15</t>
  </si>
  <si>
    <t>Variable Dim17Special Rules</t>
  </si>
  <si>
    <t>Variable Dim Name19</t>
  </si>
  <si>
    <t>Storage Field3</t>
  </si>
  <si>
    <t>Storage Field7</t>
  </si>
  <si>
    <t>Storage Field15 Name</t>
  </si>
  <si>
    <t>Period Type</t>
  </si>
  <si>
    <t>ChartHide</t>
  </si>
  <si>
    <t>DGData</t>
  </si>
  <si>
    <t>IGColLabelRange</t>
  </si>
  <si>
    <t>LIDActualDataRange</t>
  </si>
  <si>
    <t>LIDDisplayLabel</t>
  </si>
  <si>
    <t>TotalGridHeadings</t>
  </si>
  <si>
    <t>OPERATING INCOME</t>
  </si>
  <si>
    <t>Created Date</t>
  </si>
  <si>
    <t>Dim0</t>
  </si>
  <si>
    <t>Dim4</t>
  </si>
  <si>
    <t>Dim5Text</t>
  </si>
  <si>
    <t>Dim7Special Rules</t>
  </si>
  <si>
    <t>Variable Dim Name0</t>
  </si>
  <si>
    <t>Variable Dim1Special Rules</t>
  </si>
  <si>
    <t>Variable Dim Name4</t>
  </si>
  <si>
    <t>Variable Dim13Text</t>
  </si>
  <si>
    <t>Variable Dim19Special Rules</t>
  </si>
  <si>
    <t>Storage Field4 Name</t>
  </si>
  <si>
    <t>DGCol Label</t>
  </si>
  <si>
    <t>MinChart</t>
  </si>
  <si>
    <t>EnableCustomSpreading</t>
  </si>
  <si>
    <t>CURRENT PERIOD</t>
  </si>
  <si>
    <t>Credits &amp; Revenues</t>
  </si>
  <si>
    <t>NET CONTRIBUTION</t>
  </si>
  <si>
    <t>Operating Expenses</t>
  </si>
  <si>
    <t>InfoManager Number</t>
  </si>
  <si>
    <t>Dim Label2</t>
  </si>
  <si>
    <t>Dim4Text</t>
  </si>
  <si>
    <t>Dim Label6</t>
  </si>
  <si>
    <t>Dim8</t>
  </si>
  <si>
    <t>Dim9Special Rules</t>
  </si>
  <si>
    <t>Variable Dim2</t>
  </si>
  <si>
    <t>Variable Dim3Special Rules</t>
  </si>
  <si>
    <t>Variable Dim Name8</t>
  </si>
  <si>
    <t>Variable Dim9Text</t>
  </si>
  <si>
    <t>Variable Dim12</t>
  </si>
  <si>
    <t>Variable Dim15Relate to data</t>
  </si>
  <si>
    <t>Variable Dim16</t>
  </si>
  <si>
    <t>Storage Field10</t>
  </si>
  <si>
    <t>Storage Field14 Name</t>
  </si>
  <si>
    <t>SaveType</t>
  </si>
  <si>
    <t>FormatType</t>
  </si>
  <si>
    <t>All Departments</t>
  </si>
  <si>
    <t>Division 300 &amp; 317 - Bookstore &amp;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</si>
</sst>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 d\,\ yyyy;@"/>
    <numFmt numFmtId="166" formatCode="[$-409]m/d/yy\ h:mm\ AM/PM;@"/>
    <numFmt numFmtId="167" formatCode="#,##0.0%;\(#,##0.0%\)"/>
    <numFmt numFmtId="168" formatCode="_(&quot;$&quot;* #,##0_);_(&quot;$&quot;* \(#,##0\);_(&quot;$&quot;* &quot;-&quot;??_);_(@_)"/>
  </numFmts>
  <fonts count="7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0" tint="-0.4999542222357860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 tint="-0.4999542222357860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67">
    <xf numFmtId="0" fontId="0" fillId="0" borderId="0" xfId="0"/>
    <xf numFmtId="164" fontId="0" fillId="0" borderId="0" xfId="1" applyNumberFormat="1" applyFont="1" applyFill="1" applyBorder="1"/>
    <xf numFmtId="164" fontId="1" fillId="0" borderId="0" xfId="1" applyNumberFormat="1" applyFont="1" applyFill="1"/>
    <xf numFmtId="164" fontId="0" fillId="0" borderId="0" xfId="1" applyNumberFormat="1" applyFont="1" applyFill="1"/>
    <xf numFmtId="164" fontId="2" fillId="0" borderId="0" xfId="1" applyNumberFormat="1" applyFont="1" applyFill="1"/>
    <xf numFmtId="167" fontId="0" fillId="0" borderId="0" xfId="3" applyNumberFormat="1" applyFont="1" applyFill="1" applyBorder="1"/>
    <xf numFmtId="164" fontId="1" fillId="0" borderId="0" xfId="1" applyNumberFormat="1" applyFont="1" applyFill="1" applyBorder="1"/>
    <xf numFmtId="167" fontId="1" fillId="0" borderId="0" xfId="3" applyNumberFormat="1" applyFont="1" applyFill="1" applyBorder="1"/>
    <xf numFmtId="167" fontId="0" fillId="0" borderId="0" xfId="3" applyNumberFormat="1" applyFont="1" applyFill="1"/>
    <xf numFmtId="0" fontId="0" fillId="0" borderId="0" xfId="0" applyFill="1"/>
    <xf numFmtId="0" fontId="2" fillId="0" borderId="0" xfId="0" applyFont="1" applyFill="1"/>
    <xf numFmtId="0" fontId="1" fillId="0" borderId="0" xfId="0" applyFont="1" applyFill="1"/>
    <xf numFmtId="167" fontId="2" fillId="0" borderId="0" xfId="3" applyNumberFormat="1" applyFont="1" applyFill="1"/>
    <xf numFmtId="164" fontId="2" fillId="2" borderId="0" xfId="1" applyNumberFormat="1" applyFont="1" applyFill="1" applyBorder="1"/>
    <xf numFmtId="0" fontId="0" fillId="0" borderId="0" xfId="0" applyFont="1" applyFill="1" applyBorder="1"/>
    <xf numFmtId="0" fontId="2" fillId="2" borderId="1" xfId="0" applyFont="1" applyFill="1" applyBorder="1" applyAlignment="1">
      <alignment horizontal="centerContinuous"/>
    </xf>
    <xf numFmtId="164" fontId="2" fillId="2" borderId="0" xfId="1" applyNumberFormat="1" applyFont="1" applyFill="1"/>
    <xf numFmtId="164" fontId="0" fillId="0" borderId="0" xfId="1" applyNumberFormat="1" applyFont="1"/>
    <xf numFmtId="0" fontId="0" fillId="0" borderId="0" xfId="0" applyAlignment="1">
      <alignment horizontal="centerContinuous"/>
    </xf>
    <xf numFmtId="167" fontId="1" fillId="0" borderId="0" xfId="3" applyNumberFormat="1" applyFont="1" applyFill="1"/>
    <xf numFmtId="164" fontId="2" fillId="0" borderId="0" xfId="1" applyNumberFormat="1" applyFont="1" applyFill="1" applyBorder="1"/>
    <xf numFmtId="168" fontId="2" fillId="2" borderId="2" xfId="2" applyNumberFormat="1" applyFont="1" applyFill="1" applyBorder="1"/>
    <xf numFmtId="167" fontId="2" fillId="2" borderId="2" xfId="3" applyNumberFormat="1" applyFont="1" applyFill="1" applyBorder="1"/>
    <xf numFmtId="0" fontId="2" fillId="0" borderId="0" xfId="0" applyFont="1"/>
    <xf numFmtId="0" fontId="1" fillId="0" borderId="0" xfId="0" applyFont="1"/>
    <xf numFmtId="0" fontId="2" fillId="2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49" fontId="1" fillId="0" borderId="0" xfId="0" applyNumberFormat="1" applyFont="1" applyFill="1" applyAlignment="1">
      <alignment horizontal="right"/>
    </xf>
    <xf numFmtId="49" fontId="0" fillId="0" borderId="0" xfId="0" applyNumberFormat="1" applyFont="1" applyFill="1" applyBorder="1" applyAlignment="1">
      <alignment horizontal="right"/>
    </xf>
    <xf numFmtId="0" fontId="0" fillId="0" borderId="0" xfId="0" applyFont="1" applyBorder="1"/>
    <xf numFmtId="49" fontId="2" fillId="0" borderId="0" xfId="0" applyNumberFormat="1" applyFont="1" applyFill="1" applyBorder="1" applyAlignment="1">
      <alignment horizontal="center"/>
    </xf>
    <xf numFmtId="167" fontId="2" fillId="2" borderId="3" xfId="3" applyNumberFormat="1" applyFont="1" applyFill="1" applyBorder="1"/>
    <xf numFmtId="167" fontId="2" fillId="0" borderId="0" xfId="3" applyNumberFormat="1" applyFont="1" applyFill="1" applyBorder="1"/>
    <xf numFmtId="167" fontId="2" fillId="2" borderId="4" xfId="3" applyNumberFormat="1" applyFont="1" applyFill="1" applyBorder="1"/>
    <xf numFmtId="167" fontId="2" fillId="2" borderId="1" xfId="3" applyNumberFormat="1" applyFont="1" applyFill="1" applyBorder="1" applyAlignment="1">
      <alignment horizontal="center"/>
    </xf>
    <xf numFmtId="168" fontId="2" fillId="2" borderId="3" xfId="2" applyNumberFormat="1" applyFont="1" applyFill="1" applyBorder="1"/>
    <xf numFmtId="168" fontId="2" fillId="2" borderId="4" xfId="2" applyNumberFormat="1" applyFont="1" applyFill="1" applyBorder="1"/>
    <xf numFmtId="0" fontId="0" fillId="0" borderId="0" xfId="0" applyFill="1" applyBorder="1"/>
    <xf numFmtId="167" fontId="0" fillId="0" borderId="0" xfId="0" applyNumberFormat="1"/>
    <xf numFmtId="167" fontId="0" fillId="0" borderId="0" xfId="0" applyNumberFormat="1" applyAlignment="1">
      <alignment horizontal="centerContinuous"/>
    </xf>
    <xf numFmtId="167" fontId="2" fillId="2" borderId="1" xfId="3" applyNumberFormat="1" applyFont="1" applyFill="1" applyBorder="1" applyAlignment="1">
      <alignment horizontal="centerContinuous"/>
    </xf>
    <xf numFmtId="0" fontId="0" fillId="3" borderId="5" xfId="0" applyFill="1" applyBorder="1" applyAlignment="1">
      <alignment horizontal="center" vertical="center" wrapText="1"/>
    </xf>
    <xf numFmtId="167" fontId="0" fillId="0" borderId="0" xfId="1" applyNumberFormat="1" applyFont="1"/>
    <xf numFmtId="0" fontId="2" fillId="2" borderId="1" xfId="0" applyFont="1" applyFill="1" applyBorder="1" applyAlignment="1">
      <alignment horizontal="center"/>
    </xf>
    <xf numFmtId="49" fontId="1" fillId="0" borderId="0" xfId="0" applyNumberFormat="1" applyFont="1" applyFill="1"/>
    <xf numFmtId="167" fontId="0" fillId="0" borderId="0" xfId="0" applyNumberFormat="1" applyFill="1"/>
    <xf numFmtId="167" fontId="0" fillId="0" borderId="0" xfId="3" applyNumberFormat="1" applyFont="1"/>
    <xf numFmtId="167" fontId="2" fillId="2" borderId="1" xfId="0" applyNumberFormat="1" applyFont="1" applyFill="1" applyBorder="1" applyAlignment="1">
      <alignment horizontal="centerContinuous"/>
    </xf>
    <xf numFmtId="167" fontId="0" fillId="0" borderId="0" xfId="3" applyNumberFormat="1" applyFont="1" applyAlignment="1">
      <alignment horizontal="centerContinuous"/>
    </xf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 applyFill="1"/>
    <xf numFmtId="166" fontId="3" fillId="0" borderId="0" xfId="0" applyNumberFormat="1" applyFont="1" applyAlignment="1">
      <alignment horizontal="left"/>
    </xf>
    <xf numFmtId="164" fontId="2" fillId="0" borderId="0" xfId="1" applyNumberFormat="1" applyFont="1" applyFill="1" applyAlignment="1">
      <alignment horizontal="centerContinuous"/>
    </xf>
    <xf numFmtId="0" fontId="2" fillId="0" borderId="0" xfId="0" applyFont="1" applyFill="1" applyBorder="1"/>
    <xf numFmtId="165" fontId="0" fillId="0" borderId="0" xfId="0" applyNumberFormat="1"/>
    <xf numFmtId="49" fontId="2" fillId="2" borderId="1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4" fillId="0" borderId="0" xfId="0" applyFont="1" applyFill="1"/>
    <xf numFmtId="0" fontId="3" fillId="0" borderId="0" xfId="0" applyFont="1" applyAlignment="1">
      <alignment horizontal="left"/>
    </xf>
    <xf numFmtId="0" fontId="0" fillId="0" borderId="0" xfId="0" applyFill="1" applyAlignment="1">
      <alignment horizontal="centerContinuous"/>
    </xf>
    <xf numFmtId="0" fontId="5" fillId="0" borderId="0" xfId="0" applyFont="1"/>
    <xf numFmtId="0" fontId="0" fillId="0" borderId="0" xfId="0" applyBorder="1"/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0" borderId="0" xfId="0" applyNumberFormat="1"/>
    <xf numFmtId="49" fontId="0" fillId="3" borderId="5" xfId="0" applyNumberFormat="1" applyFill="1" applyBorder="1" applyAlignment="1">
      <alignment horizontal="center" vertical="center" wrapText="1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tyles" Target="styles.xml"/><Relationship Id="rId10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theme" Target="theme/theme1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9964</xdr:colOff>
      <xdr:row>1</xdr:row>
      <xdr:rowOff>11534</xdr:rowOff>
    </xdr:from>
    <xdr:to>
      <xdr:col>1</xdr:col>
      <xdr:colOff>1772262</xdr:colOff>
      <xdr:row>8</xdr:row>
      <xdr:rowOff>56157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264" y="201399"/>
          <a:ext cx="1762298" cy="13736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Z3"/>
  <sheetViews>
    <sheetView workbookViewId="0"/>
  </sheetViews>
  <sheetFormatPr defaultRowHeight="14.4" x14ac:dyDescent="0.3"/>
  <cols>
    <col min="1" max="130" width="20.6640625" customWidth="1"/>
  </cols>
  <sheetData>
    <row r="1" spans="1:130" x14ac:dyDescent="0.3">
      <c r="B1">
        <v>4</v>
      </c>
    </row>
    <row r="3" spans="1:130" ht="28.8" x14ac:dyDescent="0.3">
      <c r="A3" s="41" t="s">
        <v>177</v>
      </c>
      <c r="B3" s="41" t="s">
        <v>195</v>
      </c>
      <c r="C3" s="41" t="s">
        <v>238</v>
      </c>
      <c r="D3" s="41" t="s">
        <v>98</v>
      </c>
      <c r="E3" s="41" t="s">
        <v>157</v>
      </c>
      <c r="F3" s="41" t="s">
        <v>0</v>
      </c>
      <c r="G3" s="41" t="s">
        <v>178</v>
      </c>
      <c r="H3" s="41" t="s">
        <v>53</v>
      </c>
      <c r="I3" s="41" t="s">
        <v>99</v>
      </c>
      <c r="J3" s="41" t="s">
        <v>213</v>
      </c>
      <c r="K3" s="41" t="s">
        <v>137</v>
      </c>
      <c r="L3" s="41" t="s">
        <v>214</v>
      </c>
      <c r="M3" s="41" t="s">
        <v>77</v>
      </c>
      <c r="N3" s="41" t="s">
        <v>78</v>
      </c>
      <c r="O3" s="41" t="s">
        <v>179</v>
      </c>
      <c r="P3" s="41" t="s">
        <v>196</v>
      </c>
      <c r="Q3" s="41" t="s">
        <v>17</v>
      </c>
      <c r="R3" s="41" t="s">
        <v>18</v>
      </c>
      <c r="S3" s="41" t="s">
        <v>54</v>
      </c>
      <c r="T3" s="41" t="s">
        <v>215</v>
      </c>
      <c r="U3" s="41" t="s">
        <v>270</v>
      </c>
      <c r="V3" s="41" t="s">
        <v>288</v>
      </c>
      <c r="W3" s="41" t="s">
        <v>180</v>
      </c>
      <c r="X3" s="41" t="s">
        <v>271</v>
      </c>
      <c r="Y3" s="41" t="s">
        <v>101</v>
      </c>
      <c r="Z3" s="41" t="s">
        <v>252</v>
      </c>
      <c r="AA3" s="41" t="s">
        <v>158</v>
      </c>
      <c r="AB3" s="41" t="s">
        <v>272</v>
      </c>
      <c r="AC3" s="41" t="s">
        <v>19</v>
      </c>
      <c r="AD3" s="41" t="s">
        <v>102</v>
      </c>
      <c r="AE3" s="41" t="s">
        <v>159</v>
      </c>
      <c r="AF3" s="41" t="s">
        <v>103</v>
      </c>
      <c r="AG3" s="41" t="s">
        <v>197</v>
      </c>
      <c r="AH3" s="41" t="s">
        <v>38</v>
      </c>
      <c r="AI3" s="41" t="s">
        <v>273</v>
      </c>
      <c r="AJ3" s="41" t="s">
        <v>274</v>
      </c>
      <c r="AK3" s="41" t="s">
        <v>79</v>
      </c>
      <c r="AL3" s="41" t="s">
        <v>253</v>
      </c>
      <c r="AM3" s="41" t="s">
        <v>254</v>
      </c>
      <c r="AN3" s="41" t="s">
        <v>234</v>
      </c>
      <c r="AO3" s="41" t="s">
        <v>310</v>
      </c>
      <c r="AP3" s="41" t="s">
        <v>311</v>
      </c>
      <c r="AQ3" s="41" t="s">
        <v>123</v>
      </c>
      <c r="AR3" s="41" t="s">
        <v>181</v>
      </c>
      <c r="AS3" s="41" t="s">
        <v>235</v>
      </c>
      <c r="AT3" s="41" t="s">
        <v>275</v>
      </c>
      <c r="AU3" s="41" t="s">
        <v>216</v>
      </c>
      <c r="AV3" s="41" t="s">
        <v>122</v>
      </c>
      <c r="AW3" s="41" t="s">
        <v>100</v>
      </c>
      <c r="AX3" s="41" t="s">
        <v>289</v>
      </c>
      <c r="AY3" s="41" t="s">
        <v>20</v>
      </c>
      <c r="AZ3" s="41" t="s">
        <v>290</v>
      </c>
      <c r="BA3" s="41" t="s">
        <v>277</v>
      </c>
      <c r="BB3" s="41" t="s">
        <v>109</v>
      </c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sqref="A1:XFD1048576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L10002"/>
  <sheetViews>
    <sheetView workbookViewId="0"/>
  </sheetViews>
  <sheetFormatPr defaultRowHeight="14.4" x14ac:dyDescent="0.3"/>
  <cols>
    <col min="1" max="220" width="20.6640625" customWidth="1"/>
    <col min="221" max="221" width="20.6640625" style="65" customWidth="1"/>
    <col min="222" max="223" width="20.6640625" customWidth="1"/>
  </cols>
  <sheetData>
    <row r="1" spans="1:272" x14ac:dyDescent="0.3">
      <c r="D1">
        <v>4</v>
      </c>
    </row>
    <row r="2" spans="1:272" x14ac:dyDescent="0.3">
      <c r="JK2">
        <v>271</v>
      </c>
      <c r="JL2">
        <v>4</v>
      </c>
    </row>
    <row r="3" spans="1:272" ht="28.8" x14ac:dyDescent="0.3">
      <c r="A3" s="41" t="s">
        <v>238</v>
      </c>
      <c r="B3" s="41" t="s">
        <v>295</v>
      </c>
      <c r="C3" s="41" t="s">
        <v>0</v>
      </c>
      <c r="D3" s="41" t="s">
        <v>58</v>
      </c>
      <c r="E3" s="41" t="s">
        <v>82</v>
      </c>
      <c r="F3" s="41" t="s">
        <v>24</v>
      </c>
      <c r="G3" s="41" t="s">
        <v>128</v>
      </c>
      <c r="H3" s="41" t="s">
        <v>160</v>
      </c>
      <c r="I3" s="41" t="s">
        <v>108</v>
      </c>
      <c r="J3" s="41" t="s">
        <v>239</v>
      </c>
      <c r="K3" s="41" t="s">
        <v>129</v>
      </c>
      <c r="L3" s="41" t="s">
        <v>25</v>
      </c>
      <c r="M3" s="41" t="s">
        <v>59</v>
      </c>
      <c r="N3" s="41" t="s">
        <v>41</v>
      </c>
      <c r="O3" s="41" t="s">
        <v>60</v>
      </c>
      <c r="P3" s="41" t="s">
        <v>161</v>
      </c>
      <c r="Q3" s="41" t="s">
        <v>26</v>
      </c>
      <c r="R3" s="41" t="s">
        <v>184</v>
      </c>
      <c r="S3" s="41" t="s">
        <v>185</v>
      </c>
      <c r="T3" s="41" t="s">
        <v>200</v>
      </c>
      <c r="U3" s="41" t="s">
        <v>27</v>
      </c>
      <c r="V3" s="41" t="s">
        <v>240</v>
      </c>
      <c r="W3" s="41" t="s">
        <v>258</v>
      </c>
      <c r="X3" s="41" t="s">
        <v>201</v>
      </c>
      <c r="Y3" s="41" t="s">
        <v>186</v>
      </c>
      <c r="Z3" s="41" t="s">
        <v>1</v>
      </c>
      <c r="AA3" s="41" t="s">
        <v>278</v>
      </c>
      <c r="AB3" s="41" t="s">
        <v>130</v>
      </c>
      <c r="AC3" s="41" t="s">
        <v>110</v>
      </c>
      <c r="AD3" s="41" t="s">
        <v>42</v>
      </c>
      <c r="AE3" s="41" t="s">
        <v>83</v>
      </c>
      <c r="AF3" s="41" t="s">
        <v>43</v>
      </c>
      <c r="AG3" s="41" t="s">
        <v>219</v>
      </c>
      <c r="AH3" s="41" t="s">
        <v>162</v>
      </c>
      <c r="AI3" s="41" t="s">
        <v>202</v>
      </c>
      <c r="AJ3" s="41" t="s">
        <v>62</v>
      </c>
      <c r="AK3" s="41" t="s">
        <v>131</v>
      </c>
      <c r="AL3" s="41" t="s">
        <v>296</v>
      </c>
      <c r="AM3" s="41" t="s">
        <v>203</v>
      </c>
      <c r="AN3" s="41" t="s">
        <v>63</v>
      </c>
      <c r="AO3" s="41" t="s">
        <v>28</v>
      </c>
      <c r="AP3" s="41" t="s">
        <v>204</v>
      </c>
      <c r="AQ3" s="41" t="s">
        <v>64</v>
      </c>
      <c r="AR3" s="41" t="s">
        <v>259</v>
      </c>
      <c r="AS3" s="41" t="s">
        <v>220</v>
      </c>
      <c r="AT3" s="41" t="s">
        <v>3</v>
      </c>
      <c r="AU3" s="41" t="s">
        <v>279</v>
      </c>
      <c r="AV3" s="41" t="s">
        <v>140</v>
      </c>
      <c r="AW3" s="41" t="s">
        <v>4</v>
      </c>
      <c r="AX3" s="41" t="s">
        <v>84</v>
      </c>
      <c r="AY3" s="41" t="s">
        <v>297</v>
      </c>
      <c r="AZ3" s="41" t="s">
        <v>65</v>
      </c>
      <c r="BA3" s="41" t="s">
        <v>221</v>
      </c>
      <c r="BB3" s="41" t="s">
        <v>66</v>
      </c>
      <c r="BC3" s="41" t="s">
        <v>241</v>
      </c>
      <c r="BD3" s="41" t="s">
        <v>280</v>
      </c>
      <c r="BE3" s="41" t="s">
        <v>141</v>
      </c>
      <c r="BF3" s="41" t="s">
        <v>298</v>
      </c>
      <c r="BG3" s="41" t="s">
        <v>111</v>
      </c>
      <c r="BH3" s="41" t="s">
        <v>112</v>
      </c>
      <c r="BI3" s="41" t="s">
        <v>242</v>
      </c>
      <c r="BJ3" s="41" t="s">
        <v>222</v>
      </c>
      <c r="BK3" s="41" t="s">
        <v>67</v>
      </c>
      <c r="BL3" s="41" t="s">
        <v>163</v>
      </c>
      <c r="BM3" s="41" t="s">
        <v>281</v>
      </c>
      <c r="BN3" s="41" t="s">
        <v>223</v>
      </c>
      <c r="BO3" s="41" t="s">
        <v>299</v>
      </c>
      <c r="BP3" s="41" t="s">
        <v>142</v>
      </c>
      <c r="BQ3" s="41" t="s">
        <v>224</v>
      </c>
      <c r="BR3" s="41" t="s">
        <v>132</v>
      </c>
      <c r="BS3" s="41" t="s">
        <v>205</v>
      </c>
      <c r="BT3" s="41" t="s">
        <v>68</v>
      </c>
      <c r="BU3" s="41" t="s">
        <v>225</v>
      </c>
      <c r="BV3" s="41" t="s">
        <v>260</v>
      </c>
      <c r="BW3" s="41" t="s">
        <v>300</v>
      </c>
      <c r="BX3" s="41" t="s">
        <v>164</v>
      </c>
      <c r="BY3" s="41" t="s">
        <v>282</v>
      </c>
      <c r="BZ3" s="41" t="s">
        <v>143</v>
      </c>
      <c r="CA3" s="41" t="s">
        <v>5</v>
      </c>
      <c r="CB3" s="41" t="s">
        <v>113</v>
      </c>
      <c r="CC3" s="41" t="s">
        <v>206</v>
      </c>
      <c r="CD3" s="41" t="s">
        <v>44</v>
      </c>
      <c r="CE3" s="41" t="s">
        <v>226</v>
      </c>
      <c r="CF3" s="41" t="s">
        <v>45</v>
      </c>
      <c r="CG3" s="41" t="s">
        <v>283</v>
      </c>
      <c r="CH3" s="41" t="s">
        <v>187</v>
      </c>
      <c r="CI3" s="41" t="s">
        <v>133</v>
      </c>
      <c r="CJ3" s="41" t="s">
        <v>301</v>
      </c>
      <c r="CK3" s="41" t="s">
        <v>114</v>
      </c>
      <c r="CL3" s="41" t="s">
        <v>144</v>
      </c>
      <c r="CM3" s="41" t="s">
        <v>145</v>
      </c>
      <c r="CN3" s="41" t="s">
        <v>207</v>
      </c>
      <c r="CO3" s="41" t="s">
        <v>85</v>
      </c>
      <c r="CP3" s="41" t="s">
        <v>165</v>
      </c>
      <c r="CQ3" s="41" t="s">
        <v>302</v>
      </c>
      <c r="CR3" s="41" t="s">
        <v>134</v>
      </c>
      <c r="CS3" s="41" t="s">
        <v>284</v>
      </c>
      <c r="CT3" s="41" t="s">
        <v>166</v>
      </c>
      <c r="CU3" s="41" t="s">
        <v>227</v>
      </c>
      <c r="CV3" s="41" t="s">
        <v>167</v>
      </c>
      <c r="CW3" s="41" t="s">
        <v>115</v>
      </c>
      <c r="CX3" s="41" t="s">
        <v>46</v>
      </c>
      <c r="CY3" s="41" t="s">
        <v>243</v>
      </c>
      <c r="CZ3" s="41" t="s">
        <v>261</v>
      </c>
      <c r="DA3" s="41" t="s">
        <v>6</v>
      </c>
      <c r="DB3" s="41" t="s">
        <v>86</v>
      </c>
      <c r="DC3" s="41" t="s">
        <v>146</v>
      </c>
      <c r="DD3" s="41" t="s">
        <v>7</v>
      </c>
      <c r="DE3" s="41" t="s">
        <v>8</v>
      </c>
      <c r="DF3" s="41" t="s">
        <v>188</v>
      </c>
      <c r="DG3" s="41" t="s">
        <v>47</v>
      </c>
      <c r="DH3" s="41" t="s">
        <v>228</v>
      </c>
      <c r="DI3" s="41" t="s">
        <v>87</v>
      </c>
      <c r="DJ3" s="41" t="s">
        <v>69</v>
      </c>
      <c r="DK3" s="41" t="s">
        <v>29</v>
      </c>
      <c r="DL3" s="41" t="s">
        <v>30</v>
      </c>
      <c r="DM3" s="41" t="s">
        <v>303</v>
      </c>
      <c r="DN3" s="41" t="s">
        <v>168</v>
      </c>
      <c r="DO3" s="41" t="s">
        <v>135</v>
      </c>
      <c r="DP3" s="41" t="s">
        <v>208</v>
      </c>
      <c r="DQ3" s="41" t="s">
        <v>9</v>
      </c>
      <c r="DR3" s="41" t="s">
        <v>70</v>
      </c>
      <c r="DS3" s="41" t="s">
        <v>244</v>
      </c>
      <c r="DT3" s="41" t="s">
        <v>169</v>
      </c>
      <c r="DU3" s="41" t="s">
        <v>71</v>
      </c>
      <c r="DV3" s="41" t="s">
        <v>304</v>
      </c>
      <c r="DW3" s="41" t="s">
        <v>170</v>
      </c>
      <c r="DX3" s="41" t="s">
        <v>147</v>
      </c>
      <c r="DY3" s="41" t="s">
        <v>31</v>
      </c>
      <c r="DZ3" s="41" t="s">
        <v>32</v>
      </c>
      <c r="EA3" s="41" t="s">
        <v>48</v>
      </c>
      <c r="EB3" s="41" t="s">
        <v>245</v>
      </c>
      <c r="EC3" s="41" t="s">
        <v>229</v>
      </c>
      <c r="ED3" s="41" t="s">
        <v>88</v>
      </c>
      <c r="EE3" s="41" t="s">
        <v>189</v>
      </c>
      <c r="EF3" s="41" t="s">
        <v>33</v>
      </c>
      <c r="EG3" s="41" t="s">
        <v>10</v>
      </c>
      <c r="EH3" s="41" t="s">
        <v>305</v>
      </c>
      <c r="EI3" s="41" t="s">
        <v>148</v>
      </c>
      <c r="EJ3" s="41" t="s">
        <v>49</v>
      </c>
      <c r="EK3" s="41" t="s">
        <v>11</v>
      </c>
      <c r="EL3" s="41" t="s">
        <v>89</v>
      </c>
      <c r="EM3" s="41" t="s">
        <v>72</v>
      </c>
      <c r="EN3" s="41" t="s">
        <v>209</v>
      </c>
      <c r="EO3" s="41" t="s">
        <v>230</v>
      </c>
      <c r="EP3" s="41" t="s">
        <v>285</v>
      </c>
      <c r="EQ3" s="41" t="s">
        <v>171</v>
      </c>
      <c r="ER3" s="41" t="s">
        <v>149</v>
      </c>
      <c r="ES3" s="41" t="s">
        <v>246</v>
      </c>
      <c r="ET3" s="41" t="s">
        <v>73</v>
      </c>
      <c r="EU3" s="41" t="s">
        <v>262</v>
      </c>
      <c r="EV3" s="41" t="s">
        <v>263</v>
      </c>
      <c r="EW3" s="41" t="s">
        <v>231</v>
      </c>
      <c r="EX3" s="41" t="s">
        <v>306</v>
      </c>
      <c r="EY3" s="41" t="s">
        <v>247</v>
      </c>
      <c r="EZ3" s="41" t="s">
        <v>248</v>
      </c>
      <c r="FA3" s="41" t="s">
        <v>34</v>
      </c>
      <c r="FB3" s="41" t="s">
        <v>307</v>
      </c>
      <c r="FC3" s="41" t="s">
        <v>50</v>
      </c>
      <c r="FD3" s="41" t="s">
        <v>90</v>
      </c>
      <c r="FE3" s="41" t="s">
        <v>232</v>
      </c>
      <c r="FF3" s="41" t="s">
        <v>116</v>
      </c>
      <c r="FG3" s="41" t="s">
        <v>91</v>
      </c>
      <c r="FH3" s="41" t="s">
        <v>92</v>
      </c>
      <c r="FI3" s="41" t="s">
        <v>264</v>
      </c>
      <c r="FJ3" s="41" t="s">
        <v>190</v>
      </c>
      <c r="FK3" s="41" t="s">
        <v>191</v>
      </c>
      <c r="FL3" s="41" t="s">
        <v>172</v>
      </c>
      <c r="FM3" s="41" t="s">
        <v>150</v>
      </c>
      <c r="FN3" s="41" t="s">
        <v>117</v>
      </c>
      <c r="FO3" s="41" t="s">
        <v>173</v>
      </c>
      <c r="FP3" s="41" t="s">
        <v>265</v>
      </c>
      <c r="FQ3" s="41" t="s">
        <v>249</v>
      </c>
      <c r="FR3" s="41" t="s">
        <v>210</v>
      </c>
      <c r="FS3" s="41" t="s">
        <v>286</v>
      </c>
      <c r="FT3" s="41" t="s">
        <v>151</v>
      </c>
      <c r="FU3" s="41" t="s">
        <v>12</v>
      </c>
      <c r="FV3" s="41" t="s">
        <v>192</v>
      </c>
      <c r="FW3" s="41" t="s">
        <v>93</v>
      </c>
      <c r="FX3" s="41" t="s">
        <v>152</v>
      </c>
      <c r="FY3" s="41" t="s">
        <v>174</v>
      </c>
      <c r="FZ3" s="41" t="s">
        <v>94</v>
      </c>
      <c r="GA3" s="41" t="s">
        <v>266</v>
      </c>
      <c r="GB3" s="41" t="s">
        <v>35</v>
      </c>
      <c r="GC3" s="41" t="s">
        <v>36</v>
      </c>
      <c r="GD3" s="41" t="s">
        <v>287</v>
      </c>
      <c r="GE3" s="41" t="s">
        <v>118</v>
      </c>
      <c r="GF3" s="41" t="s">
        <v>233</v>
      </c>
      <c r="GG3" s="41" t="s">
        <v>193</v>
      </c>
      <c r="GH3" s="41" t="s">
        <v>194</v>
      </c>
      <c r="GI3" s="41" t="s">
        <v>267</v>
      </c>
      <c r="GJ3" s="41" t="s">
        <v>136</v>
      </c>
      <c r="GK3" s="41" t="s">
        <v>37</v>
      </c>
      <c r="GL3" s="41" t="s">
        <v>74</v>
      </c>
      <c r="GM3" s="41" t="s">
        <v>119</v>
      </c>
      <c r="GN3" s="41" t="s">
        <v>13</v>
      </c>
      <c r="GO3" s="41" t="s">
        <v>308</v>
      </c>
      <c r="GP3" s="41" t="s">
        <v>211</v>
      </c>
      <c r="GQ3" s="41" t="s">
        <v>75</v>
      </c>
      <c r="GR3" s="41" t="s">
        <v>175</v>
      </c>
      <c r="GS3" s="41" t="s">
        <v>153</v>
      </c>
      <c r="GT3" s="41" t="s">
        <v>120</v>
      </c>
      <c r="GU3" s="41" t="s">
        <v>250</v>
      </c>
      <c r="GV3" s="41" t="s">
        <v>51</v>
      </c>
      <c r="GW3" s="41" t="s">
        <v>14</v>
      </c>
      <c r="GX3" s="41" t="s">
        <v>309</v>
      </c>
      <c r="GY3" s="41" t="s">
        <v>95</v>
      </c>
      <c r="GZ3" s="41" t="s">
        <v>268</v>
      </c>
      <c r="HA3" s="41" t="s">
        <v>176</v>
      </c>
      <c r="HB3" s="41" t="s">
        <v>212</v>
      </c>
      <c r="HC3" s="41" t="s">
        <v>251</v>
      </c>
      <c r="HD3" s="41" t="s">
        <v>154</v>
      </c>
      <c r="HE3" s="41" t="s">
        <v>15</v>
      </c>
      <c r="HF3" s="41" t="s">
        <v>96</v>
      </c>
      <c r="HG3" s="41" t="s">
        <v>97</v>
      </c>
      <c r="HH3" s="41" t="s">
        <v>52</v>
      </c>
      <c r="HI3" s="41" t="s">
        <v>121</v>
      </c>
      <c r="HJ3" s="41" t="s">
        <v>269</v>
      </c>
      <c r="HK3" s="41"/>
      <c r="HL3" s="41" t="s">
        <v>2</v>
      </c>
      <c r="HM3" s="66"/>
      <c r="HN3" s="41" t="s">
        <v>277</v>
      </c>
      <c r="HO3" s="41" t="s">
        <v>109</v>
      </c>
      <c r="HP3" t="s">
        <v>61</v>
      </c>
      <c r="JK3" s="41" t="s">
        <v>16</v>
      </c>
      <c r="JL3" s="41" t="s">
        <v>155</v>
      </c>
    </row>
    <row r="10001" spans="271:272" x14ac:dyDescent="0.3">
      <c r="JK10001">
        <v>271</v>
      </c>
      <c r="JL10001">
        <v>10003</v>
      </c>
    </row>
    <row r="10002" spans="271:272" ht="43.2" x14ac:dyDescent="0.3">
      <c r="JK10002" s="41" t="s">
        <v>76</v>
      </c>
      <c r="JL10002" s="41" t="s">
        <v>156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5" tint="0.39997558519241921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  <outlinePr summaryBelow="0" summaryRight="0"/>
  </sheetPr>
  <dimension ref="A2:Z273"/>
  <sheetViews>
    <sheetView tabSelected="1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1806314.45</v>
      </c>
      <c r="E12" s="4"/>
      <c r="F12" s="12"/>
      <c r="G12" s="4"/>
      <c r="H12" s="4">
        <f>SUM(OSRRefH13x_0)</f>
        <v>395506.76000000018</v>
      </c>
      <c r="I12" s="4"/>
      <c r="J12" s="12"/>
      <c r="K12" s="4"/>
      <c r="L12" s="4">
        <f t="shared" ref="L12:L98" si="0">+D12-H12</f>
        <v>1410807.6899999997</v>
      </c>
      <c r="M12" s="4"/>
      <c r="N12" s="12">
        <f t="shared" ref="N12:N98" si="1">IF(H12=0,0,L12/H12)</f>
        <v>3.5670886889518627</v>
      </c>
      <c r="O12" s="10"/>
      <c r="P12" s="4">
        <f>SUM(OSRRefP13x_0)</f>
        <v>9677608.9700000007</v>
      </c>
      <c r="Q12" s="4"/>
      <c r="R12" s="12"/>
      <c r="S12" s="4"/>
      <c r="T12" s="4">
        <f>SUM(OSRRefT13x_0)</f>
        <v>4659384.22</v>
      </c>
      <c r="U12" s="4"/>
      <c r="V12" s="12"/>
      <c r="W12" s="4"/>
      <c r="X12" s="4">
        <f t="shared" ref="X12:X98" si="2">+P12-T12</f>
        <v>5018224.7500000009</v>
      </c>
      <c r="Y12" s="4"/>
      <c r="Z12" s="12">
        <f t="shared" ref="Z12:Z98" si="3">IF(T12=0,0,X12/T12)</f>
        <v>1.0770145824119226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--366495.88</f>
        <v>366495.88</v>
      </c>
      <c r="E13" s="2"/>
      <c r="F13" s="19"/>
      <c r="G13" s="2"/>
      <c r="H13" s="2">
        <f>-9680.35</f>
        <v>-9680.35</v>
      </c>
      <c r="I13" s="2"/>
      <c r="J13" s="19"/>
      <c r="K13" s="2"/>
      <c r="L13" s="2">
        <f t="shared" si="0"/>
        <v>376176.23</v>
      </c>
      <c r="M13" s="2"/>
      <c r="N13" s="19">
        <f t="shared" si="1"/>
        <v>-38.859775731249385</v>
      </c>
      <c r="O13" s="11"/>
      <c r="P13" s="2">
        <f>--3326837.09</f>
        <v>3326837.09</v>
      </c>
      <c r="Q13" s="2"/>
      <c r="R13" s="19"/>
      <c r="S13" s="2"/>
      <c r="T13" s="2">
        <f>-59042.76</f>
        <v>-59042.76</v>
      </c>
      <c r="U13" s="2"/>
      <c r="V13" s="19"/>
      <c r="W13" s="2"/>
      <c r="X13" s="2">
        <f t="shared" si="2"/>
        <v>3385879.8499999996</v>
      </c>
      <c r="Y13" s="2"/>
      <c r="Z13" s="19">
        <f t="shared" si="3"/>
        <v>-57.346232628691467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--6816.45</f>
        <v>6816.45</v>
      </c>
      <c r="I14" s="2"/>
      <c r="J14" s="19"/>
      <c r="K14" s="2"/>
      <c r="L14" s="2">
        <f t="shared" si="0"/>
        <v>-6816.45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--719144.02</f>
        <v>719144.02</v>
      </c>
      <c r="U14" s="2"/>
      <c r="V14" s="19"/>
      <c r="W14" s="2"/>
      <c r="X14" s="2">
        <f t="shared" si="2"/>
        <v>-719144.02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--1492.1</f>
        <v>1492.1</v>
      </c>
      <c r="I15" s="2"/>
      <c r="J15" s="19"/>
      <c r="K15" s="2"/>
      <c r="L15" s="2">
        <f t="shared" si="0"/>
        <v>-1492.1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--320631.62</f>
        <v>320631.62</v>
      </c>
      <c r="U15" s="2"/>
      <c r="V15" s="19"/>
      <c r="W15" s="2"/>
      <c r="X15" s="2">
        <f t="shared" si="2"/>
        <v>-320631.62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--18.37</f>
        <v>18.37</v>
      </c>
      <c r="I21" s="2"/>
      <c r="J21" s="19"/>
      <c r="K21" s="2"/>
      <c r="L21" s="2">
        <f t="shared" si="0"/>
        <v>-18.37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--297.2</f>
        <v>297.2</v>
      </c>
      <c r="U21" s="2"/>
      <c r="V21" s="19"/>
      <c r="W21" s="2"/>
      <c r="X21" s="2">
        <f t="shared" si="2"/>
        <v>-297.2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--1716.97</f>
        <v>1716.97</v>
      </c>
      <c r="I22" s="2"/>
      <c r="J22" s="19"/>
      <c r="K22" s="2"/>
      <c r="L22" s="2">
        <f t="shared" si="0"/>
        <v>-1716.97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--36720.47</f>
        <v>36720.47</v>
      </c>
      <c r="U22" s="2"/>
      <c r="V22" s="19"/>
      <c r="W22" s="2"/>
      <c r="X22" s="2">
        <f t="shared" si="2"/>
        <v>-36720.47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--1730.73</f>
        <v>1730.73</v>
      </c>
      <c r="I23" s="2"/>
      <c r="J23" s="19"/>
      <c r="K23" s="2"/>
      <c r="L23" s="2">
        <f t="shared" si="0"/>
        <v>-1730.73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--15999.58</f>
        <v>15999.58</v>
      </c>
      <c r="U23" s="2"/>
      <c r="V23" s="19"/>
      <c r="W23" s="2"/>
      <c r="X23" s="2">
        <f t="shared" si="2"/>
        <v>-15999.58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--194.65</f>
        <v>194.65</v>
      </c>
      <c r="I24" s="2"/>
      <c r="J24" s="19"/>
      <c r="K24" s="2"/>
      <c r="L24" s="2">
        <f t="shared" si="0"/>
        <v>-194.65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--1862.61</f>
        <v>1862.61</v>
      </c>
      <c r="U24" s="2"/>
      <c r="V24" s="19"/>
      <c r="W24" s="2"/>
      <c r="X24" s="2">
        <f t="shared" si="2"/>
        <v>-1862.61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8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--40927.79</f>
        <v>40927.79</v>
      </c>
      <c r="I27" s="2"/>
      <c r="J27" s="19"/>
      <c r="K27" s="2"/>
      <c r="L27" s="2">
        <f t="shared" si="0"/>
        <v>-40927.79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--423732.7</f>
        <v>423732.7</v>
      </c>
      <c r="U27" s="2"/>
      <c r="V27" s="19"/>
      <c r="W27" s="2"/>
      <c r="X27" s="2">
        <f t="shared" si="2"/>
        <v>-423732.7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--12313.27</f>
        <v>12313.27</v>
      </c>
      <c r="I28" s="2"/>
      <c r="J28" s="19"/>
      <c r="K28" s="2"/>
      <c r="L28" s="2">
        <f t="shared" si="0"/>
        <v>-12313.27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--165400.49</f>
        <v>165400.49</v>
      </c>
      <c r="U28" s="2"/>
      <c r="V28" s="19"/>
      <c r="W28" s="2"/>
      <c r="X28" s="2">
        <f t="shared" si="2"/>
        <v>-165400.49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--2095.44</f>
        <v>2095.44</v>
      </c>
      <c r="I29" s="2"/>
      <c r="J29" s="19"/>
      <c r="K29" s="2"/>
      <c r="L29" s="2">
        <f t="shared" si="0"/>
        <v>-2095.44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--56879.12</f>
        <v>56879.12</v>
      </c>
      <c r="U29" s="2"/>
      <c r="V29" s="19"/>
      <c r="W29" s="2"/>
      <c r="X29" s="2">
        <f t="shared" si="2"/>
        <v>-56879.12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--16932.18</f>
        <v>16932.18</v>
      </c>
      <c r="I30" s="2"/>
      <c r="J30" s="19"/>
      <c r="K30" s="2"/>
      <c r="L30" s="2">
        <f t="shared" si="0"/>
        <v>-16932.18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--57178.22</f>
        <v>57178.22</v>
      </c>
      <c r="U30" s="2"/>
      <c r="V30" s="19"/>
      <c r="W30" s="2"/>
      <c r="X30" s="2">
        <f t="shared" si="2"/>
        <v>-57178.22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--2517.35</f>
        <v>2517.35</v>
      </c>
      <c r="I31" s="2"/>
      <c r="J31" s="19"/>
      <c r="K31" s="2"/>
      <c r="L31" s="2">
        <f t="shared" si="0"/>
        <v>-2517.35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--15006.51</f>
        <v>15006.51</v>
      </c>
      <c r="U31" s="2"/>
      <c r="V31" s="19"/>
      <c r="W31" s="2"/>
      <c r="X31" s="2">
        <f t="shared" si="2"/>
        <v>-15006.51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--11255.56</f>
        <v>11255.56</v>
      </c>
      <c r="I32" s="2"/>
      <c r="J32" s="19"/>
      <c r="K32" s="2"/>
      <c r="L32" s="2">
        <f t="shared" si="0"/>
        <v>-11255.56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--108212.17</f>
        <v>108212.17</v>
      </c>
      <c r="U32" s="2"/>
      <c r="V32" s="19"/>
      <c r="W32" s="2"/>
      <c r="X32" s="2">
        <f t="shared" si="2"/>
        <v>-108212.17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"4051", " - ", "TAXABLE SALES-FOOD")</f>
        <v xml:space="preserve">          4051 - TAXABLE SALES-FOOD</v>
      </c>
      <c r="C33" s="11"/>
      <c r="D33" s="2">
        <f>--23100.6</f>
        <v>23100.6</v>
      </c>
      <c r="E33" s="2"/>
      <c r="F33" s="19"/>
      <c r="G33" s="2"/>
      <c r="H33" s="2">
        <f>--4501.27</f>
        <v>4501.2700000000004</v>
      </c>
      <c r="I33" s="2"/>
      <c r="J33" s="19"/>
      <c r="K33" s="2"/>
      <c r="L33" s="2">
        <f t="shared" si="0"/>
        <v>18599.329999999998</v>
      </c>
      <c r="M33" s="2"/>
      <c r="N33" s="19">
        <f t="shared" si="1"/>
        <v>4.1320182970583845</v>
      </c>
      <c r="O33" s="11"/>
      <c r="P33" s="2">
        <f>--127351.17</f>
        <v>127351.17</v>
      </c>
      <c r="Q33" s="2"/>
      <c r="R33" s="19"/>
      <c r="S33" s="2"/>
      <c r="T33" s="2">
        <f>--17251.21</f>
        <v>17251.21</v>
      </c>
      <c r="U33" s="2"/>
      <c r="V33" s="19"/>
      <c r="W33" s="2"/>
      <c r="X33" s="2">
        <f t="shared" si="2"/>
        <v>110099.95999999999</v>
      </c>
      <c r="Y33" s="2"/>
      <c r="Z33" s="19">
        <f t="shared" si="3"/>
        <v>6.3821587007520053</v>
      </c>
    </row>
    <row r="34" spans="1:26" s="24" customFormat="1" hidden="1" outlineLevel="1" x14ac:dyDescent="0.3">
      <c r="A34" s="44"/>
      <c r="B34" s="11" t="str">
        <f>CONCATENATE("          ", "4052", " - ", "TAXABLE SALES-FOOD")</f>
        <v xml:space="preserve">          4052 - TAXABLE SALES-FOOD</v>
      </c>
      <c r="C34" s="11"/>
      <c r="D34" s="2">
        <f>0</f>
        <v>0</v>
      </c>
      <c r="E34" s="2"/>
      <c r="F34" s="19"/>
      <c r="G34" s="2"/>
      <c r="H34" s="2">
        <f>--55493.87</f>
        <v>55493.87</v>
      </c>
      <c r="I34" s="2"/>
      <c r="J34" s="19"/>
      <c r="K34" s="2"/>
      <c r="L34" s="2">
        <f t="shared" si="0"/>
        <v>-55493.87</v>
      </c>
      <c r="M34" s="2"/>
      <c r="N34" s="19">
        <f t="shared" si="1"/>
        <v>-1</v>
      </c>
      <c r="O34" s="11"/>
      <c r="P34" s="2">
        <f>0</f>
        <v>0</v>
      </c>
      <c r="Q34" s="2"/>
      <c r="R34" s="19"/>
      <c r="S34" s="2"/>
      <c r="T34" s="2">
        <f>--85725.16</f>
        <v>85725.16</v>
      </c>
      <c r="U34" s="2"/>
      <c r="V34" s="19"/>
      <c r="W34" s="2"/>
      <c r="X34" s="2">
        <f t="shared" si="2"/>
        <v>-85725.16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"4053", " - ", "TAXABLE SALES-FOOD")</f>
        <v xml:space="preserve">          4053 - TAXABLE SALES-FOOD</v>
      </c>
      <c r="C35" s="11"/>
      <c r="D35" s="2">
        <f>--2037.86</f>
        <v>2037.86</v>
      </c>
      <c r="E35" s="2"/>
      <c r="F35" s="19"/>
      <c r="G35" s="2"/>
      <c r="H35" s="2">
        <f>--92.59</f>
        <v>92.59</v>
      </c>
      <c r="I35" s="2"/>
      <c r="J35" s="19"/>
      <c r="K35" s="2"/>
      <c r="L35" s="2">
        <f t="shared" si="0"/>
        <v>1945.27</v>
      </c>
      <c r="M35" s="2"/>
      <c r="N35" s="19">
        <f t="shared" si="1"/>
        <v>21.00950426611945</v>
      </c>
      <c r="O35" s="11"/>
      <c r="P35" s="2">
        <f>--8626.98</f>
        <v>8626.98</v>
      </c>
      <c r="Q35" s="2"/>
      <c r="R35" s="19"/>
      <c r="S35" s="2"/>
      <c r="T35" s="2">
        <f>--495.03</f>
        <v>495.03</v>
      </c>
      <c r="U35" s="2"/>
      <c r="V35" s="19"/>
      <c r="W35" s="2"/>
      <c r="X35" s="2">
        <f t="shared" si="2"/>
        <v>8131.95</v>
      </c>
      <c r="Y35" s="2"/>
      <c r="Z35" s="19">
        <f t="shared" si="3"/>
        <v>16.427186231137508</v>
      </c>
    </row>
    <row r="36" spans="1:26" s="24" customFormat="1" hidden="1" outlineLevel="1" x14ac:dyDescent="0.3">
      <c r="A36" s="44"/>
      <c r="B36" s="11" t="str">
        <f>CONCATENATE("          ", "4058", " - ", "TAXABLE SALES-FOOD")</f>
        <v xml:space="preserve">          4058 - TAXABLE SALES-FOOD</v>
      </c>
      <c r="C36" s="11"/>
      <c r="D36" s="2">
        <f t="shared" ref="D36:D41" si="9">0</f>
        <v>0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0</v>
      </c>
      <c r="M36" s="2"/>
      <c r="N36" s="19">
        <f t="shared" si="1"/>
        <v>0</v>
      </c>
      <c r="O36" s="11"/>
      <c r="P36" s="2">
        <f t="shared" ref="P36:P41" si="10">0</f>
        <v>0</v>
      </c>
      <c r="Q36" s="2"/>
      <c r="R36" s="19"/>
      <c r="S36" s="2"/>
      <c r="T36" s="2">
        <f>--974.91</f>
        <v>974.91</v>
      </c>
      <c r="U36" s="2"/>
      <c r="V36" s="19"/>
      <c r="W36" s="2"/>
      <c r="X36" s="2">
        <f t="shared" si="2"/>
        <v>-974.91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"4081", " - ", "TAXABLE SALES-ELECTRONICS")</f>
        <v xml:space="preserve">          4081 - TAXABLE SALES-ELECTRONICS</v>
      </c>
      <c r="C37" s="11"/>
      <c r="D37" s="2">
        <f t="shared" si="9"/>
        <v>0</v>
      </c>
      <c r="E37" s="2"/>
      <c r="F37" s="19"/>
      <c r="G37" s="2"/>
      <c r="H37" s="2">
        <f>--973.93</f>
        <v>973.93</v>
      </c>
      <c r="I37" s="2"/>
      <c r="J37" s="19"/>
      <c r="K37" s="2"/>
      <c r="L37" s="2">
        <f t="shared" si="0"/>
        <v>-973.93</v>
      </c>
      <c r="M37" s="2"/>
      <c r="N37" s="19">
        <f t="shared" si="1"/>
        <v>-1</v>
      </c>
      <c r="O37" s="11"/>
      <c r="P37" s="2">
        <f t="shared" si="10"/>
        <v>0</v>
      </c>
      <c r="Q37" s="2"/>
      <c r="R37" s="19"/>
      <c r="S37" s="2"/>
      <c r="T37" s="2">
        <f>--56091.22</f>
        <v>56091.22</v>
      </c>
      <c r="U37" s="2"/>
      <c r="V37" s="19"/>
      <c r="W37" s="2"/>
      <c r="X37" s="2">
        <f t="shared" si="2"/>
        <v>-56091.22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"4082", " - ", "TAXABLE SALES-COMPUTER HARDWAR")</f>
        <v xml:space="preserve">          4082 - TAXABLE SALES-COMPUTER HARDWAR</v>
      </c>
      <c r="C38" s="11"/>
      <c r="D38" s="2">
        <f t="shared" si="9"/>
        <v>0</v>
      </c>
      <c r="E38" s="2"/>
      <c r="F38" s="19"/>
      <c r="G38" s="2"/>
      <c r="H38" s="2">
        <f>--57494.9</f>
        <v>57494.9</v>
      </c>
      <c r="I38" s="2"/>
      <c r="J38" s="19"/>
      <c r="K38" s="2"/>
      <c r="L38" s="2">
        <f t="shared" si="0"/>
        <v>-57494.9</v>
      </c>
      <c r="M38" s="2"/>
      <c r="N38" s="19">
        <f t="shared" si="1"/>
        <v>-1</v>
      </c>
      <c r="O38" s="11"/>
      <c r="P38" s="2">
        <f t="shared" si="10"/>
        <v>0</v>
      </c>
      <c r="Q38" s="2"/>
      <c r="R38" s="19"/>
      <c r="S38" s="2"/>
      <c r="T38" s="2">
        <f>--949594.89</f>
        <v>949594.89</v>
      </c>
      <c r="U38" s="2"/>
      <c r="V38" s="19"/>
      <c r="W38" s="2"/>
      <c r="X38" s="2">
        <f t="shared" si="2"/>
        <v>-949594.89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"4083", " - ", "TAXABLE SALES-COMPUTER EQUIPME")</f>
        <v xml:space="preserve">          4083 - TAXABLE SALES-COMPUTER EQUIPME</v>
      </c>
      <c r="C39" s="11"/>
      <c r="D39" s="2">
        <f t="shared" si="9"/>
        <v>0</v>
      </c>
      <c r="E39" s="2"/>
      <c r="F39" s="19"/>
      <c r="G39" s="2"/>
      <c r="H39" s="2">
        <f>--4805.85</f>
        <v>4805.8500000000004</v>
      </c>
      <c r="I39" s="2"/>
      <c r="J39" s="19"/>
      <c r="K39" s="2"/>
      <c r="L39" s="2">
        <f t="shared" si="0"/>
        <v>-4805.8500000000004</v>
      </c>
      <c r="M39" s="2"/>
      <c r="N39" s="19">
        <f t="shared" si="1"/>
        <v>-1</v>
      </c>
      <c r="O39" s="11"/>
      <c r="P39" s="2">
        <f t="shared" si="10"/>
        <v>0</v>
      </c>
      <c r="Q39" s="2"/>
      <c r="R39" s="19"/>
      <c r="S39" s="2"/>
      <c r="T39" s="2">
        <f>--76860.94</f>
        <v>76860.94</v>
      </c>
      <c r="U39" s="2"/>
      <c r="V39" s="19"/>
      <c r="W39" s="2"/>
      <c r="X39" s="2">
        <f t="shared" si="2"/>
        <v>-76860.94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"4085", " - ", "TAXABLE SALES-SOFTWARE")</f>
        <v xml:space="preserve">          4085 - TAXABLE SALES-SOFTWARE</v>
      </c>
      <c r="C40" s="11"/>
      <c r="D40" s="2">
        <f t="shared" si="9"/>
        <v>0</v>
      </c>
      <c r="E40" s="2"/>
      <c r="F40" s="19"/>
      <c r="G40" s="2"/>
      <c r="H40" s="2">
        <f>--378.99</f>
        <v>378.99</v>
      </c>
      <c r="I40" s="2"/>
      <c r="J40" s="19"/>
      <c r="K40" s="2"/>
      <c r="L40" s="2">
        <f t="shared" si="0"/>
        <v>-378.99</v>
      </c>
      <c r="M40" s="2"/>
      <c r="N40" s="19">
        <f t="shared" si="1"/>
        <v>-1</v>
      </c>
      <c r="O40" s="11"/>
      <c r="P40" s="2">
        <f t="shared" si="10"/>
        <v>0</v>
      </c>
      <c r="Q40" s="2"/>
      <c r="R40" s="19"/>
      <c r="S40" s="2"/>
      <c r="T40" s="2">
        <f>--1499.95</f>
        <v>1499.95</v>
      </c>
      <c r="U40" s="2"/>
      <c r="V40" s="19"/>
      <c r="W40" s="2"/>
      <c r="X40" s="2">
        <f t="shared" si="2"/>
        <v>-1499.95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"4086", " - ", "TAXABLE SALES-COMPUTER SUPPLIE")</f>
        <v xml:space="preserve">          4086 - TAXABLE SALES-COMPUTER SUPPLIE</v>
      </c>
      <c r="C41" s="11"/>
      <c r="D41" s="2">
        <f t="shared" si="9"/>
        <v>0</v>
      </c>
      <c r="E41" s="2"/>
      <c r="F41" s="19"/>
      <c r="G41" s="2"/>
      <c r="H41" s="2">
        <f>--260.94</f>
        <v>260.94</v>
      </c>
      <c r="I41" s="2"/>
      <c r="J41" s="19"/>
      <c r="K41" s="2"/>
      <c r="L41" s="2">
        <f t="shared" si="0"/>
        <v>-260.94</v>
      </c>
      <c r="M41" s="2"/>
      <c r="N41" s="19">
        <f t="shared" si="1"/>
        <v>-1</v>
      </c>
      <c r="O41" s="11"/>
      <c r="P41" s="2">
        <f t="shared" si="10"/>
        <v>0</v>
      </c>
      <c r="Q41" s="2"/>
      <c r="R41" s="19"/>
      <c r="S41" s="2"/>
      <c r="T41" s="2">
        <f>--29627.6</f>
        <v>29627.599999999999</v>
      </c>
      <c r="U41" s="2"/>
      <c r="V41" s="19"/>
      <c r="W41" s="2"/>
      <c r="X41" s="2">
        <f t="shared" si="2"/>
        <v>-29627.599999999999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"4100", " - ", "NON-TAXABLE SALES")</f>
        <v xml:space="preserve">          4100 - NON-TAXABLE SALES</v>
      </c>
      <c r="C42" s="11"/>
      <c r="D42" s="2">
        <f>--113185.96</f>
        <v>113185.96</v>
      </c>
      <c r="E42" s="2"/>
      <c r="F42" s="19"/>
      <c r="G42" s="2"/>
      <c r="H42" s="2">
        <f>--54175.61</f>
        <v>54175.61</v>
      </c>
      <c r="I42" s="2"/>
      <c r="J42" s="19"/>
      <c r="K42" s="2"/>
      <c r="L42" s="2">
        <f t="shared" si="0"/>
        <v>59010.350000000006</v>
      </c>
      <c r="M42" s="2"/>
      <c r="N42" s="19">
        <f t="shared" si="1"/>
        <v>1.0892420039202144</v>
      </c>
      <c r="O42" s="11"/>
      <c r="P42" s="2">
        <f>--1302917.68</f>
        <v>1302917.68</v>
      </c>
      <c r="Q42" s="2"/>
      <c r="R42" s="19"/>
      <c r="S42" s="2"/>
      <c r="T42" s="2">
        <f>--488260.42</f>
        <v>488260.42</v>
      </c>
      <c r="U42" s="2"/>
      <c r="V42" s="19"/>
      <c r="W42" s="2"/>
      <c r="X42" s="2">
        <f t="shared" si="2"/>
        <v>814657.26</v>
      </c>
      <c r="Y42" s="2"/>
      <c r="Z42" s="19">
        <f t="shared" si="3"/>
        <v>1.6684892459642746</v>
      </c>
    </row>
    <row r="43" spans="1:26" s="24" customFormat="1" hidden="1" outlineLevel="1" x14ac:dyDescent="0.3">
      <c r="A43" s="44"/>
      <c r="B43" s="11" t="str">
        <f>CONCATENATE("          ", "4101", " - ", "NON-TAXABLE SALES-NEW TEXT")</f>
        <v xml:space="preserve">          4101 - NON-TAXABLE SALES-NEW TEXT</v>
      </c>
      <c r="C43" s="11"/>
      <c r="D43" s="2">
        <f t="shared" ref="D43:D64" si="11">0</f>
        <v>0</v>
      </c>
      <c r="E43" s="2"/>
      <c r="F43" s="19"/>
      <c r="G43" s="2"/>
      <c r="H43" s="2">
        <f>--1270.83</f>
        <v>1270.83</v>
      </c>
      <c r="I43" s="2"/>
      <c r="J43" s="19"/>
      <c r="K43" s="2"/>
      <c r="L43" s="2">
        <f t="shared" si="0"/>
        <v>-1270.83</v>
      </c>
      <c r="M43" s="2"/>
      <c r="N43" s="19">
        <f t="shared" si="1"/>
        <v>-1</v>
      </c>
      <c r="O43" s="11"/>
      <c r="P43" s="2">
        <f t="shared" ref="P43:P64" si="12">0</f>
        <v>0</v>
      </c>
      <c r="Q43" s="2"/>
      <c r="R43" s="19"/>
      <c r="S43" s="2"/>
      <c r="T43" s="2">
        <f>--78935.72</f>
        <v>78935.72</v>
      </c>
      <c r="U43" s="2"/>
      <c r="V43" s="19"/>
      <c r="W43" s="2"/>
      <c r="X43" s="2">
        <f t="shared" si="2"/>
        <v>-78935.72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"4102", " - ", "NON-TAXABLE SALES-USED TEXT")</f>
        <v xml:space="preserve">          4102 - NON-TAXABLE SALES-USED TEXT</v>
      </c>
      <c r="C44" s="11"/>
      <c r="D44" s="2">
        <f t="shared" si="11"/>
        <v>0</v>
      </c>
      <c r="E44" s="2"/>
      <c r="F44" s="19"/>
      <c r="G44" s="2"/>
      <c r="H44" s="2">
        <f>--320.72</f>
        <v>320.72000000000003</v>
      </c>
      <c r="I44" s="2"/>
      <c r="J44" s="19"/>
      <c r="K44" s="2"/>
      <c r="L44" s="2">
        <f t="shared" si="0"/>
        <v>-320.72000000000003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--33033.19</f>
        <v>33033.19</v>
      </c>
      <c r="U44" s="2"/>
      <c r="V44" s="19"/>
      <c r="W44" s="2"/>
      <c r="X44" s="2">
        <f t="shared" si="2"/>
        <v>-33033.19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"4103", " - ", "NON-TAXABLE SALES-RENTAL TEXT")</f>
        <v xml:space="preserve">          4103 - NON-TAXABLE SALES-RENTAL TEXT</v>
      </c>
      <c r="C45" s="11"/>
      <c r="D45" s="2">
        <f t="shared" si="11"/>
        <v>0</v>
      </c>
      <c r="E45" s="2"/>
      <c r="F45" s="19"/>
      <c r="G45" s="2"/>
      <c r="H45" s="2">
        <f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2"/>
        <v>0</v>
      </c>
      <c r="Q45" s="2"/>
      <c r="R45" s="19"/>
      <c r="S45" s="2"/>
      <c r="T45" s="2">
        <f>--284.97</f>
        <v>284.97000000000003</v>
      </c>
      <c r="U45" s="2"/>
      <c r="V45" s="19"/>
      <c r="W45" s="2"/>
      <c r="X45" s="2">
        <f t="shared" si="2"/>
        <v>-284.97000000000003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"4104", " - ", "NON-TAXABLE SALES-DIGITAL TEXT")</f>
        <v xml:space="preserve">          4104 - NON-TAXABLE SALES-DIGITAL TEXT</v>
      </c>
      <c r="C46" s="11"/>
      <c r="D46" s="2">
        <f t="shared" si="11"/>
        <v>0</v>
      </c>
      <c r="E46" s="2"/>
      <c r="F46" s="19"/>
      <c r="G46" s="2"/>
      <c r="H46" s="2">
        <f>--1414.19</f>
        <v>1414.19</v>
      </c>
      <c r="I46" s="2"/>
      <c r="J46" s="19"/>
      <c r="K46" s="2"/>
      <c r="L46" s="2">
        <f t="shared" si="0"/>
        <v>-1414.19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--294889.71</f>
        <v>294889.71000000002</v>
      </c>
      <c r="U46" s="2"/>
      <c r="V46" s="19"/>
      <c r="W46" s="2"/>
      <c r="X46" s="2">
        <f t="shared" si="2"/>
        <v>-294889.71000000002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"4113", " - ", "NON-TAXABLE SALES-TRADE BOOKS")</f>
        <v xml:space="preserve">          4113 - NON-TAXABLE SALES-TRADE BOOKS</v>
      </c>
      <c r="C47" s="11"/>
      <c r="D47" s="2">
        <f t="shared" si="11"/>
        <v>0</v>
      </c>
      <c r="E47" s="2"/>
      <c r="F47" s="19"/>
      <c r="G47" s="2"/>
      <c r="H47" s="2">
        <f>--630</f>
        <v>630</v>
      </c>
      <c r="I47" s="2"/>
      <c r="J47" s="19"/>
      <c r="K47" s="2"/>
      <c r="L47" s="2">
        <f t="shared" si="0"/>
        <v>-630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--2285.95</f>
        <v>2285.9499999999998</v>
      </c>
      <c r="U47" s="2"/>
      <c r="V47" s="19"/>
      <c r="W47" s="2"/>
      <c r="X47" s="2">
        <f t="shared" si="2"/>
        <v>-2285.9499999999998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"4118", " - ", "NON-TAXABLE SALES-STUDY GUIDES")</f>
        <v xml:space="preserve">          4118 - NON-TAXABLE SALES-STUDY GUIDES</v>
      </c>
      <c r="C48" s="11"/>
      <c r="D48" s="2">
        <f t="shared" si="11"/>
        <v>0</v>
      </c>
      <c r="E48" s="2"/>
      <c r="F48" s="19"/>
      <c r="G48" s="2"/>
      <c r="H48" s="2">
        <f>--27.8</f>
        <v>27.8</v>
      </c>
      <c r="I48" s="2"/>
      <c r="J48" s="19"/>
      <c r="K48" s="2"/>
      <c r="L48" s="2">
        <f t="shared" si="0"/>
        <v>-27.8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--233.43</f>
        <v>233.43</v>
      </c>
      <c r="U48" s="2"/>
      <c r="V48" s="19"/>
      <c r="W48" s="2"/>
      <c r="X48" s="2">
        <f t="shared" si="2"/>
        <v>-233.43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"4126", " - ", "NON-TAXABLE SALES-WRITING INST")</f>
        <v xml:space="preserve">          4126 - NON-TAXABLE SALES-WRITING INST</v>
      </c>
      <c r="C49" s="11"/>
      <c r="D49" s="2">
        <f t="shared" si="11"/>
        <v>0</v>
      </c>
      <c r="E49" s="2"/>
      <c r="F49" s="19"/>
      <c r="G49" s="2"/>
      <c r="H49" s="2">
        <f>0</f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2"/>
        <v>0</v>
      </c>
      <c r="Q49" s="2"/>
      <c r="R49" s="19"/>
      <c r="S49" s="2"/>
      <c r="T49" s="2">
        <f>--52.68</f>
        <v>52.68</v>
      </c>
      <c r="U49" s="2"/>
      <c r="V49" s="19"/>
      <c r="W49" s="2"/>
      <c r="X49" s="2">
        <f t="shared" si="2"/>
        <v>-52.68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"4127", " - ", "NON-TAXABLE SALES-SCHOOL SUPPL")</f>
        <v xml:space="preserve">          4127 - NON-TAXABLE SALES-SCHOOL SUPPL</v>
      </c>
      <c r="C50" s="11"/>
      <c r="D50" s="2">
        <f t="shared" si="11"/>
        <v>0</v>
      </c>
      <c r="E50" s="2"/>
      <c r="F50" s="19"/>
      <c r="G50" s="2"/>
      <c r="H50" s="2">
        <f>--114.89</f>
        <v>114.89</v>
      </c>
      <c r="I50" s="2"/>
      <c r="J50" s="19"/>
      <c r="K50" s="2"/>
      <c r="L50" s="2">
        <f t="shared" si="0"/>
        <v>-114.89</v>
      </c>
      <c r="M50" s="2"/>
      <c r="N50" s="19">
        <f t="shared" si="1"/>
        <v>-1</v>
      </c>
      <c r="O50" s="11"/>
      <c r="P50" s="2">
        <f t="shared" si="12"/>
        <v>0</v>
      </c>
      <c r="Q50" s="2"/>
      <c r="R50" s="19"/>
      <c r="S50" s="2"/>
      <c r="T50" s="2">
        <f>--2946.58</f>
        <v>2946.58</v>
      </c>
      <c r="U50" s="2"/>
      <c r="V50" s="19"/>
      <c r="W50" s="2"/>
      <c r="X50" s="2">
        <f t="shared" si="2"/>
        <v>-2946.58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"4128", " - ", "NON-TAXABLE SALES-ART/TECH")</f>
        <v xml:space="preserve">          4128 - NON-TAXABLE SALES-ART/TECH</v>
      </c>
      <c r="C51" s="11"/>
      <c r="D51" s="2">
        <f t="shared" si="11"/>
        <v>0</v>
      </c>
      <c r="E51" s="2"/>
      <c r="F51" s="19"/>
      <c r="G51" s="2"/>
      <c r="H51" s="2">
        <f>--24.78</f>
        <v>24.78</v>
      </c>
      <c r="I51" s="2"/>
      <c r="J51" s="19"/>
      <c r="K51" s="2"/>
      <c r="L51" s="2">
        <f t="shared" si="0"/>
        <v>-24.78</v>
      </c>
      <c r="M51" s="2"/>
      <c r="N51" s="19">
        <f t="shared" si="1"/>
        <v>-1</v>
      </c>
      <c r="O51" s="11"/>
      <c r="P51" s="2">
        <f t="shared" si="12"/>
        <v>0</v>
      </c>
      <c r="Q51" s="2"/>
      <c r="R51" s="19"/>
      <c r="S51" s="2"/>
      <c r="T51" s="2">
        <f>--24.78</f>
        <v>24.78</v>
      </c>
      <c r="U51" s="2"/>
      <c r="V51" s="19"/>
      <c r="W51" s="2"/>
      <c r="X51" s="2">
        <f t="shared" si="2"/>
        <v>-24.78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"4131", " - ", "NON-TAXABLE SALES-FOOD")</f>
        <v xml:space="preserve">          4131 - NON-TAXABLE SALES-FOOD</v>
      </c>
      <c r="C52" s="11"/>
      <c r="D52" s="2">
        <f t="shared" si="11"/>
        <v>0</v>
      </c>
      <c r="E52" s="2"/>
      <c r="F52" s="19"/>
      <c r="G52" s="2"/>
      <c r="H52" s="2">
        <f>--983.89</f>
        <v>983.89</v>
      </c>
      <c r="I52" s="2"/>
      <c r="J52" s="19"/>
      <c r="K52" s="2"/>
      <c r="L52" s="2">
        <f t="shared" si="0"/>
        <v>-983.89</v>
      </c>
      <c r="M52" s="2"/>
      <c r="N52" s="19">
        <f t="shared" si="1"/>
        <v>-1</v>
      </c>
      <c r="O52" s="11"/>
      <c r="P52" s="2">
        <f t="shared" si="12"/>
        <v>0</v>
      </c>
      <c r="Q52" s="2"/>
      <c r="R52" s="19"/>
      <c r="S52" s="2"/>
      <c r="T52" s="2">
        <f>--6509.33</f>
        <v>6509.33</v>
      </c>
      <c r="U52" s="2"/>
      <c r="V52" s="19"/>
      <c r="W52" s="2"/>
      <c r="X52" s="2">
        <f t="shared" si="2"/>
        <v>-6509.33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"4132", " - ", "NON-TAXABLE SALES-JUICE")</f>
        <v xml:space="preserve">          4132 - NON-TAXABLE SALES-JUICE</v>
      </c>
      <c r="C53" s="11"/>
      <c r="D53" s="2">
        <f t="shared" si="11"/>
        <v>0</v>
      </c>
      <c r="E53" s="2"/>
      <c r="F53" s="19"/>
      <c r="G53" s="2"/>
      <c r="H53" s="2">
        <f t="shared" ref="H53:H56" si="13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2"/>
        <v>0</v>
      </c>
      <c r="Q53" s="2"/>
      <c r="R53" s="19"/>
      <c r="S53" s="2"/>
      <c r="T53" s="2">
        <f>--2054.37</f>
        <v>2054.37</v>
      </c>
      <c r="U53" s="2"/>
      <c r="V53" s="19"/>
      <c r="W53" s="2"/>
      <c r="X53" s="2">
        <f t="shared" si="2"/>
        <v>-2054.37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"4133", " - ", "NON-TAXABLE SALES-CANDY")</f>
        <v xml:space="preserve">          4133 - NON-TAXABLE SALES-CANDY</v>
      </c>
      <c r="C54" s="11"/>
      <c r="D54" s="2">
        <f t="shared" si="11"/>
        <v>0</v>
      </c>
      <c r="E54" s="2"/>
      <c r="F54" s="19"/>
      <c r="G54" s="2"/>
      <c r="H54" s="2">
        <f t="shared" si="13"/>
        <v>0</v>
      </c>
      <c r="I54" s="2"/>
      <c r="J54" s="19"/>
      <c r="K54" s="2"/>
      <c r="L54" s="2">
        <f t="shared" si="0"/>
        <v>0</v>
      </c>
      <c r="M54" s="2"/>
      <c r="N54" s="19">
        <f t="shared" si="1"/>
        <v>0</v>
      </c>
      <c r="O54" s="11"/>
      <c r="P54" s="2">
        <f t="shared" si="12"/>
        <v>0</v>
      </c>
      <c r="Q54" s="2"/>
      <c r="R54" s="19"/>
      <c r="S54" s="2"/>
      <c r="T54" s="2">
        <f>--80.71</f>
        <v>80.709999999999994</v>
      </c>
      <c r="U54" s="2"/>
      <c r="V54" s="19"/>
      <c r="W54" s="2"/>
      <c r="X54" s="2">
        <f t="shared" si="2"/>
        <v>-80.709999999999994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"4134", " - ", "NON-TAXABLE SALES-SODA")</f>
        <v xml:space="preserve">          4134 - NON-TAXABLE SALES-SODA</v>
      </c>
      <c r="C55" s="11"/>
      <c r="D55" s="2">
        <f t="shared" si="11"/>
        <v>0</v>
      </c>
      <c r="E55" s="2"/>
      <c r="F55" s="19"/>
      <c r="G55" s="2"/>
      <c r="H55" s="2">
        <f t="shared" si="13"/>
        <v>0</v>
      </c>
      <c r="I55" s="2"/>
      <c r="J55" s="19"/>
      <c r="K55" s="2"/>
      <c r="L55" s="2">
        <f t="shared" si="0"/>
        <v>0</v>
      </c>
      <c r="M55" s="2"/>
      <c r="N55" s="19">
        <f t="shared" si="1"/>
        <v>0</v>
      </c>
      <c r="O55" s="11"/>
      <c r="P55" s="2">
        <f t="shared" si="12"/>
        <v>0</v>
      </c>
      <c r="Q55" s="2"/>
      <c r="R55" s="19"/>
      <c r="S55" s="2"/>
      <c r="T55" s="2">
        <f>--45.53</f>
        <v>45.53</v>
      </c>
      <c r="U55" s="2"/>
      <c r="V55" s="19"/>
      <c r="W55" s="2"/>
      <c r="X55" s="2">
        <f t="shared" si="2"/>
        <v>-45.53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"4137", " - ", "NON-TAXABLE SALES-WATER")</f>
        <v xml:space="preserve">          4137 - NON-TAXABLE SALES-WATER</v>
      </c>
      <c r="C56" s="11"/>
      <c r="D56" s="2">
        <f t="shared" si="11"/>
        <v>0</v>
      </c>
      <c r="E56" s="2"/>
      <c r="F56" s="19"/>
      <c r="G56" s="2"/>
      <c r="H56" s="2">
        <f t="shared" si="13"/>
        <v>0</v>
      </c>
      <c r="I56" s="2"/>
      <c r="J56" s="19"/>
      <c r="K56" s="2"/>
      <c r="L56" s="2">
        <f t="shared" si="0"/>
        <v>0</v>
      </c>
      <c r="M56" s="2"/>
      <c r="N56" s="19">
        <f t="shared" si="1"/>
        <v>0</v>
      </c>
      <c r="O56" s="11"/>
      <c r="P56" s="2">
        <f t="shared" si="12"/>
        <v>0</v>
      </c>
      <c r="Q56" s="2"/>
      <c r="R56" s="19"/>
      <c r="S56" s="2"/>
      <c r="T56" s="2">
        <f>--68.25</f>
        <v>68.25</v>
      </c>
      <c r="U56" s="2"/>
      <c r="V56" s="19"/>
      <c r="W56" s="2"/>
      <c r="X56" s="2">
        <f t="shared" si="2"/>
        <v>-68.25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"4140", " - ", "NON-TAXABLE SALES-LOGO CLOTHIN")</f>
        <v xml:space="preserve">          4140 - NON-TAXABLE SALES-LOGO CLOTHIN</v>
      </c>
      <c r="C57" s="11"/>
      <c r="D57" s="2">
        <f t="shared" si="11"/>
        <v>0</v>
      </c>
      <c r="E57" s="2"/>
      <c r="F57" s="19"/>
      <c r="G57" s="2"/>
      <c r="H57" s="2">
        <f>--19704.79</f>
        <v>19704.79</v>
      </c>
      <c r="I57" s="2"/>
      <c r="J57" s="19"/>
      <c r="K57" s="2"/>
      <c r="L57" s="2">
        <f t="shared" si="0"/>
        <v>-19704.79</v>
      </c>
      <c r="M57" s="2"/>
      <c r="N57" s="19">
        <f t="shared" si="1"/>
        <v>-1</v>
      </c>
      <c r="O57" s="11"/>
      <c r="P57" s="2">
        <f t="shared" si="12"/>
        <v>0</v>
      </c>
      <c r="Q57" s="2"/>
      <c r="R57" s="19"/>
      <c r="S57" s="2"/>
      <c r="T57" s="2">
        <f>--50320.27</f>
        <v>50320.27</v>
      </c>
      <c r="U57" s="2"/>
      <c r="V57" s="19"/>
      <c r="W57" s="2"/>
      <c r="X57" s="2">
        <f t="shared" si="2"/>
        <v>-50320.27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"4141", " - ", "NON-TAXABLE SALES-LOGO GIFTS")</f>
        <v xml:space="preserve">          4141 - NON-TAXABLE SALES-LOGO GIFTS</v>
      </c>
      <c r="C58" s="11"/>
      <c r="D58" s="2">
        <f t="shared" si="11"/>
        <v>0</v>
      </c>
      <c r="E58" s="2"/>
      <c r="F58" s="19"/>
      <c r="G58" s="2"/>
      <c r="H58" s="2">
        <f>--806.32</f>
        <v>806.32</v>
      </c>
      <c r="I58" s="2"/>
      <c r="J58" s="19"/>
      <c r="K58" s="2"/>
      <c r="L58" s="2">
        <f t="shared" si="0"/>
        <v>-806.32</v>
      </c>
      <c r="M58" s="2"/>
      <c r="N58" s="19">
        <f t="shared" si="1"/>
        <v>-1</v>
      </c>
      <c r="O58" s="11"/>
      <c r="P58" s="2">
        <f t="shared" si="12"/>
        <v>0</v>
      </c>
      <c r="Q58" s="2"/>
      <c r="R58" s="19"/>
      <c r="S58" s="2"/>
      <c r="T58" s="2">
        <f>--4189.02</f>
        <v>4189.0200000000004</v>
      </c>
      <c r="U58" s="2"/>
      <c r="V58" s="19"/>
      <c r="W58" s="2"/>
      <c r="X58" s="2">
        <f t="shared" si="2"/>
        <v>-4189.0200000000004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"4142", " - ", "NON-TAXABLE SALES-EVERYDAY GIF")</f>
        <v xml:space="preserve">          4142 - NON-TAXABLE SALES-EVERYDAY GIF</v>
      </c>
      <c r="C59" s="11"/>
      <c r="D59" s="2">
        <f t="shared" si="11"/>
        <v>0</v>
      </c>
      <c r="E59" s="2"/>
      <c r="F59" s="19"/>
      <c r="G59" s="2"/>
      <c r="H59" s="2">
        <f>--887.78</f>
        <v>887.78</v>
      </c>
      <c r="I59" s="2"/>
      <c r="J59" s="19"/>
      <c r="K59" s="2"/>
      <c r="L59" s="2">
        <f t="shared" si="0"/>
        <v>-887.78</v>
      </c>
      <c r="M59" s="2"/>
      <c r="N59" s="19">
        <f t="shared" si="1"/>
        <v>-1</v>
      </c>
      <c r="O59" s="11"/>
      <c r="P59" s="2">
        <f t="shared" si="12"/>
        <v>0</v>
      </c>
      <c r="Q59" s="2"/>
      <c r="R59" s="19"/>
      <c r="S59" s="2"/>
      <c r="T59" s="2">
        <f>--2208.19</f>
        <v>2208.19</v>
      </c>
      <c r="U59" s="2"/>
      <c r="V59" s="19"/>
      <c r="W59" s="2"/>
      <c r="X59" s="2">
        <f t="shared" si="2"/>
        <v>-2208.19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"4143", " - ", "NON-TAXABLE SALES-CARDS")</f>
        <v xml:space="preserve">          4143 - NON-TAXABLE SALES-CARDS</v>
      </c>
      <c r="C60" s="11"/>
      <c r="D60" s="2">
        <f t="shared" si="11"/>
        <v>0</v>
      </c>
      <c r="E60" s="2"/>
      <c r="F60" s="19"/>
      <c r="G60" s="2"/>
      <c r="H60" s="2">
        <f>--9.99</f>
        <v>9.99</v>
      </c>
      <c r="I60" s="2"/>
      <c r="J60" s="19"/>
      <c r="K60" s="2"/>
      <c r="L60" s="2">
        <f t="shared" si="0"/>
        <v>-9.99</v>
      </c>
      <c r="M60" s="2"/>
      <c r="N60" s="19">
        <f t="shared" si="1"/>
        <v>-1</v>
      </c>
      <c r="O60" s="11"/>
      <c r="P60" s="2">
        <f t="shared" si="12"/>
        <v>0</v>
      </c>
      <c r="Q60" s="2"/>
      <c r="R60" s="19"/>
      <c r="S60" s="2"/>
      <c r="T60" s="2">
        <f>--39.96</f>
        <v>39.96</v>
      </c>
      <c r="U60" s="2"/>
      <c r="V60" s="19"/>
      <c r="W60" s="2"/>
      <c r="X60" s="2">
        <f t="shared" si="2"/>
        <v>-39.96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"4144", " - ", "NON-TAXABLE SALES-ACCESSORIES")</f>
        <v xml:space="preserve">          4144 - NON-TAXABLE SALES-ACCESSORIES</v>
      </c>
      <c r="C61" s="11"/>
      <c r="D61" s="2">
        <f t="shared" si="11"/>
        <v>0</v>
      </c>
      <c r="E61" s="2"/>
      <c r="F61" s="19"/>
      <c r="G61" s="2"/>
      <c r="H61" s="2">
        <f>--19.95</f>
        <v>19.95</v>
      </c>
      <c r="I61" s="2"/>
      <c r="J61" s="19"/>
      <c r="K61" s="2"/>
      <c r="L61" s="2">
        <f t="shared" si="0"/>
        <v>-19.95</v>
      </c>
      <c r="M61" s="2"/>
      <c r="N61" s="19">
        <f t="shared" si="1"/>
        <v>-1</v>
      </c>
      <c r="O61" s="11"/>
      <c r="P61" s="2">
        <f t="shared" si="12"/>
        <v>0</v>
      </c>
      <c r="Q61" s="2"/>
      <c r="R61" s="19"/>
      <c r="S61" s="2"/>
      <c r="T61" s="2">
        <f>--389.7</f>
        <v>389.7</v>
      </c>
      <c r="U61" s="2"/>
      <c r="V61" s="19"/>
      <c r="W61" s="2"/>
      <c r="X61" s="2">
        <f t="shared" si="2"/>
        <v>-389.7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"4145", " - ", "NON-TAXABLE SALES-SPECIAL ORDE")</f>
        <v xml:space="preserve">          4145 - NON-TAXABLE SALES-SPECIAL ORDE</v>
      </c>
      <c r="C62" s="11"/>
      <c r="D62" s="2">
        <f t="shared" si="11"/>
        <v>0</v>
      </c>
      <c r="E62" s="2"/>
      <c r="F62" s="19"/>
      <c r="G62" s="2"/>
      <c r="H62" s="2">
        <f>--2800</f>
        <v>2800</v>
      </c>
      <c r="I62" s="2"/>
      <c r="J62" s="19"/>
      <c r="K62" s="2"/>
      <c r="L62" s="2">
        <f t="shared" si="0"/>
        <v>-2800</v>
      </c>
      <c r="M62" s="2"/>
      <c r="N62" s="19">
        <f t="shared" si="1"/>
        <v>-1</v>
      </c>
      <c r="O62" s="11"/>
      <c r="P62" s="2">
        <f t="shared" si="12"/>
        <v>0</v>
      </c>
      <c r="Q62" s="2"/>
      <c r="R62" s="19"/>
      <c r="S62" s="2"/>
      <c r="T62" s="2">
        <f>--38646</f>
        <v>38646</v>
      </c>
      <c r="U62" s="2"/>
      <c r="V62" s="19"/>
      <c r="W62" s="2"/>
      <c r="X62" s="2">
        <f t="shared" si="2"/>
        <v>-38646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"4146", " - ", "NON-TAXABLE SALES-COIN OP MACH")</f>
        <v xml:space="preserve">          4146 - NON-TAXABLE SALES-COIN OP MACH</v>
      </c>
      <c r="C63" s="11"/>
      <c r="D63" s="2">
        <f t="shared" si="11"/>
        <v>0</v>
      </c>
      <c r="E63" s="2"/>
      <c r="F63" s="19"/>
      <c r="G63" s="2"/>
      <c r="H63" s="2">
        <f>--21.5</f>
        <v>21.5</v>
      </c>
      <c r="I63" s="2"/>
      <c r="J63" s="19"/>
      <c r="K63" s="2"/>
      <c r="L63" s="2">
        <f t="shared" si="0"/>
        <v>-21.5</v>
      </c>
      <c r="M63" s="2"/>
      <c r="N63" s="19">
        <f t="shared" si="1"/>
        <v>-1</v>
      </c>
      <c r="O63" s="11"/>
      <c r="P63" s="2">
        <f t="shared" si="12"/>
        <v>0</v>
      </c>
      <c r="Q63" s="2"/>
      <c r="R63" s="19"/>
      <c r="S63" s="2"/>
      <c r="T63" s="2">
        <f>--108</f>
        <v>108</v>
      </c>
      <c r="U63" s="2"/>
      <c r="V63" s="19"/>
      <c r="W63" s="2"/>
      <c r="X63" s="2">
        <f t="shared" si="2"/>
        <v>-108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"4147", " - ", "NON-TAXABLE SALES-MISC")</f>
        <v xml:space="preserve">          4147 - NON-TAXABLE SALES-MISC</v>
      </c>
      <c r="C64" s="11"/>
      <c r="D64" s="2">
        <f t="shared" si="11"/>
        <v>0</v>
      </c>
      <c r="E64" s="2"/>
      <c r="F64" s="19"/>
      <c r="G64" s="2"/>
      <c r="H64" s="2">
        <f>--5</f>
        <v>5</v>
      </c>
      <c r="I64" s="2"/>
      <c r="J64" s="19"/>
      <c r="K64" s="2"/>
      <c r="L64" s="2">
        <f t="shared" si="0"/>
        <v>-5</v>
      </c>
      <c r="M64" s="2"/>
      <c r="N64" s="19">
        <f t="shared" si="1"/>
        <v>-1</v>
      </c>
      <c r="O64" s="11"/>
      <c r="P64" s="2">
        <f t="shared" si="12"/>
        <v>0</v>
      </c>
      <c r="Q64" s="2"/>
      <c r="R64" s="19"/>
      <c r="S64" s="2"/>
      <c r="T64" s="2">
        <f>--91.5</f>
        <v>91.5</v>
      </c>
      <c r="U64" s="2"/>
      <c r="V64" s="19"/>
      <c r="W64" s="2"/>
      <c r="X64" s="2">
        <f t="shared" si="2"/>
        <v>-91.5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"4151", " - ", "NON-TAXABLE SALES-FOOD")</f>
        <v xml:space="preserve">          4151 - NON-TAXABLE SALES-FOOD</v>
      </c>
      <c r="C65" s="11"/>
      <c r="D65" s="2">
        <f>--1356110.78</f>
        <v>1356110.78</v>
      </c>
      <c r="E65" s="2"/>
      <c r="F65" s="19"/>
      <c r="G65" s="2"/>
      <c r="H65" s="2">
        <f>--101465.72</f>
        <v>101465.72</v>
      </c>
      <c r="I65" s="2"/>
      <c r="J65" s="19"/>
      <c r="K65" s="2"/>
      <c r="L65" s="2">
        <f t="shared" si="0"/>
        <v>1254645.06</v>
      </c>
      <c r="M65" s="2"/>
      <c r="N65" s="19">
        <f t="shared" si="1"/>
        <v>12.36521122601801</v>
      </c>
      <c r="O65" s="11"/>
      <c r="P65" s="2">
        <f>--5127000.66</f>
        <v>5127000.66</v>
      </c>
      <c r="Q65" s="2"/>
      <c r="R65" s="19"/>
      <c r="S65" s="2"/>
      <c r="T65" s="2">
        <f>--542894.76</f>
        <v>542894.76</v>
      </c>
      <c r="U65" s="2"/>
      <c r="V65" s="19"/>
      <c r="W65" s="2"/>
      <c r="X65" s="2">
        <f t="shared" si="2"/>
        <v>4584105.9000000004</v>
      </c>
      <c r="Y65" s="2"/>
      <c r="Z65" s="19">
        <f t="shared" si="3"/>
        <v>8.4438204929441572</v>
      </c>
    </row>
    <row r="66" spans="1:26" s="24" customFormat="1" hidden="1" outlineLevel="1" x14ac:dyDescent="0.3">
      <c r="A66" s="44"/>
      <c r="B66" s="11" t="str">
        <f>CONCATENATE("          ", "4153", " - ", "NON-TAXABLE SALES-FOOD")</f>
        <v xml:space="preserve">          4153 - NON-TAXABLE SALES-FOOD</v>
      </c>
      <c r="C66" s="11"/>
      <c r="D66" s="2">
        <f>--6365.13</f>
        <v>6365.13</v>
      </c>
      <c r="E66" s="2"/>
      <c r="F66" s="19"/>
      <c r="G66" s="2"/>
      <c r="H66" s="2">
        <f>--10357.28</f>
        <v>10357.280000000001</v>
      </c>
      <c r="I66" s="2"/>
      <c r="J66" s="19"/>
      <c r="K66" s="2"/>
      <c r="L66" s="2">
        <f t="shared" si="0"/>
        <v>-3992.1500000000005</v>
      </c>
      <c r="M66" s="2"/>
      <c r="N66" s="19">
        <f t="shared" si="1"/>
        <v>-0.38544386170886569</v>
      </c>
      <c r="O66" s="11"/>
      <c r="P66" s="2">
        <f>--50769.83</f>
        <v>50769.83</v>
      </c>
      <c r="Q66" s="2"/>
      <c r="R66" s="19"/>
      <c r="S66" s="2"/>
      <c r="T66" s="2">
        <f>--26233.86</f>
        <v>26233.86</v>
      </c>
      <c r="U66" s="2"/>
      <c r="V66" s="19"/>
      <c r="W66" s="2"/>
      <c r="X66" s="2">
        <f t="shared" si="2"/>
        <v>24535.97</v>
      </c>
      <c r="Y66" s="2"/>
      <c r="Z66" s="19">
        <f t="shared" si="3"/>
        <v>0.93527868182570162</v>
      </c>
    </row>
    <row r="67" spans="1:26" s="24" customFormat="1" hidden="1" outlineLevel="1" x14ac:dyDescent="0.3">
      <c r="A67" s="44"/>
      <c r="B67" s="11" t="str">
        <f>CONCATENATE("          ", "4181", " - ", "NON-TAXABLE SALES-ELECTRONICS")</f>
        <v xml:space="preserve">          4181 - NON-TAXABLE SALES-ELECTRONICS</v>
      </c>
      <c r="C67" s="11"/>
      <c r="D67" s="2">
        <f t="shared" ref="D67:D71" si="14">0</f>
        <v>0</v>
      </c>
      <c r="E67" s="2"/>
      <c r="F67" s="19"/>
      <c r="G67" s="2"/>
      <c r="H67" s="2">
        <f>--29.99</f>
        <v>29.99</v>
      </c>
      <c r="I67" s="2"/>
      <c r="J67" s="19"/>
      <c r="K67" s="2"/>
      <c r="L67" s="2">
        <f t="shared" si="0"/>
        <v>-29.99</v>
      </c>
      <c r="M67" s="2"/>
      <c r="N67" s="19">
        <f t="shared" si="1"/>
        <v>-1</v>
      </c>
      <c r="O67" s="11"/>
      <c r="P67" s="2">
        <f t="shared" ref="P67:P71" si="15">0</f>
        <v>0</v>
      </c>
      <c r="Q67" s="2"/>
      <c r="R67" s="19"/>
      <c r="S67" s="2"/>
      <c r="T67" s="2">
        <f>--3534.12</f>
        <v>3534.12</v>
      </c>
      <c r="U67" s="2"/>
      <c r="V67" s="19"/>
      <c r="W67" s="2"/>
      <c r="X67" s="2">
        <f t="shared" si="2"/>
        <v>-3534.12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"4182", " - ", "NON-TAXABLE SALES-COMPUTER HAR")</f>
        <v xml:space="preserve">          4182 - NON-TAXABLE SALES-COMPUTER HAR</v>
      </c>
      <c r="C68" s="11"/>
      <c r="D68" s="2">
        <f t="shared" si="14"/>
        <v>0</v>
      </c>
      <c r="E68" s="2"/>
      <c r="F68" s="19"/>
      <c r="G68" s="2"/>
      <c r="H68" s="2">
        <f>--9499.97</f>
        <v>9499.9699999999993</v>
      </c>
      <c r="I68" s="2"/>
      <c r="J68" s="19"/>
      <c r="K68" s="2"/>
      <c r="L68" s="2">
        <f t="shared" si="0"/>
        <v>-9499.9699999999993</v>
      </c>
      <c r="M68" s="2"/>
      <c r="N68" s="19">
        <f t="shared" si="1"/>
        <v>-1</v>
      </c>
      <c r="O68" s="11"/>
      <c r="P68" s="2">
        <f t="shared" si="15"/>
        <v>0</v>
      </c>
      <c r="Q68" s="2"/>
      <c r="R68" s="19"/>
      <c r="S68" s="2"/>
      <c r="T68" s="2">
        <f>--154794.35</f>
        <v>154794.35</v>
      </c>
      <c r="U68" s="2"/>
      <c r="V68" s="19"/>
      <c r="W68" s="2"/>
      <c r="X68" s="2">
        <f t="shared" si="2"/>
        <v>-154794.35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"4183", " - ", "NON-TAXABLE SALES-COMPUTER EQU")</f>
        <v xml:space="preserve">          4183 - NON-TAXABLE SALES-COMPUTER EQU</v>
      </c>
      <c r="C69" s="11"/>
      <c r="D69" s="2">
        <f t="shared" si="14"/>
        <v>0</v>
      </c>
      <c r="E69" s="2"/>
      <c r="F69" s="19"/>
      <c r="G69" s="2"/>
      <c r="H69" s="2">
        <f>--1033.89</f>
        <v>1033.8900000000001</v>
      </c>
      <c r="I69" s="2"/>
      <c r="J69" s="19"/>
      <c r="K69" s="2"/>
      <c r="L69" s="2">
        <f t="shared" si="0"/>
        <v>-1033.8900000000001</v>
      </c>
      <c r="M69" s="2"/>
      <c r="N69" s="19">
        <f t="shared" si="1"/>
        <v>-1</v>
      </c>
      <c r="O69" s="11"/>
      <c r="P69" s="2">
        <f t="shared" si="15"/>
        <v>0</v>
      </c>
      <c r="Q69" s="2"/>
      <c r="R69" s="19"/>
      <c r="S69" s="2"/>
      <c r="T69" s="2">
        <f>--7370.28</f>
        <v>7370.28</v>
      </c>
      <c r="U69" s="2"/>
      <c r="V69" s="19"/>
      <c r="W69" s="2"/>
      <c r="X69" s="2">
        <f t="shared" si="2"/>
        <v>-7370.28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"4185", " - ", "NON-TAXABLE SALES-SOFTWARE")</f>
        <v xml:space="preserve">          4185 - NON-TAXABLE SALES-SOFTWARE</v>
      </c>
      <c r="C70" s="11"/>
      <c r="D70" s="2">
        <f t="shared" si="14"/>
        <v>0</v>
      </c>
      <c r="E70" s="2"/>
      <c r="F70" s="19"/>
      <c r="G70" s="2"/>
      <c r="H70" s="2">
        <f>--1989.89</f>
        <v>1989.89</v>
      </c>
      <c r="I70" s="2"/>
      <c r="J70" s="19"/>
      <c r="K70" s="2"/>
      <c r="L70" s="2">
        <f t="shared" si="0"/>
        <v>-1989.89</v>
      </c>
      <c r="M70" s="2"/>
      <c r="N70" s="19">
        <f t="shared" si="1"/>
        <v>-1</v>
      </c>
      <c r="O70" s="11"/>
      <c r="P70" s="2">
        <f t="shared" si="15"/>
        <v>0</v>
      </c>
      <c r="Q70" s="2"/>
      <c r="R70" s="19"/>
      <c r="S70" s="2"/>
      <c r="T70" s="2">
        <f>--25806.74</f>
        <v>25806.74</v>
      </c>
      <c r="U70" s="2"/>
      <c r="V70" s="19"/>
      <c r="W70" s="2"/>
      <c r="X70" s="2">
        <f t="shared" si="2"/>
        <v>-25806.74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"4186", " - ", "NON-TAXABLE SALES-COMPUTER SUP")</f>
        <v xml:space="preserve">          4186 - NON-TAXABLE SALES-COMPUTER SUP</v>
      </c>
      <c r="C71" s="11"/>
      <c r="D71" s="2">
        <f t="shared" si="14"/>
        <v>0</v>
      </c>
      <c r="E71" s="2"/>
      <c r="F71" s="19"/>
      <c r="G71" s="2"/>
      <c r="H71" s="2">
        <f>--44</f>
        <v>44</v>
      </c>
      <c r="I71" s="2"/>
      <c r="J71" s="19"/>
      <c r="K71" s="2"/>
      <c r="L71" s="2">
        <f t="shared" si="0"/>
        <v>-44</v>
      </c>
      <c r="M71" s="2"/>
      <c r="N71" s="19">
        <f t="shared" si="1"/>
        <v>-1</v>
      </c>
      <c r="O71" s="11"/>
      <c r="P71" s="2">
        <f t="shared" si="15"/>
        <v>0</v>
      </c>
      <c r="Q71" s="2"/>
      <c r="R71" s="19"/>
      <c r="S71" s="2"/>
      <c r="T71" s="2">
        <f>--1773.77</f>
        <v>1773.77</v>
      </c>
      <c r="U71" s="2"/>
      <c r="V71" s="19"/>
      <c r="W71" s="2"/>
      <c r="X71" s="2">
        <f t="shared" si="2"/>
        <v>-1773.77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"4200", " - ", "TAXABLE RETURNS")</f>
        <v xml:space="preserve">          4200 - TAXABLE RETURNS</v>
      </c>
      <c r="C72" s="11"/>
      <c r="D72" s="2">
        <f>-53747.52</f>
        <v>-53747.519999999997</v>
      </c>
      <c r="E72" s="2"/>
      <c r="F72" s="19"/>
      <c r="G72" s="2"/>
      <c r="H72" s="2">
        <f>0</f>
        <v>0</v>
      </c>
      <c r="I72" s="2"/>
      <c r="J72" s="19"/>
      <c r="K72" s="2"/>
      <c r="L72" s="2">
        <f t="shared" si="0"/>
        <v>-53747.519999999997</v>
      </c>
      <c r="M72" s="2"/>
      <c r="N72" s="19">
        <f t="shared" si="1"/>
        <v>0</v>
      </c>
      <c r="O72" s="11"/>
      <c r="P72" s="2">
        <f>-224507.84</f>
        <v>-224507.84</v>
      </c>
      <c r="Q72" s="2"/>
      <c r="R72" s="19"/>
      <c r="S72" s="2"/>
      <c r="T72" s="2">
        <f>0</f>
        <v>0</v>
      </c>
      <c r="U72" s="2"/>
      <c r="V72" s="19"/>
      <c r="W72" s="2"/>
      <c r="X72" s="2">
        <f t="shared" si="2"/>
        <v>-224507.84</v>
      </c>
      <c r="Y72" s="2"/>
      <c r="Z72" s="19">
        <f t="shared" si="3"/>
        <v>0</v>
      </c>
    </row>
    <row r="73" spans="1:26" s="24" customFormat="1" hidden="1" outlineLevel="1" x14ac:dyDescent="0.3">
      <c r="A73" s="44"/>
      <c r="B73" s="11" t="str">
        <f>CONCATENATE("          ", "4201", " - ", "SALES RETURN TAXABLE-NEW TEXT")</f>
        <v xml:space="preserve">          4201 - SALES RETURN TAXABLE-NEW TEXT</v>
      </c>
      <c r="C73" s="11"/>
      <c r="D73" s="2">
        <f t="shared" ref="D73:D89" si="16">0</f>
        <v>0</v>
      </c>
      <c r="E73" s="2"/>
      <c r="F73" s="19"/>
      <c r="G73" s="2"/>
      <c r="H73" s="2">
        <f>-1333.42</f>
        <v>-1333.42</v>
      </c>
      <c r="I73" s="2"/>
      <c r="J73" s="19"/>
      <c r="K73" s="2"/>
      <c r="L73" s="2">
        <f t="shared" si="0"/>
        <v>1333.42</v>
      </c>
      <c r="M73" s="2"/>
      <c r="N73" s="19">
        <f t="shared" si="1"/>
        <v>-1</v>
      </c>
      <c r="O73" s="11"/>
      <c r="P73" s="2">
        <f t="shared" ref="P73:P89" si="17">0</f>
        <v>0</v>
      </c>
      <c r="Q73" s="2"/>
      <c r="R73" s="19"/>
      <c r="S73" s="2"/>
      <c r="T73" s="2">
        <f>-35094.66</f>
        <v>-35094.660000000003</v>
      </c>
      <c r="U73" s="2"/>
      <c r="V73" s="19"/>
      <c r="W73" s="2"/>
      <c r="X73" s="2">
        <f t="shared" si="2"/>
        <v>35094.660000000003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"4202", " - ", "SALES RETURN TAXABLE-USED TEXT")</f>
        <v xml:space="preserve">          4202 - SALES RETURN TAXABLE-USED TEXT</v>
      </c>
      <c r="C74" s="11"/>
      <c r="D74" s="2">
        <f t="shared" si="16"/>
        <v>0</v>
      </c>
      <c r="E74" s="2"/>
      <c r="F74" s="19"/>
      <c r="G74" s="2"/>
      <c r="H74" s="2">
        <f>-3274.35</f>
        <v>-3274.35</v>
      </c>
      <c r="I74" s="2"/>
      <c r="J74" s="19"/>
      <c r="K74" s="2"/>
      <c r="L74" s="2">
        <f t="shared" si="0"/>
        <v>3274.35</v>
      </c>
      <c r="M74" s="2"/>
      <c r="N74" s="19">
        <f t="shared" si="1"/>
        <v>-1</v>
      </c>
      <c r="O74" s="11"/>
      <c r="P74" s="2">
        <f t="shared" si="17"/>
        <v>0</v>
      </c>
      <c r="Q74" s="2"/>
      <c r="R74" s="19"/>
      <c r="S74" s="2"/>
      <c r="T74" s="2">
        <f>-13803.35</f>
        <v>-13803.35</v>
      </c>
      <c r="U74" s="2"/>
      <c r="V74" s="19"/>
      <c r="W74" s="2"/>
      <c r="X74" s="2">
        <f t="shared" si="2"/>
        <v>13803.35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"4204", " - ", "SALES RETURN TAXABLE-DIGITAL T")</f>
        <v xml:space="preserve">          4204 - SALES RETURN TAXABLE-DIGITAL T</v>
      </c>
      <c r="C75" s="11"/>
      <c r="D75" s="2">
        <f t="shared" si="16"/>
        <v>0</v>
      </c>
      <c r="E75" s="2"/>
      <c r="F75" s="19"/>
      <c r="G75" s="2"/>
      <c r="H75" s="2">
        <f t="shared" ref="H75:H76" si="18">0</f>
        <v>0</v>
      </c>
      <c r="I75" s="2"/>
      <c r="J75" s="19"/>
      <c r="K75" s="2"/>
      <c r="L75" s="2">
        <f t="shared" si="0"/>
        <v>0</v>
      </c>
      <c r="M75" s="2"/>
      <c r="N75" s="19">
        <f t="shared" si="1"/>
        <v>0</v>
      </c>
      <c r="O75" s="11"/>
      <c r="P75" s="2">
        <f t="shared" si="17"/>
        <v>0</v>
      </c>
      <c r="Q75" s="2"/>
      <c r="R75" s="19"/>
      <c r="S75" s="2"/>
      <c r="T75" s="2">
        <f>-1630.85</f>
        <v>-1630.85</v>
      </c>
      <c r="U75" s="2"/>
      <c r="V75" s="19"/>
      <c r="W75" s="2"/>
      <c r="X75" s="2">
        <f t="shared" si="2"/>
        <v>1630.85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"4226", " - ", "SALES RETURN TAXABLE-WRITING I")</f>
        <v xml:space="preserve">          4226 - SALES RETURN TAXABLE-WRITING I</v>
      </c>
      <c r="C76" s="11"/>
      <c r="D76" s="2">
        <f t="shared" si="16"/>
        <v>0</v>
      </c>
      <c r="E76" s="2"/>
      <c r="F76" s="19"/>
      <c r="G76" s="2"/>
      <c r="H76" s="2">
        <f t="shared" si="18"/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7"/>
        <v>0</v>
      </c>
      <c r="Q76" s="2"/>
      <c r="R76" s="19"/>
      <c r="S76" s="2"/>
      <c r="T76" s="2">
        <f>-34.23</f>
        <v>-34.229999999999997</v>
      </c>
      <c r="U76" s="2"/>
      <c r="V76" s="19"/>
      <c r="W76" s="2"/>
      <c r="X76" s="2">
        <f t="shared" si="2"/>
        <v>34.229999999999997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"4227", " - ", "SALES RETURN TAXABLE-SCHOOL SU")</f>
        <v xml:space="preserve">          4227 - SALES RETURN TAXABLE-SCHOOL SU</v>
      </c>
      <c r="C77" s="11"/>
      <c r="D77" s="2">
        <f t="shared" si="16"/>
        <v>0</v>
      </c>
      <c r="E77" s="2"/>
      <c r="F77" s="19"/>
      <c r="G77" s="2"/>
      <c r="H77" s="2">
        <f>-31.98</f>
        <v>-31.98</v>
      </c>
      <c r="I77" s="2"/>
      <c r="J77" s="19"/>
      <c r="K77" s="2"/>
      <c r="L77" s="2">
        <f t="shared" si="0"/>
        <v>31.98</v>
      </c>
      <c r="M77" s="2"/>
      <c r="N77" s="19">
        <f t="shared" si="1"/>
        <v>-1</v>
      </c>
      <c r="O77" s="11"/>
      <c r="P77" s="2">
        <f t="shared" si="17"/>
        <v>0</v>
      </c>
      <c r="Q77" s="2"/>
      <c r="R77" s="19"/>
      <c r="S77" s="2"/>
      <c r="T77" s="2">
        <f>-610.64</f>
        <v>-610.64</v>
      </c>
      <c r="U77" s="2"/>
      <c r="V77" s="19"/>
      <c r="W77" s="2"/>
      <c r="X77" s="2">
        <f t="shared" si="2"/>
        <v>610.64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"4228", " - ", "SALES RETURN TAXABLE-ART/TECH")</f>
        <v xml:space="preserve">          4228 - SALES RETURN TAXABLE-ART/TECH</v>
      </c>
      <c r="C78" s="11"/>
      <c r="D78" s="2">
        <f t="shared" si="16"/>
        <v>0</v>
      </c>
      <c r="E78" s="2"/>
      <c r="F78" s="19"/>
      <c r="G78" s="2"/>
      <c r="H78" s="2">
        <f>-32.49</f>
        <v>-32.49</v>
      </c>
      <c r="I78" s="2"/>
      <c r="J78" s="19"/>
      <c r="K78" s="2"/>
      <c r="L78" s="2">
        <f t="shared" si="0"/>
        <v>32.49</v>
      </c>
      <c r="M78" s="2"/>
      <c r="N78" s="19">
        <f t="shared" si="1"/>
        <v>-1</v>
      </c>
      <c r="O78" s="11"/>
      <c r="P78" s="2">
        <f t="shared" si="17"/>
        <v>0</v>
      </c>
      <c r="Q78" s="2"/>
      <c r="R78" s="19"/>
      <c r="S78" s="2"/>
      <c r="T78" s="2">
        <f>-254.69</f>
        <v>-254.69</v>
      </c>
      <c r="U78" s="2"/>
      <c r="V78" s="19"/>
      <c r="W78" s="2"/>
      <c r="X78" s="2">
        <f t="shared" si="2"/>
        <v>254.69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"4240", " - ", "SALES RETURN TAXABLE-LOGO CLOT")</f>
        <v xml:space="preserve">          4240 - SALES RETURN TAXABLE-LOGO CLOT</v>
      </c>
      <c r="C79" s="11"/>
      <c r="D79" s="2">
        <f t="shared" si="16"/>
        <v>0</v>
      </c>
      <c r="E79" s="2"/>
      <c r="F79" s="19"/>
      <c r="G79" s="2"/>
      <c r="H79" s="2">
        <f>-1729.15</f>
        <v>-1729.15</v>
      </c>
      <c r="I79" s="2"/>
      <c r="J79" s="19"/>
      <c r="K79" s="2"/>
      <c r="L79" s="2">
        <f t="shared" si="0"/>
        <v>1729.15</v>
      </c>
      <c r="M79" s="2"/>
      <c r="N79" s="19">
        <f t="shared" si="1"/>
        <v>-1</v>
      </c>
      <c r="O79" s="11"/>
      <c r="P79" s="2">
        <f t="shared" si="17"/>
        <v>0</v>
      </c>
      <c r="Q79" s="2"/>
      <c r="R79" s="19"/>
      <c r="S79" s="2"/>
      <c r="T79" s="2">
        <f>-15578.67</f>
        <v>-15578.67</v>
      </c>
      <c r="U79" s="2"/>
      <c r="V79" s="19"/>
      <c r="W79" s="2"/>
      <c r="X79" s="2">
        <f t="shared" si="2"/>
        <v>15578.67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"4241", " - ", "SALES RETURN TAXABLE-LOGO GIFT")</f>
        <v xml:space="preserve">          4241 - SALES RETURN TAXABLE-LOGO GIFT</v>
      </c>
      <c r="C80" s="11"/>
      <c r="D80" s="2">
        <f t="shared" si="16"/>
        <v>0</v>
      </c>
      <c r="E80" s="2"/>
      <c r="F80" s="19"/>
      <c r="G80" s="2"/>
      <c r="H80" s="2">
        <f>-108.29</f>
        <v>-108.29</v>
      </c>
      <c r="I80" s="2"/>
      <c r="J80" s="19"/>
      <c r="K80" s="2"/>
      <c r="L80" s="2">
        <f t="shared" si="0"/>
        <v>108.29</v>
      </c>
      <c r="M80" s="2"/>
      <c r="N80" s="19">
        <f t="shared" si="1"/>
        <v>-1</v>
      </c>
      <c r="O80" s="11"/>
      <c r="P80" s="2">
        <f t="shared" si="17"/>
        <v>0</v>
      </c>
      <c r="Q80" s="2"/>
      <c r="R80" s="19"/>
      <c r="S80" s="2"/>
      <c r="T80" s="2">
        <f>-2804.85</f>
        <v>-2804.85</v>
      </c>
      <c r="U80" s="2"/>
      <c r="V80" s="19"/>
      <c r="W80" s="2"/>
      <c r="X80" s="2">
        <f t="shared" si="2"/>
        <v>2804.85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"4242", " - ", "SALES RETURN TAXABLE-EVERYDAY")</f>
        <v xml:space="preserve">          4242 - SALES RETURN TAXABLE-EVERYDAY</v>
      </c>
      <c r="C81" s="11"/>
      <c r="D81" s="2">
        <f t="shared" si="16"/>
        <v>0</v>
      </c>
      <c r="E81" s="2"/>
      <c r="F81" s="19"/>
      <c r="G81" s="2"/>
      <c r="H81" s="2">
        <f>-7.48</f>
        <v>-7.48</v>
      </c>
      <c r="I81" s="2"/>
      <c r="J81" s="19"/>
      <c r="K81" s="2"/>
      <c r="L81" s="2">
        <f t="shared" si="0"/>
        <v>7.48</v>
      </c>
      <c r="M81" s="2"/>
      <c r="N81" s="19">
        <f t="shared" si="1"/>
        <v>-1</v>
      </c>
      <c r="O81" s="11"/>
      <c r="P81" s="2">
        <f t="shared" si="17"/>
        <v>0</v>
      </c>
      <c r="Q81" s="2"/>
      <c r="R81" s="19"/>
      <c r="S81" s="2"/>
      <c r="T81" s="2">
        <f>-1328.99</f>
        <v>-1328.99</v>
      </c>
      <c r="U81" s="2"/>
      <c r="V81" s="19"/>
      <c r="W81" s="2"/>
      <c r="X81" s="2">
        <f t="shared" si="2"/>
        <v>1328.99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"4243", " - ", "SALES RETURN TAXABLE-CARDS")</f>
        <v xml:space="preserve">          4243 - SALES RETURN TAXABLE-CARDS</v>
      </c>
      <c r="C82" s="11"/>
      <c r="D82" s="2">
        <f t="shared" si="16"/>
        <v>0</v>
      </c>
      <c r="E82" s="2"/>
      <c r="F82" s="19"/>
      <c r="G82" s="2"/>
      <c r="H82" s="2">
        <f>-829.54</f>
        <v>-829.54</v>
      </c>
      <c r="I82" s="2"/>
      <c r="J82" s="19"/>
      <c r="K82" s="2"/>
      <c r="L82" s="2">
        <f t="shared" si="0"/>
        <v>829.54</v>
      </c>
      <c r="M82" s="2"/>
      <c r="N82" s="19">
        <f t="shared" si="1"/>
        <v>-1</v>
      </c>
      <c r="O82" s="11"/>
      <c r="P82" s="2">
        <f t="shared" si="17"/>
        <v>0</v>
      </c>
      <c r="Q82" s="2"/>
      <c r="R82" s="19"/>
      <c r="S82" s="2"/>
      <c r="T82" s="2">
        <f>-1812.46</f>
        <v>-1812.46</v>
      </c>
      <c r="U82" s="2"/>
      <c r="V82" s="19"/>
      <c r="W82" s="2"/>
      <c r="X82" s="2">
        <f t="shared" si="2"/>
        <v>1812.46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"4244", " - ", "SALES RETURN TAXABLE-ACCESSORI")</f>
        <v xml:space="preserve">          4244 - SALES RETURN TAXABLE-ACCESSORI</v>
      </c>
      <c r="C83" s="11"/>
      <c r="D83" s="2">
        <f t="shared" si="16"/>
        <v>0</v>
      </c>
      <c r="E83" s="2"/>
      <c r="F83" s="19"/>
      <c r="G83" s="2"/>
      <c r="H83" s="2">
        <f>-179.95</f>
        <v>-179.95</v>
      </c>
      <c r="I83" s="2"/>
      <c r="J83" s="19"/>
      <c r="K83" s="2"/>
      <c r="L83" s="2">
        <f t="shared" si="0"/>
        <v>179.95</v>
      </c>
      <c r="M83" s="2"/>
      <c r="N83" s="19">
        <f t="shared" si="1"/>
        <v>-1</v>
      </c>
      <c r="O83" s="11"/>
      <c r="P83" s="2">
        <f t="shared" si="17"/>
        <v>0</v>
      </c>
      <c r="Q83" s="2"/>
      <c r="R83" s="19"/>
      <c r="S83" s="2"/>
      <c r="T83" s="2">
        <f>-590.94</f>
        <v>-590.94000000000005</v>
      </c>
      <c r="U83" s="2"/>
      <c r="V83" s="19"/>
      <c r="W83" s="2"/>
      <c r="X83" s="2">
        <f t="shared" si="2"/>
        <v>590.94000000000005</v>
      </c>
      <c r="Y83" s="2"/>
      <c r="Z83" s="19">
        <f t="shared" si="3"/>
        <v>-1</v>
      </c>
    </row>
    <row r="84" spans="1:26" s="24" customFormat="1" hidden="1" outlineLevel="1" x14ac:dyDescent="0.3">
      <c r="A84" s="44"/>
      <c r="B84" s="11" t="str">
        <f>CONCATENATE("          ", "4245", " - ", "SALES RETURN TAXABLE-SPECIAL O")</f>
        <v xml:space="preserve">          4245 - SALES RETURN TAXABLE-SPECIAL O</v>
      </c>
      <c r="C84" s="11"/>
      <c r="D84" s="2">
        <f t="shared" si="16"/>
        <v>0</v>
      </c>
      <c r="E84" s="2"/>
      <c r="F84" s="19"/>
      <c r="G84" s="2"/>
      <c r="H84" s="2">
        <f>-45.89</f>
        <v>-45.89</v>
      </c>
      <c r="I84" s="2"/>
      <c r="J84" s="19"/>
      <c r="K84" s="2"/>
      <c r="L84" s="2">
        <f t="shared" si="0"/>
        <v>45.89</v>
      </c>
      <c r="M84" s="2"/>
      <c r="N84" s="19">
        <f t="shared" si="1"/>
        <v>-1</v>
      </c>
      <c r="O84" s="11"/>
      <c r="P84" s="2">
        <f t="shared" si="17"/>
        <v>0</v>
      </c>
      <c r="Q84" s="2"/>
      <c r="R84" s="19"/>
      <c r="S84" s="2"/>
      <c r="T84" s="2">
        <f>-1592.82</f>
        <v>-1592.82</v>
      </c>
      <c r="U84" s="2"/>
      <c r="V84" s="19"/>
      <c r="W84" s="2"/>
      <c r="X84" s="2">
        <f t="shared" si="2"/>
        <v>1592.82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"4281", " - ", "SALES RETURN TAXABLE-ELECTRONI")</f>
        <v xml:space="preserve">          4281 - SALES RETURN TAXABLE-ELECTRONI</v>
      </c>
      <c r="C85" s="11"/>
      <c r="D85" s="2">
        <f t="shared" si="16"/>
        <v>0</v>
      </c>
      <c r="E85" s="2"/>
      <c r="F85" s="19"/>
      <c r="G85" s="2"/>
      <c r="H85" s="2">
        <f>0</f>
        <v>0</v>
      </c>
      <c r="I85" s="2"/>
      <c r="J85" s="19"/>
      <c r="K85" s="2"/>
      <c r="L85" s="2">
        <f t="shared" si="0"/>
        <v>0</v>
      </c>
      <c r="M85" s="2"/>
      <c r="N85" s="19">
        <f t="shared" si="1"/>
        <v>0</v>
      </c>
      <c r="O85" s="11"/>
      <c r="P85" s="2">
        <f t="shared" si="17"/>
        <v>0</v>
      </c>
      <c r="Q85" s="2"/>
      <c r="R85" s="19"/>
      <c r="S85" s="2"/>
      <c r="T85" s="2">
        <f>-14632.15</f>
        <v>-14632.15</v>
      </c>
      <c r="U85" s="2"/>
      <c r="V85" s="19"/>
      <c r="W85" s="2"/>
      <c r="X85" s="2">
        <f t="shared" si="2"/>
        <v>14632.15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"4282", " - ", "SALES RETURN TAXABLE-COMPUTER")</f>
        <v xml:space="preserve">          4282 - SALES RETURN TAXABLE-COMPUTER</v>
      </c>
      <c r="C86" s="11"/>
      <c r="D86" s="2">
        <f t="shared" si="16"/>
        <v>0</v>
      </c>
      <c r="E86" s="2"/>
      <c r="F86" s="19"/>
      <c r="G86" s="2"/>
      <c r="H86" s="2">
        <f>-15761.01</f>
        <v>-15761.01</v>
      </c>
      <c r="I86" s="2"/>
      <c r="J86" s="19"/>
      <c r="K86" s="2"/>
      <c r="L86" s="2">
        <f t="shared" si="0"/>
        <v>15761.01</v>
      </c>
      <c r="M86" s="2"/>
      <c r="N86" s="19">
        <f t="shared" si="1"/>
        <v>-1</v>
      </c>
      <c r="O86" s="11"/>
      <c r="P86" s="2">
        <f t="shared" si="17"/>
        <v>0</v>
      </c>
      <c r="Q86" s="2"/>
      <c r="R86" s="19"/>
      <c r="S86" s="2"/>
      <c r="T86" s="2">
        <f>-84084.01</f>
        <v>-84084.01</v>
      </c>
      <c r="U86" s="2"/>
      <c r="V86" s="19"/>
      <c r="W86" s="2"/>
      <c r="X86" s="2">
        <f t="shared" si="2"/>
        <v>84084.01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"4283", " - ", "SALES RETURN TAXABLE-COMPUTER")</f>
        <v xml:space="preserve">          4283 - SALES RETURN TAXABLE-COMPUTER</v>
      </c>
      <c r="C87" s="11"/>
      <c r="D87" s="2">
        <f t="shared" si="16"/>
        <v>0</v>
      </c>
      <c r="E87" s="2"/>
      <c r="F87" s="19"/>
      <c r="G87" s="2"/>
      <c r="H87" s="2">
        <f>-678.96</f>
        <v>-678.96</v>
      </c>
      <c r="I87" s="2"/>
      <c r="J87" s="19"/>
      <c r="K87" s="2"/>
      <c r="L87" s="2">
        <f t="shared" si="0"/>
        <v>678.96</v>
      </c>
      <c r="M87" s="2"/>
      <c r="N87" s="19">
        <f t="shared" si="1"/>
        <v>-1</v>
      </c>
      <c r="O87" s="11"/>
      <c r="P87" s="2">
        <f t="shared" si="17"/>
        <v>0</v>
      </c>
      <c r="Q87" s="2"/>
      <c r="R87" s="19"/>
      <c r="S87" s="2"/>
      <c r="T87" s="2">
        <f>-3311.27</f>
        <v>-3311.27</v>
      </c>
      <c r="U87" s="2"/>
      <c r="V87" s="19"/>
      <c r="W87" s="2"/>
      <c r="X87" s="2">
        <f t="shared" si="2"/>
        <v>3311.27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"4285", " - ", "SALES RETURN TAXABLE-SOFTWARE")</f>
        <v xml:space="preserve">          4285 - SALES RETURN TAXABLE-SOFTWARE</v>
      </c>
      <c r="C88" s="11"/>
      <c r="D88" s="2">
        <f t="shared" si="16"/>
        <v>0</v>
      </c>
      <c r="E88" s="2"/>
      <c r="F88" s="19"/>
      <c r="G88" s="2"/>
      <c r="H88" s="2">
        <f>-139</f>
        <v>-139</v>
      </c>
      <c r="I88" s="2"/>
      <c r="J88" s="19"/>
      <c r="K88" s="2"/>
      <c r="L88" s="2">
        <f t="shared" si="0"/>
        <v>139</v>
      </c>
      <c r="M88" s="2"/>
      <c r="N88" s="19">
        <f t="shared" si="1"/>
        <v>-1</v>
      </c>
      <c r="O88" s="11"/>
      <c r="P88" s="2">
        <f t="shared" si="17"/>
        <v>0</v>
      </c>
      <c r="Q88" s="2"/>
      <c r="R88" s="19"/>
      <c r="S88" s="2"/>
      <c r="T88" s="2">
        <f>-691.98</f>
        <v>-691.98</v>
      </c>
      <c r="U88" s="2"/>
      <c r="V88" s="19"/>
      <c r="W88" s="2"/>
      <c r="X88" s="2">
        <f t="shared" si="2"/>
        <v>691.98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"4286", " - ", "SALES RETURN TAXABLE-COMPUTER")</f>
        <v xml:space="preserve">          4286 - SALES RETURN TAXABLE-COMPUTER</v>
      </c>
      <c r="C89" s="11"/>
      <c r="D89" s="2">
        <f t="shared" si="16"/>
        <v>0</v>
      </c>
      <c r="E89" s="2"/>
      <c r="F89" s="19"/>
      <c r="G89" s="2"/>
      <c r="H89" s="2">
        <f>-9.99</f>
        <v>-9.99</v>
      </c>
      <c r="I89" s="2"/>
      <c r="J89" s="19"/>
      <c r="K89" s="2"/>
      <c r="L89" s="2">
        <f t="shared" si="0"/>
        <v>9.99</v>
      </c>
      <c r="M89" s="2"/>
      <c r="N89" s="19">
        <f t="shared" si="1"/>
        <v>-1</v>
      </c>
      <c r="O89" s="11"/>
      <c r="P89" s="2">
        <f t="shared" si="17"/>
        <v>0</v>
      </c>
      <c r="Q89" s="2"/>
      <c r="R89" s="19"/>
      <c r="S89" s="2"/>
      <c r="T89" s="2">
        <f>-581.35</f>
        <v>-581.35</v>
      </c>
      <c r="U89" s="2"/>
      <c r="V89" s="19"/>
      <c r="W89" s="2"/>
      <c r="X89" s="2">
        <f t="shared" si="2"/>
        <v>581.35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"4300", " - ", "NON-TAX RETURNS")</f>
        <v xml:space="preserve">          4300 - NON-TAX RETURNS</v>
      </c>
      <c r="C90" s="11"/>
      <c r="D90" s="2">
        <f>-715.91</f>
        <v>-715.91</v>
      </c>
      <c r="E90" s="2"/>
      <c r="F90" s="19"/>
      <c r="G90" s="2"/>
      <c r="H90" s="2">
        <f t="shared" ref="H90:H91" si="19">0</f>
        <v>0</v>
      </c>
      <c r="I90" s="2"/>
      <c r="J90" s="19"/>
      <c r="K90" s="2"/>
      <c r="L90" s="2">
        <f t="shared" si="0"/>
        <v>-715.91</v>
      </c>
      <c r="M90" s="2"/>
      <c r="N90" s="19">
        <f t="shared" si="1"/>
        <v>0</v>
      </c>
      <c r="O90" s="11"/>
      <c r="P90" s="2">
        <f>-27205.18</f>
        <v>-27205.18</v>
      </c>
      <c r="Q90" s="2"/>
      <c r="R90" s="19"/>
      <c r="S90" s="2"/>
      <c r="T90" s="2">
        <f>0</f>
        <v>0</v>
      </c>
      <c r="U90" s="2"/>
      <c r="V90" s="19"/>
      <c r="W90" s="2"/>
      <c r="X90" s="2">
        <f t="shared" si="2"/>
        <v>-27205.18</v>
      </c>
      <c r="Y90" s="2"/>
      <c r="Z90" s="19">
        <f t="shared" si="3"/>
        <v>0</v>
      </c>
    </row>
    <row r="91" spans="1:26" s="24" customFormat="1" hidden="1" outlineLevel="1" x14ac:dyDescent="0.3">
      <c r="A91" s="44"/>
      <c r="B91" s="11" t="str">
        <f>CONCATENATE("          ", "4301", " - ", "SALES RETURN NON TAXABLE-NEW T")</f>
        <v xml:space="preserve">          4301 - SALES RETURN NON TAXABLE-NEW T</v>
      </c>
      <c r="C91" s="11"/>
      <c r="D91" s="2">
        <f t="shared" ref="D91:D97" si="20">0</f>
        <v>0</v>
      </c>
      <c r="E91" s="2"/>
      <c r="F91" s="19"/>
      <c r="G91" s="2"/>
      <c r="H91" s="2">
        <f t="shared" si="19"/>
        <v>0</v>
      </c>
      <c r="I91" s="2"/>
      <c r="J91" s="19"/>
      <c r="K91" s="2"/>
      <c r="L91" s="2">
        <f t="shared" si="0"/>
        <v>0</v>
      </c>
      <c r="M91" s="2"/>
      <c r="N91" s="19">
        <f t="shared" si="1"/>
        <v>0</v>
      </c>
      <c r="O91" s="11"/>
      <c r="P91" s="2">
        <f t="shared" ref="P91:P97" si="21">0</f>
        <v>0</v>
      </c>
      <c r="Q91" s="2"/>
      <c r="R91" s="19"/>
      <c r="S91" s="2"/>
      <c r="T91" s="2">
        <f>-2376.17</f>
        <v>-2376.17</v>
      </c>
      <c r="U91" s="2"/>
      <c r="V91" s="19"/>
      <c r="W91" s="2"/>
      <c r="X91" s="2">
        <f t="shared" si="2"/>
        <v>2376.17</v>
      </c>
      <c r="Y91" s="2"/>
      <c r="Z91" s="19">
        <f t="shared" si="3"/>
        <v>-1</v>
      </c>
    </row>
    <row r="92" spans="1:26" s="24" customFormat="1" hidden="1" outlineLevel="1" x14ac:dyDescent="0.3">
      <c r="A92" s="44"/>
      <c r="B92" s="11" t="str">
        <f>CONCATENATE("          ", "4302", " - ", "SALES RETURN NON TAXABLE-TEXT")</f>
        <v xml:space="preserve">          4302 - SALES RETURN NON TAXABLE-TEXT</v>
      </c>
      <c r="C92" s="11"/>
      <c r="D92" s="2">
        <f t="shared" si="20"/>
        <v>0</v>
      </c>
      <c r="E92" s="2"/>
      <c r="F92" s="19"/>
      <c r="G92" s="2"/>
      <c r="H92" s="2">
        <f>-76.05</f>
        <v>-76.05</v>
      </c>
      <c r="I92" s="2"/>
      <c r="J92" s="19"/>
      <c r="K92" s="2"/>
      <c r="L92" s="2">
        <f t="shared" si="0"/>
        <v>76.05</v>
      </c>
      <c r="M92" s="2"/>
      <c r="N92" s="19">
        <f t="shared" si="1"/>
        <v>-1</v>
      </c>
      <c r="O92" s="11"/>
      <c r="P92" s="2">
        <f t="shared" si="21"/>
        <v>0</v>
      </c>
      <c r="Q92" s="2"/>
      <c r="R92" s="19"/>
      <c r="S92" s="2"/>
      <c r="T92" s="2">
        <f>-1392.85</f>
        <v>-1392.85</v>
      </c>
      <c r="U92" s="2"/>
      <c r="V92" s="19"/>
      <c r="W92" s="2"/>
      <c r="X92" s="2">
        <f t="shared" si="2"/>
        <v>1392.85</v>
      </c>
      <c r="Y92" s="2"/>
      <c r="Z92" s="19">
        <f t="shared" si="3"/>
        <v>-1</v>
      </c>
    </row>
    <row r="93" spans="1:26" s="24" customFormat="1" hidden="1" outlineLevel="1" x14ac:dyDescent="0.3">
      <c r="A93" s="44"/>
      <c r="B93" s="11" t="str">
        <f>CONCATENATE("          ", "4304", " - ", "SALES RETURN NON TAXABLE-DIGIT")</f>
        <v xml:space="preserve">          4304 - SALES RETURN NON TAXABLE-DIGIT</v>
      </c>
      <c r="C93" s="11"/>
      <c r="D93" s="2">
        <f t="shared" si="20"/>
        <v>0</v>
      </c>
      <c r="E93" s="2"/>
      <c r="F93" s="19"/>
      <c r="G93" s="2"/>
      <c r="H93" s="2">
        <f>-176.43</f>
        <v>-176.43</v>
      </c>
      <c r="I93" s="2"/>
      <c r="J93" s="19"/>
      <c r="K93" s="2"/>
      <c r="L93" s="2">
        <f t="shared" si="0"/>
        <v>176.43</v>
      </c>
      <c r="M93" s="2"/>
      <c r="N93" s="19">
        <f t="shared" si="1"/>
        <v>-1</v>
      </c>
      <c r="O93" s="11"/>
      <c r="P93" s="2">
        <f t="shared" si="21"/>
        <v>0</v>
      </c>
      <c r="Q93" s="2"/>
      <c r="R93" s="19"/>
      <c r="S93" s="2"/>
      <c r="T93" s="2">
        <f>-14278.54</f>
        <v>-14278.54</v>
      </c>
      <c r="U93" s="2"/>
      <c r="V93" s="19"/>
      <c r="W93" s="2"/>
      <c r="X93" s="2">
        <f t="shared" si="2"/>
        <v>14278.54</v>
      </c>
      <c r="Y93" s="2"/>
      <c r="Z93" s="19">
        <f t="shared" si="3"/>
        <v>-1</v>
      </c>
    </row>
    <row r="94" spans="1:26" s="24" customFormat="1" hidden="1" outlineLevel="1" x14ac:dyDescent="0.3">
      <c r="A94" s="44"/>
      <c r="B94" s="11" t="str">
        <f>CONCATENATE("          ", "4340", " - ", "SALES RETURN NON TAXABLE-LOGO")</f>
        <v xml:space="preserve">          4340 - SALES RETURN NON TAXABLE-LOGO</v>
      </c>
      <c r="C94" s="11"/>
      <c r="D94" s="2">
        <f t="shared" si="20"/>
        <v>0</v>
      </c>
      <c r="E94" s="2"/>
      <c r="F94" s="19"/>
      <c r="G94" s="2"/>
      <c r="H94" s="2">
        <f>-203.75</f>
        <v>-203.75</v>
      </c>
      <c r="I94" s="2"/>
      <c r="J94" s="19"/>
      <c r="K94" s="2"/>
      <c r="L94" s="2">
        <f t="shared" si="0"/>
        <v>203.75</v>
      </c>
      <c r="M94" s="2"/>
      <c r="N94" s="19">
        <f t="shared" si="1"/>
        <v>-1</v>
      </c>
      <c r="O94" s="11"/>
      <c r="P94" s="2">
        <f t="shared" si="21"/>
        <v>0</v>
      </c>
      <c r="Q94" s="2"/>
      <c r="R94" s="19"/>
      <c r="S94" s="2"/>
      <c r="T94" s="2">
        <f>-940.48</f>
        <v>-940.48</v>
      </c>
      <c r="U94" s="2"/>
      <c r="V94" s="19"/>
      <c r="W94" s="2"/>
      <c r="X94" s="2">
        <f t="shared" si="2"/>
        <v>940.48</v>
      </c>
      <c r="Y94" s="2"/>
      <c r="Z94" s="19">
        <f t="shared" si="3"/>
        <v>-1</v>
      </c>
    </row>
    <row r="95" spans="1:26" s="24" customFormat="1" hidden="1" outlineLevel="1" x14ac:dyDescent="0.3">
      <c r="A95" s="44"/>
      <c r="B95" s="11" t="str">
        <f>CONCATENATE("          ", "4341", " - ", "SALES RETURN NON TAXABLE-LOGO")</f>
        <v xml:space="preserve">          4341 - SALES RETURN NON TAXABLE-LOGO</v>
      </c>
      <c r="C95" s="11"/>
      <c r="D95" s="2">
        <f t="shared" si="20"/>
        <v>0</v>
      </c>
      <c r="E95" s="2"/>
      <c r="F95" s="19"/>
      <c r="G95" s="2"/>
      <c r="H95" s="2">
        <f>-154.89</f>
        <v>-154.88999999999999</v>
      </c>
      <c r="I95" s="2"/>
      <c r="J95" s="19"/>
      <c r="K95" s="2"/>
      <c r="L95" s="2">
        <f t="shared" si="0"/>
        <v>154.88999999999999</v>
      </c>
      <c r="M95" s="2"/>
      <c r="N95" s="19">
        <f t="shared" si="1"/>
        <v>-1</v>
      </c>
      <c r="O95" s="11"/>
      <c r="P95" s="2">
        <f t="shared" si="21"/>
        <v>0</v>
      </c>
      <c r="Q95" s="2"/>
      <c r="R95" s="19"/>
      <c r="S95" s="2"/>
      <c r="T95" s="2">
        <f>-301.79</f>
        <v>-301.79000000000002</v>
      </c>
      <c r="U95" s="2"/>
      <c r="V95" s="19"/>
      <c r="W95" s="2"/>
      <c r="X95" s="2">
        <f t="shared" si="2"/>
        <v>301.79000000000002</v>
      </c>
      <c r="Y95" s="2"/>
      <c r="Z95" s="19">
        <f t="shared" si="3"/>
        <v>-1</v>
      </c>
    </row>
    <row r="96" spans="1:26" s="24" customFormat="1" hidden="1" outlineLevel="1" x14ac:dyDescent="0.3">
      <c r="A96" s="44"/>
      <c r="B96" s="11" t="str">
        <f>CONCATENATE("          ", "4342", " - ", "SALES RETURN NON TAXABLE-EVERY")</f>
        <v xml:space="preserve">          4342 - SALES RETURN NON TAXABLE-EVERY</v>
      </c>
      <c r="C96" s="11"/>
      <c r="D96" s="2">
        <f t="shared" si="20"/>
        <v>0</v>
      </c>
      <c r="E96" s="2"/>
      <c r="F96" s="19"/>
      <c r="G96" s="2"/>
      <c r="H96" s="2">
        <f t="shared" ref="H96:H98" si="22">0</f>
        <v>0</v>
      </c>
      <c r="I96" s="2"/>
      <c r="J96" s="19"/>
      <c r="K96" s="2"/>
      <c r="L96" s="2">
        <f t="shared" si="0"/>
        <v>0</v>
      </c>
      <c r="M96" s="2"/>
      <c r="N96" s="19">
        <f t="shared" si="1"/>
        <v>0</v>
      </c>
      <c r="O96" s="11"/>
      <c r="P96" s="2">
        <f t="shared" si="21"/>
        <v>0</v>
      </c>
      <c r="Q96" s="2"/>
      <c r="R96" s="19"/>
      <c r="S96" s="2"/>
      <c r="T96" s="2">
        <f>-118.7</f>
        <v>-118.7</v>
      </c>
      <c r="U96" s="2"/>
      <c r="V96" s="19"/>
      <c r="W96" s="2"/>
      <c r="X96" s="2">
        <f t="shared" si="2"/>
        <v>118.7</v>
      </c>
      <c r="Y96" s="2"/>
      <c r="Z96" s="19">
        <f t="shared" si="3"/>
        <v>-1</v>
      </c>
    </row>
    <row r="97" spans="1:26" s="24" customFormat="1" hidden="1" outlineLevel="1" x14ac:dyDescent="0.3">
      <c r="A97" s="44"/>
      <c r="B97" s="11" t="str">
        <f>CONCATENATE("          ", "4381", " - ", "SALES RETURN NON TAXABLE-ELECT")</f>
        <v xml:space="preserve">          4381 - SALES RETURN NON TAXABLE-ELECT</v>
      </c>
      <c r="C97" s="11"/>
      <c r="D97" s="2">
        <f t="shared" si="20"/>
        <v>0</v>
      </c>
      <c r="E97" s="2"/>
      <c r="F97" s="19"/>
      <c r="G97" s="2"/>
      <c r="H97" s="2">
        <f t="shared" si="22"/>
        <v>0</v>
      </c>
      <c r="I97" s="2"/>
      <c r="J97" s="19"/>
      <c r="K97" s="2"/>
      <c r="L97" s="2">
        <f t="shared" si="0"/>
        <v>0</v>
      </c>
      <c r="M97" s="2"/>
      <c r="N97" s="19">
        <f t="shared" si="1"/>
        <v>0</v>
      </c>
      <c r="O97" s="11"/>
      <c r="P97" s="2">
        <f t="shared" si="21"/>
        <v>0</v>
      </c>
      <c r="Q97" s="2"/>
      <c r="R97" s="19"/>
      <c r="S97" s="2"/>
      <c r="T97" s="2">
        <f>-5624.15</f>
        <v>-5624.15</v>
      </c>
      <c r="U97" s="2"/>
      <c r="V97" s="19"/>
      <c r="W97" s="2"/>
      <c r="X97" s="2">
        <f t="shared" si="2"/>
        <v>5624.15</v>
      </c>
      <c r="Y97" s="2"/>
      <c r="Z97" s="19">
        <f t="shared" si="3"/>
        <v>-1</v>
      </c>
    </row>
    <row r="98" spans="1:26" s="24" customFormat="1" hidden="1" outlineLevel="1" x14ac:dyDescent="0.3">
      <c r="A98" s="44"/>
      <c r="B98" s="11" t="str">
        <f>CONCATENATE("          ", "4500", " - ", "SALES DISCOUNT")</f>
        <v xml:space="preserve">          4500 - SALES DISCOUNT</v>
      </c>
      <c r="C98" s="11"/>
      <c r="D98" s="2">
        <f>-6518.33</f>
        <v>-6518.33</v>
      </c>
      <c r="E98" s="2"/>
      <c r="F98" s="19"/>
      <c r="G98" s="2"/>
      <c r="H98" s="2">
        <f t="shared" si="22"/>
        <v>0</v>
      </c>
      <c r="I98" s="2"/>
      <c r="J98" s="19"/>
      <c r="K98" s="2"/>
      <c r="L98" s="2">
        <f t="shared" si="0"/>
        <v>-6518.33</v>
      </c>
      <c r="M98" s="2"/>
      <c r="N98" s="19">
        <f t="shared" si="1"/>
        <v>0</v>
      </c>
      <c r="O98" s="11"/>
      <c r="P98" s="2">
        <f>-14181.42</f>
        <v>-14181.42</v>
      </c>
      <c r="Q98" s="2"/>
      <c r="R98" s="19"/>
      <c r="S98" s="2"/>
      <c r="T98" s="2">
        <f>0</f>
        <v>0</v>
      </c>
      <c r="U98" s="2"/>
      <c r="V98" s="19"/>
      <c r="W98" s="2"/>
      <c r="X98" s="2">
        <f t="shared" si="2"/>
        <v>-14181.42</v>
      </c>
      <c r="Y98" s="2"/>
      <c r="Z98" s="19">
        <f t="shared" si="3"/>
        <v>0</v>
      </c>
    </row>
    <row r="99" spans="1:26" x14ac:dyDescent="0.3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collapsed="1" x14ac:dyDescent="0.3">
      <c r="A100" s="10"/>
      <c r="B100" s="26" t="s">
        <v>256</v>
      </c>
      <c r="C100" s="10"/>
      <c r="D100" s="4">
        <f>SUM(OSRRefD16x_0)</f>
        <v>561552.03</v>
      </c>
      <c r="E100" s="4"/>
      <c r="F100" s="12">
        <f t="shared" ref="F100:F149" si="23">IF(D$12=0,0,D100/D$12)</f>
        <v>0.31088276462605946</v>
      </c>
      <c r="G100" s="4"/>
      <c r="H100" s="4">
        <f>SUM(OSRRefH16x_0)</f>
        <v>165810.12</v>
      </c>
      <c r="I100" s="4"/>
      <c r="J100" s="12">
        <f t="shared" ref="J100:J149" si="24">IF(H$12=0,0,H100/H$12)</f>
        <v>0.41923460423280734</v>
      </c>
      <c r="K100" s="4"/>
      <c r="L100" s="4">
        <f t="shared" ref="L100:L149" si="25">+D100-H100</f>
        <v>395741.91000000003</v>
      </c>
      <c r="M100" s="4"/>
      <c r="N100" s="12">
        <f t="shared" ref="N100:N149" si="26">IF(H100=0,0,L100/H100)</f>
        <v>2.3867174693559119</v>
      </c>
      <c r="O100" s="10"/>
      <c r="P100" s="4">
        <f>SUM(OSRRefP16x_0)</f>
        <v>4164733.3200000003</v>
      </c>
      <c r="Q100" s="4"/>
      <c r="R100" s="12">
        <f t="shared" ref="R100:R149" si="27">IF(P$12=0,0,P100/P$12)</f>
        <v>0.43034734436061844</v>
      </c>
      <c r="S100" s="4"/>
      <c r="T100" s="4">
        <f>SUM(OSRRefT16x_0)</f>
        <v>2983164.63</v>
      </c>
      <c r="U100" s="4"/>
      <c r="V100" s="12">
        <f t="shared" ref="V100:V149" si="28">IF(T$12=0,0,T100/T$12)</f>
        <v>0.6402486871966957</v>
      </c>
      <c r="W100" s="4"/>
      <c r="X100" s="4">
        <f t="shared" ref="X100:X149" si="29">+P100-T100</f>
        <v>1181568.6900000004</v>
      </c>
      <c r="Y100" s="4"/>
      <c r="Z100" s="12">
        <f t="shared" ref="Z100:Z149" si="30">IF(T100=0,0,X100/T100)</f>
        <v>0.39607894184505682</v>
      </c>
    </row>
    <row r="101" spans="1:26" s="24" customFormat="1" hidden="1" outlineLevel="1" x14ac:dyDescent="0.3">
      <c r="A101" s="44"/>
      <c r="B101" s="11" t="str">
        <f>CONCATENATE("          ", "5000", " - ", "PURCHASES @ COST")</f>
        <v xml:space="preserve">          5000 - PURCHASES @ COST</v>
      </c>
      <c r="C101" s="11"/>
      <c r="D101" s="2">
        <v>-11220.02</v>
      </c>
      <c r="E101" s="2"/>
      <c r="F101" s="19">
        <f t="shared" si="23"/>
        <v>-6.2115541399782306E-3</v>
      </c>
      <c r="G101" s="2"/>
      <c r="H101" s="2"/>
      <c r="I101" s="2"/>
      <c r="J101" s="19">
        <f t="shared" si="24"/>
        <v>0</v>
      </c>
      <c r="K101" s="2"/>
      <c r="L101" s="2">
        <f t="shared" si="25"/>
        <v>-11220.02</v>
      </c>
      <c r="M101" s="2"/>
      <c r="N101" s="19">
        <f t="shared" si="26"/>
        <v>0</v>
      </c>
      <c r="O101" s="11"/>
      <c r="P101" s="2">
        <v>2991769.29</v>
      </c>
      <c r="Q101" s="2"/>
      <c r="R101" s="19">
        <f t="shared" si="27"/>
        <v>0.30914343607747563</v>
      </c>
      <c r="S101" s="2"/>
      <c r="T101" s="2">
        <v>0</v>
      </c>
      <c r="U101" s="2"/>
      <c r="V101" s="19">
        <f t="shared" si="28"/>
        <v>0</v>
      </c>
      <c r="W101" s="2"/>
      <c r="X101" s="2">
        <f t="shared" si="29"/>
        <v>2991769.29</v>
      </c>
      <c r="Y101" s="2"/>
      <c r="Z101" s="19">
        <f t="shared" si="30"/>
        <v>0</v>
      </c>
    </row>
    <row r="102" spans="1:26" s="24" customFormat="1" hidden="1" outlineLevel="1" x14ac:dyDescent="0.3">
      <c r="A102" s="44"/>
      <c r="B102" s="11" t="str">
        <f>CONCATENATE("          ", "5001", " - ", "PURCHASES @ COST-NEW TEXT")</f>
        <v xml:space="preserve">          5001 - PURCHASES @ COST-NEW TEXT</v>
      </c>
      <c r="C102" s="11"/>
      <c r="D102" s="2"/>
      <c r="E102" s="2"/>
      <c r="F102" s="19">
        <f t="shared" si="23"/>
        <v>0</v>
      </c>
      <c r="G102" s="2"/>
      <c r="H102" s="2">
        <v>-108601.35</v>
      </c>
      <c r="I102" s="2"/>
      <c r="J102" s="19">
        <f t="shared" si="24"/>
        <v>-0.27458784775258949</v>
      </c>
      <c r="K102" s="2"/>
      <c r="L102" s="2">
        <f t="shared" si="25"/>
        <v>108601.35</v>
      </c>
      <c r="M102" s="2"/>
      <c r="N102" s="19">
        <f t="shared" si="26"/>
        <v>-1</v>
      </c>
      <c r="O102" s="11"/>
      <c r="P102" s="2">
        <v>0</v>
      </c>
      <c r="Q102" s="2"/>
      <c r="R102" s="19">
        <f t="shared" si="27"/>
        <v>0</v>
      </c>
      <c r="S102" s="2"/>
      <c r="T102" s="2">
        <v>1240595.48</v>
      </c>
      <c r="U102" s="2"/>
      <c r="V102" s="19">
        <f t="shared" si="28"/>
        <v>0.26625738969429741</v>
      </c>
      <c r="W102" s="2"/>
      <c r="X102" s="2">
        <f t="shared" si="29"/>
        <v>-1240595.48</v>
      </c>
      <c r="Y102" s="2"/>
      <c r="Z102" s="19">
        <f t="shared" si="30"/>
        <v>-1</v>
      </c>
    </row>
    <row r="103" spans="1:26" s="24" customFormat="1" hidden="1" outlineLevel="1" x14ac:dyDescent="0.3">
      <c r="A103" s="44"/>
      <c r="B103" s="11" t="str">
        <f>CONCATENATE("          ", "5002", " - ", "PURCHASES @ COST-USED TEXT")</f>
        <v xml:space="preserve">          5002 - PURCHASES @ COST-USED TEXT</v>
      </c>
      <c r="C103" s="11"/>
      <c r="D103" s="2"/>
      <c r="E103" s="2"/>
      <c r="F103" s="19">
        <f t="shared" si="23"/>
        <v>0</v>
      </c>
      <c r="G103" s="2"/>
      <c r="H103" s="2">
        <v>-208829.28</v>
      </c>
      <c r="I103" s="2"/>
      <c r="J103" s="19">
        <f t="shared" si="24"/>
        <v>-0.52800432538751019</v>
      </c>
      <c r="K103" s="2"/>
      <c r="L103" s="2">
        <f t="shared" si="25"/>
        <v>208829.28</v>
      </c>
      <c r="M103" s="2"/>
      <c r="N103" s="19">
        <f t="shared" si="26"/>
        <v>-1</v>
      </c>
      <c r="O103" s="11"/>
      <c r="P103" s="2">
        <v>0</v>
      </c>
      <c r="Q103" s="2"/>
      <c r="R103" s="19">
        <f t="shared" si="27"/>
        <v>0</v>
      </c>
      <c r="S103" s="2"/>
      <c r="T103" s="2">
        <v>94234.05</v>
      </c>
      <c r="U103" s="2"/>
      <c r="V103" s="19">
        <f t="shared" si="28"/>
        <v>2.0224571649512951E-2</v>
      </c>
      <c r="W103" s="2"/>
      <c r="X103" s="2">
        <f t="shared" si="29"/>
        <v>-94234.05</v>
      </c>
      <c r="Y103" s="2"/>
      <c r="Z103" s="19">
        <f t="shared" si="30"/>
        <v>-1</v>
      </c>
    </row>
    <row r="104" spans="1:26" s="24" customFormat="1" hidden="1" outlineLevel="1" x14ac:dyDescent="0.3">
      <c r="A104" s="44"/>
      <c r="B104" s="11" t="str">
        <f>CONCATENATE("          ", "5003", " - ", "PURCHASES @ COST-RENTAL TEXT")</f>
        <v xml:space="preserve">          5003 - PURCHASES @ COST-RENTAL TEXT</v>
      </c>
      <c r="C104" s="11"/>
      <c r="D104" s="2"/>
      <c r="E104" s="2"/>
      <c r="F104" s="19">
        <f t="shared" si="23"/>
        <v>0</v>
      </c>
      <c r="G104" s="2"/>
      <c r="H104" s="2">
        <v>517.92999999999995</v>
      </c>
      <c r="I104" s="2"/>
      <c r="J104" s="19">
        <f t="shared" si="24"/>
        <v>1.3095351391718304E-3</v>
      </c>
      <c r="K104" s="2"/>
      <c r="L104" s="2">
        <f t="shared" si="25"/>
        <v>-517.92999999999995</v>
      </c>
      <c r="M104" s="2"/>
      <c r="N104" s="19">
        <f t="shared" si="26"/>
        <v>-1</v>
      </c>
      <c r="O104" s="11"/>
      <c r="P104" s="2"/>
      <c r="Q104" s="2"/>
      <c r="R104" s="19">
        <f t="shared" si="27"/>
        <v>0</v>
      </c>
      <c r="S104" s="2"/>
      <c r="T104" s="2">
        <v>32.520000000000003</v>
      </c>
      <c r="U104" s="2"/>
      <c r="V104" s="19">
        <f t="shared" si="28"/>
        <v>6.9794630501624536E-6</v>
      </c>
      <c r="W104" s="2"/>
      <c r="X104" s="2">
        <f t="shared" si="29"/>
        <v>-32.520000000000003</v>
      </c>
      <c r="Y104" s="2"/>
      <c r="Z104" s="19">
        <f t="shared" si="30"/>
        <v>-1</v>
      </c>
    </row>
    <row r="105" spans="1:26" s="24" customFormat="1" hidden="1" outlineLevel="1" x14ac:dyDescent="0.3">
      <c r="A105" s="44"/>
      <c r="B105" s="11" t="str">
        <f>CONCATENATE("          ", "5004", " - ", "PURCHASES @ COST-DIGITAL TEXT")</f>
        <v xml:space="preserve">          5004 - PURCHASES @ COST-DIGITAL TEXT</v>
      </c>
      <c r="C105" s="11"/>
      <c r="D105" s="2"/>
      <c r="E105" s="2"/>
      <c r="F105" s="19">
        <f t="shared" si="23"/>
        <v>0</v>
      </c>
      <c r="G105" s="2"/>
      <c r="H105" s="2">
        <v>1418.58</v>
      </c>
      <c r="I105" s="2"/>
      <c r="J105" s="19">
        <f t="shared" si="24"/>
        <v>3.5867402114694558E-3</v>
      </c>
      <c r="K105" s="2"/>
      <c r="L105" s="2">
        <f t="shared" si="25"/>
        <v>-1418.58</v>
      </c>
      <c r="M105" s="2"/>
      <c r="N105" s="19">
        <f t="shared" si="26"/>
        <v>-1</v>
      </c>
      <c r="O105" s="11"/>
      <c r="P105" s="2">
        <v>0</v>
      </c>
      <c r="Q105" s="2"/>
      <c r="R105" s="19">
        <f t="shared" si="27"/>
        <v>0</v>
      </c>
      <c r="S105" s="2"/>
      <c r="T105" s="2">
        <v>196938.11</v>
      </c>
      <c r="U105" s="2"/>
      <c r="V105" s="19">
        <f t="shared" si="28"/>
        <v>4.2266982223672464E-2</v>
      </c>
      <c r="W105" s="2"/>
      <c r="X105" s="2">
        <f t="shared" si="29"/>
        <v>-196938.11</v>
      </c>
      <c r="Y105" s="2"/>
      <c r="Z105" s="19">
        <f t="shared" si="30"/>
        <v>-1</v>
      </c>
    </row>
    <row r="106" spans="1:26" s="24" customFormat="1" hidden="1" outlineLevel="1" x14ac:dyDescent="0.3">
      <c r="A106" s="44"/>
      <c r="B106" s="11" t="str">
        <f>CONCATENATE("          ", "5011", " - ", "PURCHASES @ COST-NO VALUE TEXT")</f>
        <v xml:space="preserve">          5011 - PURCHASES @ COST-NO VALUE TEXT</v>
      </c>
      <c r="C106" s="11"/>
      <c r="D106" s="2"/>
      <c r="E106" s="2"/>
      <c r="F106" s="19">
        <f t="shared" si="23"/>
        <v>0</v>
      </c>
      <c r="G106" s="2"/>
      <c r="H106" s="2"/>
      <c r="I106" s="2"/>
      <c r="J106" s="19">
        <f t="shared" si="24"/>
        <v>0</v>
      </c>
      <c r="K106" s="2"/>
      <c r="L106" s="2">
        <f t="shared" si="25"/>
        <v>0</v>
      </c>
      <c r="M106" s="2"/>
      <c r="N106" s="19">
        <f t="shared" si="26"/>
        <v>0</v>
      </c>
      <c r="O106" s="11"/>
      <c r="P106" s="2"/>
      <c r="Q106" s="2"/>
      <c r="R106" s="19">
        <f t="shared" si="27"/>
        <v>0</v>
      </c>
      <c r="S106" s="2"/>
      <c r="T106" s="2">
        <v>67.17</v>
      </c>
      <c r="U106" s="2"/>
      <c r="V106" s="19">
        <f t="shared" si="28"/>
        <v>1.4416068052872447E-5</v>
      </c>
      <c r="W106" s="2"/>
      <c r="X106" s="2">
        <f t="shared" si="29"/>
        <v>-67.17</v>
      </c>
      <c r="Y106" s="2"/>
      <c r="Z106" s="19">
        <f t="shared" si="30"/>
        <v>-1</v>
      </c>
    </row>
    <row r="107" spans="1:26" s="24" customFormat="1" hidden="1" outlineLevel="1" x14ac:dyDescent="0.3">
      <c r="A107" s="44"/>
      <c r="B107" s="11" t="str">
        <f>CONCATENATE("          ", "5013", " - ", "PURCHASES @ COST-TRADE BOOKS")</f>
        <v xml:space="preserve">          5013 - PURCHASES @ COST-TRADE BOOKS</v>
      </c>
      <c r="C107" s="11"/>
      <c r="D107" s="2"/>
      <c r="E107" s="2"/>
      <c r="F107" s="19">
        <f t="shared" si="23"/>
        <v>0</v>
      </c>
      <c r="G107" s="2"/>
      <c r="H107" s="2">
        <v>611.1</v>
      </c>
      <c r="I107" s="2"/>
      <c r="J107" s="19">
        <f t="shared" si="24"/>
        <v>1.5451063339600056E-3</v>
      </c>
      <c r="K107" s="2"/>
      <c r="L107" s="2">
        <f t="shared" si="25"/>
        <v>-611.1</v>
      </c>
      <c r="M107" s="2"/>
      <c r="N107" s="19">
        <f t="shared" si="26"/>
        <v>-1</v>
      </c>
      <c r="O107" s="11"/>
      <c r="P107" s="2"/>
      <c r="Q107" s="2"/>
      <c r="R107" s="19">
        <f t="shared" si="27"/>
        <v>0</v>
      </c>
      <c r="S107" s="2"/>
      <c r="T107" s="2">
        <v>2094.7399999999998</v>
      </c>
      <c r="U107" s="2"/>
      <c r="V107" s="19">
        <f t="shared" si="28"/>
        <v>4.4957442895748141E-4</v>
      </c>
      <c r="W107" s="2"/>
      <c r="X107" s="2">
        <f t="shared" si="29"/>
        <v>-2094.7399999999998</v>
      </c>
      <c r="Y107" s="2"/>
      <c r="Z107" s="19">
        <f t="shared" si="30"/>
        <v>-1</v>
      </c>
    </row>
    <row r="108" spans="1:26" s="24" customFormat="1" hidden="1" outlineLevel="1" x14ac:dyDescent="0.3">
      <c r="A108" s="44"/>
      <c r="B108" s="11" t="str">
        <f>CONCATENATE("          ", "5014", " - ", "PURCHASES @ COST-REMAINDERS")</f>
        <v xml:space="preserve">          5014 - PURCHASES @ COST-REMAINDERS</v>
      </c>
      <c r="C108" s="11"/>
      <c r="D108" s="2"/>
      <c r="E108" s="2"/>
      <c r="F108" s="19">
        <f t="shared" si="23"/>
        <v>0</v>
      </c>
      <c r="G108" s="2"/>
      <c r="H108" s="2"/>
      <c r="I108" s="2"/>
      <c r="J108" s="19">
        <f t="shared" si="24"/>
        <v>0</v>
      </c>
      <c r="K108" s="2"/>
      <c r="L108" s="2">
        <f t="shared" si="25"/>
        <v>0</v>
      </c>
      <c r="M108" s="2"/>
      <c r="N108" s="19">
        <f t="shared" si="26"/>
        <v>0</v>
      </c>
      <c r="O108" s="11"/>
      <c r="P108" s="2"/>
      <c r="Q108" s="2"/>
      <c r="R108" s="19">
        <f t="shared" si="27"/>
        <v>0</v>
      </c>
      <c r="S108" s="2"/>
      <c r="T108" s="2">
        <v>90.41</v>
      </c>
      <c r="U108" s="2"/>
      <c r="V108" s="19">
        <f t="shared" si="28"/>
        <v>1.9403851610245614E-5</v>
      </c>
      <c r="W108" s="2"/>
      <c r="X108" s="2">
        <f t="shared" si="29"/>
        <v>-90.41</v>
      </c>
      <c r="Y108" s="2"/>
      <c r="Z108" s="19">
        <f t="shared" si="30"/>
        <v>-1</v>
      </c>
    </row>
    <row r="109" spans="1:26" s="24" customFormat="1" hidden="1" outlineLevel="1" x14ac:dyDescent="0.3">
      <c r="A109" s="44"/>
      <c r="B109" s="11" t="str">
        <f>CONCATENATE("          ", "5018", " - ", "PURCHASES @ COST-STUDY GUIDES")</f>
        <v xml:space="preserve">          5018 - PURCHASES @ COST-STUDY GUIDES</v>
      </c>
      <c r="C109" s="11"/>
      <c r="D109" s="2"/>
      <c r="E109" s="2"/>
      <c r="F109" s="19">
        <f t="shared" si="23"/>
        <v>0</v>
      </c>
      <c r="G109" s="2"/>
      <c r="H109" s="2">
        <v>106.34</v>
      </c>
      <c r="I109" s="2"/>
      <c r="J109" s="19">
        <f t="shared" si="24"/>
        <v>2.6887024636443622E-4</v>
      </c>
      <c r="K109" s="2"/>
      <c r="L109" s="2">
        <f t="shared" si="25"/>
        <v>-106.34</v>
      </c>
      <c r="M109" s="2"/>
      <c r="N109" s="19">
        <f t="shared" si="26"/>
        <v>-1</v>
      </c>
      <c r="O109" s="11"/>
      <c r="P109" s="2"/>
      <c r="Q109" s="2"/>
      <c r="R109" s="19">
        <f t="shared" si="27"/>
        <v>0</v>
      </c>
      <c r="S109" s="2"/>
      <c r="T109" s="2">
        <v>106.34</v>
      </c>
      <c r="U109" s="2"/>
      <c r="V109" s="19">
        <f t="shared" si="28"/>
        <v>2.2822758325777223E-5</v>
      </c>
      <c r="W109" s="2"/>
      <c r="X109" s="2">
        <f t="shared" si="29"/>
        <v>-106.34</v>
      </c>
      <c r="Y109" s="2"/>
      <c r="Z109" s="19">
        <f t="shared" si="30"/>
        <v>-1</v>
      </c>
    </row>
    <row r="110" spans="1:26" s="24" customFormat="1" hidden="1" outlineLevel="1" x14ac:dyDescent="0.3">
      <c r="A110" s="44"/>
      <c r="B110" s="11" t="str">
        <f>CONCATENATE("          ", "5025", " - ", "PURCHASES @ COST-TEST FORMS")</f>
        <v xml:space="preserve">          5025 - PURCHASES @ COST-TEST FORMS</v>
      </c>
      <c r="C110" s="11"/>
      <c r="D110" s="2"/>
      <c r="E110" s="2"/>
      <c r="F110" s="19">
        <f t="shared" si="23"/>
        <v>0</v>
      </c>
      <c r="G110" s="2"/>
      <c r="H110" s="2"/>
      <c r="I110" s="2"/>
      <c r="J110" s="19">
        <f t="shared" si="24"/>
        <v>0</v>
      </c>
      <c r="K110" s="2"/>
      <c r="L110" s="2">
        <f t="shared" si="25"/>
        <v>0</v>
      </c>
      <c r="M110" s="2"/>
      <c r="N110" s="19">
        <f t="shared" si="26"/>
        <v>0</v>
      </c>
      <c r="O110" s="11"/>
      <c r="P110" s="2"/>
      <c r="Q110" s="2"/>
      <c r="R110" s="19">
        <f t="shared" si="27"/>
        <v>0</v>
      </c>
      <c r="S110" s="2"/>
      <c r="T110" s="2">
        <v>599.29</v>
      </c>
      <c r="U110" s="2"/>
      <c r="V110" s="19">
        <f t="shared" si="28"/>
        <v>1.2862000034845805E-4</v>
      </c>
      <c r="W110" s="2"/>
      <c r="X110" s="2">
        <f t="shared" si="29"/>
        <v>-599.29</v>
      </c>
      <c r="Y110" s="2"/>
      <c r="Z110" s="19">
        <f t="shared" si="30"/>
        <v>-1</v>
      </c>
    </row>
    <row r="111" spans="1:26" s="24" customFormat="1" hidden="1" outlineLevel="1" x14ac:dyDescent="0.3">
      <c r="A111" s="44"/>
      <c r="B111" s="11" t="str">
        <f>CONCATENATE("          ", "5026", " - ", "PURCHASES @ COST-WRITING INSTR")</f>
        <v xml:space="preserve">          5026 - PURCHASES @ COST-WRITING INSTR</v>
      </c>
      <c r="C111" s="11"/>
      <c r="D111" s="2"/>
      <c r="E111" s="2"/>
      <c r="F111" s="19">
        <f t="shared" si="23"/>
        <v>0</v>
      </c>
      <c r="G111" s="2"/>
      <c r="H111" s="2"/>
      <c r="I111" s="2"/>
      <c r="J111" s="19">
        <f t="shared" si="24"/>
        <v>0</v>
      </c>
      <c r="K111" s="2"/>
      <c r="L111" s="2">
        <f t="shared" si="25"/>
        <v>0</v>
      </c>
      <c r="M111" s="2"/>
      <c r="N111" s="19">
        <f t="shared" si="26"/>
        <v>0</v>
      </c>
      <c r="O111" s="11"/>
      <c r="P111" s="2">
        <v>0</v>
      </c>
      <c r="Q111" s="2"/>
      <c r="R111" s="19">
        <f t="shared" si="27"/>
        <v>0</v>
      </c>
      <c r="S111" s="2"/>
      <c r="T111" s="2">
        <v>380.02</v>
      </c>
      <c r="U111" s="2"/>
      <c r="V111" s="19">
        <f t="shared" si="28"/>
        <v>8.1560133712261232E-5</v>
      </c>
      <c r="W111" s="2"/>
      <c r="X111" s="2">
        <f t="shared" si="29"/>
        <v>-380.02</v>
      </c>
      <c r="Y111" s="2"/>
      <c r="Z111" s="19">
        <f t="shared" si="30"/>
        <v>-1</v>
      </c>
    </row>
    <row r="112" spans="1:26" s="24" customFormat="1" hidden="1" outlineLevel="1" x14ac:dyDescent="0.3">
      <c r="A112" s="44"/>
      <c r="B112" s="11" t="str">
        <f>CONCATENATE("          ", "5027", " - ", "PURCHASES @ COST-SCHOOL SUPPLI")</f>
        <v xml:space="preserve">          5027 - PURCHASES @ COST-SCHOOL SUPPLI</v>
      </c>
      <c r="C112" s="11"/>
      <c r="D112" s="2"/>
      <c r="E112" s="2"/>
      <c r="F112" s="19">
        <f t="shared" si="23"/>
        <v>0</v>
      </c>
      <c r="G112" s="2"/>
      <c r="H112" s="2"/>
      <c r="I112" s="2"/>
      <c r="J112" s="19">
        <f t="shared" si="24"/>
        <v>0</v>
      </c>
      <c r="K112" s="2"/>
      <c r="L112" s="2">
        <f t="shared" si="25"/>
        <v>0</v>
      </c>
      <c r="M112" s="2"/>
      <c r="N112" s="19">
        <f t="shared" si="26"/>
        <v>0</v>
      </c>
      <c r="O112" s="11"/>
      <c r="P112" s="2">
        <v>0</v>
      </c>
      <c r="Q112" s="2"/>
      <c r="R112" s="19">
        <f t="shared" si="27"/>
        <v>0</v>
      </c>
      <c r="S112" s="2"/>
      <c r="T112" s="2">
        <v>19071.349999999999</v>
      </c>
      <c r="U112" s="2"/>
      <c r="V112" s="19">
        <f t="shared" si="28"/>
        <v>4.0931052472852301E-3</v>
      </c>
      <c r="W112" s="2"/>
      <c r="X112" s="2">
        <f t="shared" si="29"/>
        <v>-19071.349999999999</v>
      </c>
      <c r="Y112" s="2"/>
      <c r="Z112" s="19">
        <f t="shared" si="30"/>
        <v>-1</v>
      </c>
    </row>
    <row r="113" spans="1:26" s="24" customFormat="1" hidden="1" outlineLevel="1" x14ac:dyDescent="0.3">
      <c r="A113" s="44"/>
      <c r="B113" s="11" t="str">
        <f>CONCATENATE("          ", "5028", " - ", "PURCHASES @ COST-ART/TECH")</f>
        <v xml:space="preserve">          5028 - PURCHASES @ COST-ART/TECH</v>
      </c>
      <c r="C113" s="11"/>
      <c r="D113" s="2"/>
      <c r="E113" s="2"/>
      <c r="F113" s="19">
        <f t="shared" si="23"/>
        <v>0</v>
      </c>
      <c r="G113" s="2"/>
      <c r="H113" s="2">
        <v>15.89</v>
      </c>
      <c r="I113" s="2"/>
      <c r="J113" s="19">
        <f t="shared" si="24"/>
        <v>4.0176304445466351E-5</v>
      </c>
      <c r="K113" s="2"/>
      <c r="L113" s="2">
        <f t="shared" si="25"/>
        <v>-15.89</v>
      </c>
      <c r="M113" s="2"/>
      <c r="N113" s="19">
        <f t="shared" si="26"/>
        <v>-1</v>
      </c>
      <c r="O113" s="11"/>
      <c r="P113" s="2">
        <v>0</v>
      </c>
      <c r="Q113" s="2"/>
      <c r="R113" s="19">
        <f t="shared" si="27"/>
        <v>0</v>
      </c>
      <c r="S113" s="2"/>
      <c r="T113" s="2">
        <v>41358.449999999997</v>
      </c>
      <c r="U113" s="2"/>
      <c r="V113" s="19">
        <f t="shared" si="28"/>
        <v>8.8763768015679978E-3</v>
      </c>
      <c r="W113" s="2"/>
      <c r="X113" s="2">
        <f t="shared" si="29"/>
        <v>-41358.449999999997</v>
      </c>
      <c r="Y113" s="2"/>
      <c r="Z113" s="19">
        <f t="shared" si="30"/>
        <v>-1</v>
      </c>
    </row>
    <row r="114" spans="1:26" s="24" customFormat="1" hidden="1" outlineLevel="1" x14ac:dyDescent="0.3">
      <c r="A114" s="44"/>
      <c r="B114" s="11" t="str">
        <f>CONCATENATE("          ", "5031", " - ", "PURCHASES @ COST-FOOD")</f>
        <v xml:space="preserve">          5031 - PURCHASES @ COST-FOOD</v>
      </c>
      <c r="C114" s="11"/>
      <c r="D114" s="2"/>
      <c r="E114" s="2"/>
      <c r="F114" s="19">
        <f t="shared" si="23"/>
        <v>0</v>
      </c>
      <c r="G114" s="2"/>
      <c r="H114" s="2"/>
      <c r="I114" s="2"/>
      <c r="J114" s="19">
        <f t="shared" si="24"/>
        <v>0</v>
      </c>
      <c r="K114" s="2"/>
      <c r="L114" s="2">
        <f t="shared" si="25"/>
        <v>0</v>
      </c>
      <c r="M114" s="2"/>
      <c r="N114" s="19">
        <f t="shared" si="26"/>
        <v>0</v>
      </c>
      <c r="O114" s="11"/>
      <c r="P114" s="2">
        <v>0</v>
      </c>
      <c r="Q114" s="2"/>
      <c r="R114" s="19">
        <f t="shared" si="27"/>
        <v>0</v>
      </c>
      <c r="S114" s="2"/>
      <c r="T114" s="2">
        <v>8535.1</v>
      </c>
      <c r="U114" s="2"/>
      <c r="V114" s="19">
        <f t="shared" si="28"/>
        <v>1.8318085817786455E-3</v>
      </c>
      <c r="W114" s="2"/>
      <c r="X114" s="2">
        <f t="shared" si="29"/>
        <v>-8535.1</v>
      </c>
      <c r="Y114" s="2"/>
      <c r="Z114" s="19">
        <f t="shared" si="30"/>
        <v>-1</v>
      </c>
    </row>
    <row r="115" spans="1:26" s="24" customFormat="1" hidden="1" outlineLevel="1" x14ac:dyDescent="0.3">
      <c r="A115" s="44"/>
      <c r="B115" s="11" t="str">
        <f>CONCATENATE("          ", "5040", " - ", "PURCHASES @ COST-LOGO CLOTHING")</f>
        <v xml:space="preserve">          5040 - PURCHASES @ COST-LOGO CLOTHING</v>
      </c>
      <c r="C115" s="11"/>
      <c r="D115" s="2"/>
      <c r="E115" s="2"/>
      <c r="F115" s="19">
        <f t="shared" si="23"/>
        <v>0</v>
      </c>
      <c r="G115" s="2"/>
      <c r="H115" s="2">
        <v>55124.33</v>
      </c>
      <c r="I115" s="2"/>
      <c r="J115" s="19">
        <f t="shared" si="24"/>
        <v>0.13937645465275986</v>
      </c>
      <c r="K115" s="2"/>
      <c r="L115" s="2">
        <f t="shared" si="25"/>
        <v>-55124.33</v>
      </c>
      <c r="M115" s="2"/>
      <c r="N115" s="19">
        <f t="shared" si="26"/>
        <v>-1</v>
      </c>
      <c r="O115" s="11"/>
      <c r="P115" s="2">
        <v>0</v>
      </c>
      <c r="Q115" s="2"/>
      <c r="R115" s="19">
        <f t="shared" si="27"/>
        <v>0</v>
      </c>
      <c r="S115" s="2"/>
      <c r="T115" s="2">
        <v>94295.28</v>
      </c>
      <c r="U115" s="2"/>
      <c r="V115" s="19">
        <f t="shared" si="28"/>
        <v>2.0237712870993928E-2</v>
      </c>
      <c r="W115" s="2"/>
      <c r="X115" s="2">
        <f t="shared" si="29"/>
        <v>-94295.28</v>
      </c>
      <c r="Y115" s="2"/>
      <c r="Z115" s="19">
        <f t="shared" si="30"/>
        <v>-1</v>
      </c>
    </row>
    <row r="116" spans="1:26" s="24" customFormat="1" hidden="1" outlineLevel="1" x14ac:dyDescent="0.3">
      <c r="A116" s="44"/>
      <c r="B116" s="11" t="str">
        <f>CONCATENATE("          ", "5041", " - ", "PURCHASES @ COST-LOGO GIFTS")</f>
        <v xml:space="preserve">          5041 - PURCHASES @ COST-LOGO GIFTS</v>
      </c>
      <c r="C116" s="11"/>
      <c r="D116" s="2"/>
      <c r="E116" s="2"/>
      <c r="F116" s="19">
        <f t="shared" si="23"/>
        <v>0</v>
      </c>
      <c r="G116" s="2"/>
      <c r="H116" s="2">
        <v>9354.43</v>
      </c>
      <c r="I116" s="2"/>
      <c r="J116" s="19">
        <f t="shared" si="24"/>
        <v>2.365175755782277E-2</v>
      </c>
      <c r="K116" s="2"/>
      <c r="L116" s="2">
        <f t="shared" si="25"/>
        <v>-9354.43</v>
      </c>
      <c r="M116" s="2"/>
      <c r="N116" s="19">
        <f t="shared" si="26"/>
        <v>-1</v>
      </c>
      <c r="O116" s="11"/>
      <c r="P116" s="2">
        <v>0</v>
      </c>
      <c r="Q116" s="2"/>
      <c r="R116" s="19">
        <f t="shared" si="27"/>
        <v>0</v>
      </c>
      <c r="S116" s="2"/>
      <c r="T116" s="2">
        <v>26641.77</v>
      </c>
      <c r="U116" s="2"/>
      <c r="V116" s="19">
        <f t="shared" si="28"/>
        <v>5.7178735948931903E-3</v>
      </c>
      <c r="W116" s="2"/>
      <c r="X116" s="2">
        <f t="shared" si="29"/>
        <v>-26641.77</v>
      </c>
      <c r="Y116" s="2"/>
      <c r="Z116" s="19">
        <f t="shared" si="30"/>
        <v>-1</v>
      </c>
    </row>
    <row r="117" spans="1:26" s="24" customFormat="1" hidden="1" outlineLevel="1" x14ac:dyDescent="0.3">
      <c r="A117" s="44"/>
      <c r="B117" s="11" t="str">
        <f>CONCATENATE("          ", "5042", " - ", "PURCHASES @ COST-EVERYDAY GIFT")</f>
        <v xml:space="preserve">          5042 - PURCHASES @ COST-EVERYDAY GIFT</v>
      </c>
      <c r="C117" s="11"/>
      <c r="D117" s="2"/>
      <c r="E117" s="2"/>
      <c r="F117" s="19">
        <f t="shared" si="23"/>
        <v>0</v>
      </c>
      <c r="G117" s="2"/>
      <c r="H117" s="2"/>
      <c r="I117" s="2"/>
      <c r="J117" s="19">
        <f t="shared" si="24"/>
        <v>0</v>
      </c>
      <c r="K117" s="2"/>
      <c r="L117" s="2">
        <f t="shared" si="25"/>
        <v>0</v>
      </c>
      <c r="M117" s="2"/>
      <c r="N117" s="19">
        <f t="shared" si="26"/>
        <v>0</v>
      </c>
      <c r="O117" s="11"/>
      <c r="P117" s="2">
        <v>0</v>
      </c>
      <c r="Q117" s="2"/>
      <c r="R117" s="19">
        <f t="shared" si="27"/>
        <v>0</v>
      </c>
      <c r="S117" s="2"/>
      <c r="T117" s="2">
        <v>10912.68</v>
      </c>
      <c r="U117" s="2"/>
      <c r="V117" s="19">
        <f t="shared" si="28"/>
        <v>2.3420863111392005E-3</v>
      </c>
      <c r="W117" s="2"/>
      <c r="X117" s="2">
        <f t="shared" si="29"/>
        <v>-10912.68</v>
      </c>
      <c r="Y117" s="2"/>
      <c r="Z117" s="19">
        <f t="shared" si="30"/>
        <v>-1</v>
      </c>
    </row>
    <row r="118" spans="1:26" s="24" customFormat="1" hidden="1" outlineLevel="1" x14ac:dyDescent="0.3">
      <c r="A118" s="44"/>
      <c r="B118" s="11" t="str">
        <f>CONCATENATE("          ", "5043", " - ", "PURCHASES @ COST-CARDS")</f>
        <v xml:space="preserve">          5043 - PURCHASES @ COST-CARDS</v>
      </c>
      <c r="C118" s="11"/>
      <c r="D118" s="2"/>
      <c r="E118" s="2"/>
      <c r="F118" s="19">
        <f t="shared" si="23"/>
        <v>0</v>
      </c>
      <c r="G118" s="2"/>
      <c r="H118" s="2">
        <v>38530.230000000003</v>
      </c>
      <c r="I118" s="2"/>
      <c r="J118" s="19">
        <f t="shared" si="24"/>
        <v>9.7419902506849662E-2</v>
      </c>
      <c r="K118" s="2"/>
      <c r="L118" s="2">
        <f t="shared" si="25"/>
        <v>-38530.230000000003</v>
      </c>
      <c r="M118" s="2"/>
      <c r="N118" s="19">
        <f t="shared" si="26"/>
        <v>-1</v>
      </c>
      <c r="O118" s="11"/>
      <c r="P118" s="2">
        <v>0</v>
      </c>
      <c r="Q118" s="2"/>
      <c r="R118" s="19">
        <f t="shared" si="27"/>
        <v>0</v>
      </c>
      <c r="S118" s="2"/>
      <c r="T118" s="2">
        <v>44173.23</v>
      </c>
      <c r="U118" s="2"/>
      <c r="V118" s="19">
        <f t="shared" si="28"/>
        <v>9.4804866725500484E-3</v>
      </c>
      <c r="W118" s="2"/>
      <c r="X118" s="2">
        <f t="shared" si="29"/>
        <v>-44173.23</v>
      </c>
      <c r="Y118" s="2"/>
      <c r="Z118" s="19">
        <f t="shared" si="30"/>
        <v>-1</v>
      </c>
    </row>
    <row r="119" spans="1:26" s="24" customFormat="1" hidden="1" outlineLevel="1" x14ac:dyDescent="0.3">
      <c r="A119" s="44"/>
      <c r="B119" s="11" t="str">
        <f>CONCATENATE("          ", "5044", " - ", "PURCHASES @ COST-ACCESSORIES")</f>
        <v xml:space="preserve">          5044 - PURCHASES @ COST-ACCESSORIES</v>
      </c>
      <c r="C119" s="11"/>
      <c r="D119" s="2"/>
      <c r="E119" s="2"/>
      <c r="F119" s="19">
        <f t="shared" si="23"/>
        <v>0</v>
      </c>
      <c r="G119" s="2"/>
      <c r="H119" s="2">
        <v>282.33</v>
      </c>
      <c r="I119" s="2"/>
      <c r="J119" s="19">
        <f t="shared" si="24"/>
        <v>7.1384367741274474E-4</v>
      </c>
      <c r="K119" s="2"/>
      <c r="L119" s="2">
        <f t="shared" si="25"/>
        <v>-282.33</v>
      </c>
      <c r="M119" s="2"/>
      <c r="N119" s="19">
        <f t="shared" si="26"/>
        <v>-1</v>
      </c>
      <c r="O119" s="11"/>
      <c r="P119" s="2">
        <v>0</v>
      </c>
      <c r="Q119" s="2"/>
      <c r="R119" s="19">
        <f t="shared" si="27"/>
        <v>0</v>
      </c>
      <c r="S119" s="2"/>
      <c r="T119" s="2">
        <v>282.33</v>
      </c>
      <c r="U119" s="2"/>
      <c r="V119" s="19">
        <f t="shared" si="28"/>
        <v>6.0593843879224021E-5</v>
      </c>
      <c r="W119" s="2"/>
      <c r="X119" s="2">
        <f t="shared" si="29"/>
        <v>-282.33</v>
      </c>
      <c r="Y119" s="2"/>
      <c r="Z119" s="19">
        <f t="shared" si="30"/>
        <v>-1</v>
      </c>
    </row>
    <row r="120" spans="1:26" s="24" customFormat="1" hidden="1" outlineLevel="1" x14ac:dyDescent="0.3">
      <c r="A120" s="44"/>
      <c r="B120" s="11" t="str">
        <f>CONCATENATE("          ", "5045", " - ", "PURCHASES @ COST-SPECIAL ORDER")</f>
        <v xml:space="preserve">          5045 - PURCHASES @ COST-SPECIAL ORDER</v>
      </c>
      <c r="C120" s="11"/>
      <c r="D120" s="2"/>
      <c r="E120" s="2"/>
      <c r="F120" s="19">
        <f t="shared" si="23"/>
        <v>0</v>
      </c>
      <c r="G120" s="2"/>
      <c r="H120" s="2">
        <v>5678</v>
      </c>
      <c r="I120" s="2"/>
      <c r="J120" s="19">
        <f t="shared" si="24"/>
        <v>1.4356265364465572E-2</v>
      </c>
      <c r="K120" s="2"/>
      <c r="L120" s="2">
        <f t="shared" si="25"/>
        <v>-5678</v>
      </c>
      <c r="M120" s="2"/>
      <c r="N120" s="19">
        <f t="shared" si="26"/>
        <v>-1</v>
      </c>
      <c r="O120" s="11"/>
      <c r="P120" s="2">
        <v>0</v>
      </c>
      <c r="Q120" s="2"/>
      <c r="R120" s="19">
        <f t="shared" si="27"/>
        <v>0</v>
      </c>
      <c r="S120" s="2"/>
      <c r="T120" s="2">
        <v>76932.52</v>
      </c>
      <c r="U120" s="2"/>
      <c r="V120" s="19">
        <f t="shared" si="28"/>
        <v>1.6511306294461375E-2</v>
      </c>
      <c r="W120" s="2"/>
      <c r="X120" s="2">
        <f t="shared" si="29"/>
        <v>-76932.52</v>
      </c>
      <c r="Y120" s="2"/>
      <c r="Z120" s="19">
        <f t="shared" si="30"/>
        <v>-1</v>
      </c>
    </row>
    <row r="121" spans="1:26" s="24" customFormat="1" hidden="1" outlineLevel="1" x14ac:dyDescent="0.3">
      <c r="A121" s="44"/>
      <c r="B121" s="11" t="str">
        <f>CONCATENATE("          ", "5053", " - ", "PURCHASES @ COST-FOOD")</f>
        <v xml:space="preserve">          5053 - PURCHASES @ COST-FOOD</v>
      </c>
      <c r="C121" s="11"/>
      <c r="D121" s="2">
        <v>320688.57</v>
      </c>
      <c r="E121" s="2"/>
      <c r="F121" s="19">
        <f t="shared" si="23"/>
        <v>0.17753751014946484</v>
      </c>
      <c r="G121" s="2"/>
      <c r="H121" s="2">
        <v>39551.18</v>
      </c>
      <c r="I121" s="2"/>
      <c r="J121" s="19">
        <f t="shared" si="24"/>
        <v>0.10000127431450219</v>
      </c>
      <c r="K121" s="2"/>
      <c r="L121" s="2">
        <f t="shared" si="25"/>
        <v>281137.39</v>
      </c>
      <c r="M121" s="2"/>
      <c r="N121" s="19">
        <f t="shared" si="26"/>
        <v>7.1081922208136401</v>
      </c>
      <c r="O121" s="11"/>
      <c r="P121" s="2">
        <v>1563865.7</v>
      </c>
      <c r="Q121" s="2"/>
      <c r="R121" s="19">
        <f t="shared" si="27"/>
        <v>0.16159628941899684</v>
      </c>
      <c r="S121" s="2"/>
      <c r="T121" s="2">
        <v>232232.47</v>
      </c>
      <c r="U121" s="2"/>
      <c r="V121" s="19">
        <f t="shared" si="28"/>
        <v>4.9841880178750318E-2</v>
      </c>
      <c r="W121" s="2"/>
      <c r="X121" s="2">
        <f t="shared" si="29"/>
        <v>1331633.23</v>
      </c>
      <c r="Y121" s="2"/>
      <c r="Z121" s="19">
        <f t="shared" si="30"/>
        <v>5.7340527360364382</v>
      </c>
    </row>
    <row r="122" spans="1:26" s="24" customFormat="1" hidden="1" outlineLevel="1" x14ac:dyDescent="0.3">
      <c r="A122" s="44"/>
      <c r="B122" s="11" t="str">
        <f>CONCATENATE("          ", "5059", " - ", "PURCHASES @ COST-FOOD")</f>
        <v xml:space="preserve">          5059 - PURCHASES @ COST-FOOD</v>
      </c>
      <c r="C122" s="11"/>
      <c r="D122" s="2">
        <v>19861.98</v>
      </c>
      <c r="E122" s="2"/>
      <c r="F122" s="19">
        <f t="shared" si="23"/>
        <v>1.0995859552582331E-2</v>
      </c>
      <c r="G122" s="2"/>
      <c r="H122" s="2">
        <v>4551</v>
      </c>
      <c r="I122" s="2"/>
      <c r="J122" s="19">
        <f t="shared" si="24"/>
        <v>1.1506756546967738E-2</v>
      </c>
      <c r="K122" s="2"/>
      <c r="L122" s="2">
        <f t="shared" si="25"/>
        <v>15310.98</v>
      </c>
      <c r="M122" s="2"/>
      <c r="N122" s="19">
        <f t="shared" si="26"/>
        <v>3.3643111404087014</v>
      </c>
      <c r="O122" s="11"/>
      <c r="P122" s="2">
        <v>-55619.1</v>
      </c>
      <c r="Q122" s="2"/>
      <c r="R122" s="19">
        <f t="shared" si="27"/>
        <v>-5.7471943919635343E-3</v>
      </c>
      <c r="S122" s="2"/>
      <c r="T122" s="2">
        <v>7519.29</v>
      </c>
      <c r="U122" s="2"/>
      <c r="V122" s="19">
        <f t="shared" si="28"/>
        <v>1.6137947945404684E-3</v>
      </c>
      <c r="W122" s="2"/>
      <c r="X122" s="2">
        <f t="shared" si="29"/>
        <v>-63138.39</v>
      </c>
      <c r="Y122" s="2"/>
      <c r="Z122" s="19">
        <f t="shared" si="30"/>
        <v>-8.3968552881987524</v>
      </c>
    </row>
    <row r="123" spans="1:26" s="24" customFormat="1" hidden="1" outlineLevel="1" x14ac:dyDescent="0.3">
      <c r="A123" s="44"/>
      <c r="B123" s="11" t="str">
        <f>CONCATENATE("          ", "5081", " - ", "PURCHASES @ COST-ELECTRONICS")</f>
        <v xml:space="preserve">          5081 - PURCHASES @ COST-ELECTRONICS</v>
      </c>
      <c r="C123" s="11"/>
      <c r="D123" s="2"/>
      <c r="E123" s="2"/>
      <c r="F123" s="19">
        <f t="shared" si="23"/>
        <v>0</v>
      </c>
      <c r="G123" s="2"/>
      <c r="H123" s="2">
        <v>2367.86</v>
      </c>
      <c r="I123" s="2"/>
      <c r="J123" s="19">
        <f t="shared" si="24"/>
        <v>5.986901462822024E-3</v>
      </c>
      <c r="K123" s="2"/>
      <c r="L123" s="2">
        <f t="shared" si="25"/>
        <v>-2367.86</v>
      </c>
      <c r="M123" s="2"/>
      <c r="N123" s="19">
        <f t="shared" si="26"/>
        <v>-1</v>
      </c>
      <c r="O123" s="11"/>
      <c r="P123" s="2">
        <v>0</v>
      </c>
      <c r="Q123" s="2"/>
      <c r="R123" s="19">
        <f t="shared" si="27"/>
        <v>0</v>
      </c>
      <c r="S123" s="2"/>
      <c r="T123" s="2">
        <v>24315.07</v>
      </c>
      <c r="U123" s="2"/>
      <c r="V123" s="19">
        <f t="shared" si="28"/>
        <v>5.218515763441376E-3</v>
      </c>
      <c r="W123" s="2"/>
      <c r="X123" s="2">
        <f t="shared" si="29"/>
        <v>-24315.07</v>
      </c>
      <c r="Y123" s="2"/>
      <c r="Z123" s="19">
        <f t="shared" si="30"/>
        <v>-1</v>
      </c>
    </row>
    <row r="124" spans="1:26" s="24" customFormat="1" hidden="1" outlineLevel="1" x14ac:dyDescent="0.3">
      <c r="A124" s="44"/>
      <c r="B124" s="11" t="str">
        <f>CONCATENATE("          ", "5082", " - ", "PURCHASES @ COST-COMPUTER HARD")</f>
        <v xml:space="preserve">          5082 - PURCHASES @ COST-COMPUTER HARD</v>
      </c>
      <c r="C124" s="11"/>
      <c r="D124" s="2">
        <v>-3384.72</v>
      </c>
      <c r="E124" s="2"/>
      <c r="F124" s="19">
        <f t="shared" si="23"/>
        <v>-1.8738265643614819E-3</v>
      </c>
      <c r="G124" s="2"/>
      <c r="H124" s="2">
        <v>71242.03</v>
      </c>
      <c r="I124" s="2"/>
      <c r="J124" s="19">
        <f t="shared" si="24"/>
        <v>0.1801284761858431</v>
      </c>
      <c r="K124" s="2"/>
      <c r="L124" s="2">
        <f t="shared" si="25"/>
        <v>-74626.75</v>
      </c>
      <c r="M124" s="2"/>
      <c r="N124" s="19">
        <f t="shared" si="26"/>
        <v>-1.0475101565747074</v>
      </c>
      <c r="O124" s="11"/>
      <c r="P124" s="2">
        <v>-80709.45</v>
      </c>
      <c r="Q124" s="2"/>
      <c r="R124" s="19">
        <f t="shared" si="27"/>
        <v>-8.339813093316167E-3</v>
      </c>
      <c r="S124" s="2"/>
      <c r="T124" s="2">
        <v>960020.11</v>
      </c>
      <c r="U124" s="2"/>
      <c r="V124" s="19">
        <f t="shared" si="28"/>
        <v>0.20604012561986143</v>
      </c>
      <c r="W124" s="2"/>
      <c r="X124" s="2">
        <f t="shared" si="29"/>
        <v>-1040729.5599999999</v>
      </c>
      <c r="Y124" s="2"/>
      <c r="Z124" s="19">
        <f t="shared" si="30"/>
        <v>-1.0840705826464405</v>
      </c>
    </row>
    <row r="125" spans="1:26" s="24" customFormat="1" hidden="1" outlineLevel="1" x14ac:dyDescent="0.3">
      <c r="A125" s="44"/>
      <c r="B125" s="11" t="str">
        <f>CONCATENATE("          ", "5083", " - ", "PURCHASES @ COST-COMPUTER EQUI")</f>
        <v xml:space="preserve">          5083 - PURCHASES @ COST-COMPUTER EQUI</v>
      </c>
      <c r="C125" s="11"/>
      <c r="D125" s="2"/>
      <c r="E125" s="2"/>
      <c r="F125" s="19">
        <f t="shared" si="23"/>
        <v>0</v>
      </c>
      <c r="G125" s="2"/>
      <c r="H125" s="2">
        <v>2620.17</v>
      </c>
      <c r="I125" s="2"/>
      <c r="J125" s="19">
        <f t="shared" si="24"/>
        <v>6.6248425184944979E-3</v>
      </c>
      <c r="K125" s="2"/>
      <c r="L125" s="2">
        <f t="shared" si="25"/>
        <v>-2620.17</v>
      </c>
      <c r="M125" s="2"/>
      <c r="N125" s="19">
        <f t="shared" si="26"/>
        <v>-1</v>
      </c>
      <c r="O125" s="11"/>
      <c r="P125" s="2">
        <v>0</v>
      </c>
      <c r="Q125" s="2"/>
      <c r="R125" s="19">
        <f t="shared" si="27"/>
        <v>0</v>
      </c>
      <c r="S125" s="2"/>
      <c r="T125" s="2">
        <v>75893.119999999995</v>
      </c>
      <c r="U125" s="2"/>
      <c r="V125" s="19">
        <f t="shared" si="28"/>
        <v>1.6288229606443574E-2</v>
      </c>
      <c r="W125" s="2"/>
      <c r="X125" s="2">
        <f t="shared" si="29"/>
        <v>-75893.119999999995</v>
      </c>
      <c r="Y125" s="2"/>
      <c r="Z125" s="19">
        <f t="shared" si="30"/>
        <v>-1</v>
      </c>
    </row>
    <row r="126" spans="1:26" s="24" customFormat="1" hidden="1" outlineLevel="1" x14ac:dyDescent="0.3">
      <c r="A126" s="44"/>
      <c r="B126" s="11" t="str">
        <f>CONCATENATE("          ", "5085", " - ", "PURCHASES @ COST-SOFTWARE")</f>
        <v xml:space="preserve">          5085 - PURCHASES @ COST-SOFTWARE</v>
      </c>
      <c r="C126" s="11"/>
      <c r="D126" s="2"/>
      <c r="E126" s="2"/>
      <c r="F126" s="19">
        <f t="shared" si="23"/>
        <v>0</v>
      </c>
      <c r="G126" s="2"/>
      <c r="H126" s="2">
        <v>3394.72</v>
      </c>
      <c r="I126" s="2"/>
      <c r="J126" s="19">
        <f t="shared" si="24"/>
        <v>8.583216125054343E-3</v>
      </c>
      <c r="K126" s="2"/>
      <c r="L126" s="2">
        <f t="shared" si="25"/>
        <v>-3394.72</v>
      </c>
      <c r="M126" s="2"/>
      <c r="N126" s="19">
        <f t="shared" si="26"/>
        <v>-1</v>
      </c>
      <c r="O126" s="11"/>
      <c r="P126" s="2">
        <v>0</v>
      </c>
      <c r="Q126" s="2"/>
      <c r="R126" s="19">
        <f t="shared" si="27"/>
        <v>0</v>
      </c>
      <c r="S126" s="2"/>
      <c r="T126" s="2">
        <v>24075.919999999998</v>
      </c>
      <c r="U126" s="2"/>
      <c r="V126" s="19">
        <f t="shared" si="28"/>
        <v>5.167189238581402E-3</v>
      </c>
      <c r="W126" s="2"/>
      <c r="X126" s="2">
        <f t="shared" si="29"/>
        <v>-24075.919999999998</v>
      </c>
      <c r="Y126" s="2"/>
      <c r="Z126" s="19">
        <f t="shared" si="30"/>
        <v>-1</v>
      </c>
    </row>
    <row r="127" spans="1:26" s="24" customFormat="1" hidden="1" outlineLevel="1" x14ac:dyDescent="0.3">
      <c r="A127" s="44"/>
      <c r="B127" s="11" t="str">
        <f>CONCATENATE("          ", "5086", " - ", "PURCHASES @ COST-COMPUTER SUPP")</f>
        <v xml:space="preserve">          5086 - PURCHASES @ COST-COMPUTER SUPP</v>
      </c>
      <c r="C127" s="11"/>
      <c r="D127" s="2"/>
      <c r="E127" s="2"/>
      <c r="F127" s="19">
        <f t="shared" si="23"/>
        <v>0</v>
      </c>
      <c r="G127" s="2"/>
      <c r="H127" s="2">
        <v>189.17</v>
      </c>
      <c r="I127" s="2"/>
      <c r="J127" s="19">
        <f t="shared" si="24"/>
        <v>4.7829776664247127E-4</v>
      </c>
      <c r="K127" s="2"/>
      <c r="L127" s="2">
        <f t="shared" si="25"/>
        <v>-189.17</v>
      </c>
      <c r="M127" s="2"/>
      <c r="N127" s="19">
        <f t="shared" si="26"/>
        <v>-1</v>
      </c>
      <c r="O127" s="11"/>
      <c r="P127" s="2">
        <v>0</v>
      </c>
      <c r="Q127" s="2"/>
      <c r="R127" s="19">
        <f t="shared" si="27"/>
        <v>0</v>
      </c>
      <c r="S127" s="2"/>
      <c r="T127" s="2">
        <v>22718.61</v>
      </c>
      <c r="U127" s="2"/>
      <c r="V127" s="19">
        <f t="shared" si="28"/>
        <v>4.8758825044911197E-3</v>
      </c>
      <c r="W127" s="2"/>
      <c r="X127" s="2">
        <f t="shared" si="29"/>
        <v>-22718.61</v>
      </c>
      <c r="Y127" s="2"/>
      <c r="Z127" s="19">
        <f t="shared" si="30"/>
        <v>-1</v>
      </c>
    </row>
    <row r="128" spans="1:26" s="24" customFormat="1" hidden="1" outlineLevel="1" x14ac:dyDescent="0.3">
      <c r="A128" s="44"/>
      <c r="B128" s="11" t="str">
        <f>CONCATENATE("          ", "5092", " - ", "PURCHASES @ COST-GRAD MERCH")</f>
        <v xml:space="preserve">          5092 - PURCHASES @ COST-GRAD MERCH</v>
      </c>
      <c r="C128" s="11"/>
      <c r="D128" s="2"/>
      <c r="E128" s="2"/>
      <c r="F128" s="19">
        <f t="shared" si="23"/>
        <v>0</v>
      </c>
      <c r="G128" s="2"/>
      <c r="H128" s="2"/>
      <c r="I128" s="2"/>
      <c r="J128" s="19">
        <f t="shared" si="24"/>
        <v>0</v>
      </c>
      <c r="K128" s="2"/>
      <c r="L128" s="2">
        <f t="shared" si="25"/>
        <v>0</v>
      </c>
      <c r="M128" s="2"/>
      <c r="N128" s="19">
        <f t="shared" si="26"/>
        <v>0</v>
      </c>
      <c r="O128" s="11"/>
      <c r="P128" s="2"/>
      <c r="Q128" s="2"/>
      <c r="R128" s="19">
        <f t="shared" si="27"/>
        <v>0</v>
      </c>
      <c r="S128" s="2"/>
      <c r="T128" s="2">
        <v>0</v>
      </c>
      <c r="U128" s="2"/>
      <c r="V128" s="19">
        <f t="shared" si="28"/>
        <v>0</v>
      </c>
      <c r="W128" s="2"/>
      <c r="X128" s="2">
        <f t="shared" si="29"/>
        <v>0</v>
      </c>
      <c r="Y128" s="2"/>
      <c r="Z128" s="19">
        <f t="shared" si="30"/>
        <v>0</v>
      </c>
    </row>
    <row r="129" spans="1:26" s="24" customFormat="1" hidden="1" outlineLevel="1" x14ac:dyDescent="0.3">
      <c r="A129" s="44"/>
      <c r="B129" s="11" t="str">
        <f>CONCATENATE("          ", "5200", " - ", "PURCHASES OFFSET")</f>
        <v xml:space="preserve">          5200 - PURCHASES OFFSET</v>
      </c>
      <c r="C129" s="11"/>
      <c r="D129" s="2">
        <v>427.46</v>
      </c>
      <c r="E129" s="2"/>
      <c r="F129" s="19">
        <f t="shared" si="23"/>
        <v>2.3664761138349969E-4</v>
      </c>
      <c r="G129" s="2"/>
      <c r="H129" s="2">
        <v>120893.8</v>
      </c>
      <c r="I129" s="2"/>
      <c r="J129" s="19">
        <f t="shared" si="24"/>
        <v>0.30566810033790559</v>
      </c>
      <c r="K129" s="2"/>
      <c r="L129" s="2">
        <f t="shared" si="25"/>
        <v>-120466.34</v>
      </c>
      <c r="M129" s="2"/>
      <c r="N129" s="19">
        <f t="shared" si="26"/>
        <v>-0.99646416937841309</v>
      </c>
      <c r="O129" s="11"/>
      <c r="P129" s="2">
        <v>-2798823.91</v>
      </c>
      <c r="Q129" s="2"/>
      <c r="R129" s="19">
        <f t="shared" si="27"/>
        <v>-0.28920613745359874</v>
      </c>
      <c r="S129" s="2"/>
      <c r="T129" s="2">
        <v>-2675815.56</v>
      </c>
      <c r="U129" s="2"/>
      <c r="V129" s="19">
        <f t="shared" si="28"/>
        <v>-0.57428523462699121</v>
      </c>
      <c r="W129" s="2"/>
      <c r="X129" s="2">
        <f t="shared" si="29"/>
        <v>-123008.35000000009</v>
      </c>
      <c r="Y129" s="2"/>
      <c r="Z129" s="19">
        <f t="shared" si="30"/>
        <v>4.5970414343505829E-2</v>
      </c>
    </row>
    <row r="130" spans="1:26" s="24" customFormat="1" hidden="1" outlineLevel="1" x14ac:dyDescent="0.3">
      <c r="A130" s="44"/>
      <c r="B130" s="11" t="str">
        <f>CONCATENATE("          ", "5300", " - ", "COG$ OFFSET")</f>
        <v xml:space="preserve">          5300 - COG$ OFFSET</v>
      </c>
      <c r="C130" s="11"/>
      <c r="D130" s="2">
        <v>224057.66</v>
      </c>
      <c r="E130" s="2"/>
      <c r="F130" s="19">
        <f t="shared" si="23"/>
        <v>0.12404133732086349</v>
      </c>
      <c r="G130" s="2"/>
      <c r="H130" s="2">
        <v>117369</v>
      </c>
      <c r="I130" s="2"/>
      <c r="J130" s="19">
        <f t="shared" si="24"/>
        <v>0.29675598970798867</v>
      </c>
      <c r="K130" s="2"/>
      <c r="L130" s="2">
        <f t="shared" si="25"/>
        <v>106688.66</v>
      </c>
      <c r="M130" s="2"/>
      <c r="N130" s="19">
        <f t="shared" si="26"/>
        <v>0.90900203631282539</v>
      </c>
      <c r="O130" s="11"/>
      <c r="P130" s="2">
        <v>2483449.54</v>
      </c>
      <c r="Q130" s="2"/>
      <c r="R130" s="19">
        <f t="shared" si="27"/>
        <v>0.25661809106965805</v>
      </c>
      <c r="S130" s="2"/>
      <c r="T130" s="2">
        <v>2394333</v>
      </c>
      <c r="U130" s="2"/>
      <c r="V130" s="19">
        <f t="shared" si="28"/>
        <v>0.51387326885869056</v>
      </c>
      <c r="W130" s="2"/>
      <c r="X130" s="2">
        <f t="shared" si="29"/>
        <v>89116.540000000037</v>
      </c>
      <c r="Y130" s="2"/>
      <c r="Z130" s="19">
        <f t="shared" si="30"/>
        <v>3.7219776864788667E-2</v>
      </c>
    </row>
    <row r="131" spans="1:26" s="24" customFormat="1" hidden="1" outlineLevel="1" x14ac:dyDescent="0.3">
      <c r="A131" s="44"/>
      <c r="B131" s="11" t="str">
        <f>CONCATENATE("          ", "5500", " - ", "FREIGHT-IN")</f>
        <v xml:space="preserve">          5500 - FREIGHT-IN</v>
      </c>
      <c r="C131" s="11"/>
      <c r="D131" s="2">
        <v>11121.1</v>
      </c>
      <c r="E131" s="2"/>
      <c r="F131" s="19">
        <f t="shared" si="23"/>
        <v>6.1567906961049893E-3</v>
      </c>
      <c r="G131" s="2"/>
      <c r="H131" s="2"/>
      <c r="I131" s="2"/>
      <c r="J131" s="19">
        <f t="shared" si="24"/>
        <v>0</v>
      </c>
      <c r="K131" s="2"/>
      <c r="L131" s="2">
        <f t="shared" si="25"/>
        <v>11121.1</v>
      </c>
      <c r="M131" s="2"/>
      <c r="N131" s="19">
        <f t="shared" si="26"/>
        <v>0</v>
      </c>
      <c r="O131" s="11"/>
      <c r="P131" s="2">
        <v>60801.25</v>
      </c>
      <c r="Q131" s="2"/>
      <c r="R131" s="19">
        <f t="shared" si="27"/>
        <v>6.2826727333662865E-3</v>
      </c>
      <c r="S131" s="2"/>
      <c r="T131" s="2">
        <v>0</v>
      </c>
      <c r="U131" s="2"/>
      <c r="V131" s="19">
        <f t="shared" si="28"/>
        <v>0</v>
      </c>
      <c r="W131" s="2"/>
      <c r="X131" s="2">
        <f t="shared" si="29"/>
        <v>60801.25</v>
      </c>
      <c r="Y131" s="2"/>
      <c r="Z131" s="19">
        <f t="shared" si="30"/>
        <v>0</v>
      </c>
    </row>
    <row r="132" spans="1:26" s="24" customFormat="1" hidden="1" outlineLevel="1" x14ac:dyDescent="0.3">
      <c r="A132" s="44"/>
      <c r="B132" s="11" t="str">
        <f>CONCATENATE("          ", "5501", " - ", "FREIGHT-IN-NEW TEXT")</f>
        <v xml:space="preserve">          5501 - FREIGHT-IN-NEW TEXT</v>
      </c>
      <c r="C132" s="11"/>
      <c r="D132" s="2"/>
      <c r="E132" s="2"/>
      <c r="F132" s="19">
        <f t="shared" si="23"/>
        <v>0</v>
      </c>
      <c r="G132" s="2"/>
      <c r="H132" s="2">
        <v>990.19</v>
      </c>
      <c r="I132" s="2"/>
      <c r="J132" s="19">
        <f t="shared" si="24"/>
        <v>2.5035981685875598E-3</v>
      </c>
      <c r="K132" s="2"/>
      <c r="L132" s="2">
        <f t="shared" si="25"/>
        <v>-990.19</v>
      </c>
      <c r="M132" s="2"/>
      <c r="N132" s="19">
        <f t="shared" si="26"/>
        <v>-1</v>
      </c>
      <c r="O132" s="11"/>
      <c r="P132" s="2">
        <v>0</v>
      </c>
      <c r="Q132" s="2"/>
      <c r="R132" s="19">
        <f t="shared" si="27"/>
        <v>0</v>
      </c>
      <c r="S132" s="2"/>
      <c r="T132" s="2">
        <v>35048.81</v>
      </c>
      <c r="U132" s="2"/>
      <c r="V132" s="19">
        <f t="shared" si="28"/>
        <v>7.5221978581538826E-3</v>
      </c>
      <c r="W132" s="2"/>
      <c r="X132" s="2">
        <f t="shared" si="29"/>
        <v>-35048.81</v>
      </c>
      <c r="Y132" s="2"/>
      <c r="Z132" s="19">
        <f t="shared" si="30"/>
        <v>-1</v>
      </c>
    </row>
    <row r="133" spans="1:26" s="24" customFormat="1" hidden="1" outlineLevel="1" x14ac:dyDescent="0.3">
      <c r="A133" s="44"/>
      <c r="B133" s="11" t="str">
        <f>CONCATENATE("          ", "5502", " - ", "FREIGHT-IN-USED TEXT")</f>
        <v xml:space="preserve">          5502 - FREIGHT-IN-USED TEXT</v>
      </c>
      <c r="C133" s="11"/>
      <c r="D133" s="2"/>
      <c r="E133" s="2"/>
      <c r="F133" s="19">
        <f t="shared" si="23"/>
        <v>0</v>
      </c>
      <c r="G133" s="2"/>
      <c r="H133" s="2">
        <v>388.37</v>
      </c>
      <c r="I133" s="2"/>
      <c r="J133" s="19">
        <f t="shared" si="24"/>
        <v>9.8195540324013623E-4</v>
      </c>
      <c r="K133" s="2"/>
      <c r="L133" s="2">
        <f t="shared" si="25"/>
        <v>-388.37</v>
      </c>
      <c r="M133" s="2"/>
      <c r="N133" s="19">
        <f t="shared" si="26"/>
        <v>-1</v>
      </c>
      <c r="O133" s="11"/>
      <c r="P133" s="2">
        <v>0</v>
      </c>
      <c r="Q133" s="2"/>
      <c r="R133" s="19">
        <f t="shared" si="27"/>
        <v>0</v>
      </c>
      <c r="S133" s="2"/>
      <c r="T133" s="2">
        <v>11133.09</v>
      </c>
      <c r="U133" s="2"/>
      <c r="V133" s="19">
        <f t="shared" si="28"/>
        <v>2.3893908452992958E-3</v>
      </c>
      <c r="W133" s="2"/>
      <c r="X133" s="2">
        <f t="shared" si="29"/>
        <v>-11133.09</v>
      </c>
      <c r="Y133" s="2"/>
      <c r="Z133" s="19">
        <f t="shared" si="30"/>
        <v>-1</v>
      </c>
    </row>
    <row r="134" spans="1:26" s="24" customFormat="1" hidden="1" outlineLevel="1" x14ac:dyDescent="0.3">
      <c r="A134" s="44"/>
      <c r="B134" s="11" t="str">
        <f>CONCATENATE("          ", "5504", " - ", "FREIGHT-IN-DIGITAL TEXT")</f>
        <v xml:space="preserve">          5504 - FREIGHT-IN-DIGITAL TEXT</v>
      </c>
      <c r="C134" s="11"/>
      <c r="D134" s="2"/>
      <c r="E134" s="2"/>
      <c r="F134" s="19">
        <f t="shared" si="23"/>
        <v>0</v>
      </c>
      <c r="G134" s="2"/>
      <c r="H134" s="2"/>
      <c r="I134" s="2"/>
      <c r="J134" s="19">
        <f t="shared" si="24"/>
        <v>0</v>
      </c>
      <c r="K134" s="2"/>
      <c r="L134" s="2">
        <f t="shared" si="25"/>
        <v>0</v>
      </c>
      <c r="M134" s="2"/>
      <c r="N134" s="19">
        <f t="shared" si="26"/>
        <v>0</v>
      </c>
      <c r="O134" s="11"/>
      <c r="P134" s="2"/>
      <c r="Q134" s="2"/>
      <c r="R134" s="19">
        <f t="shared" si="27"/>
        <v>0</v>
      </c>
      <c r="S134" s="2"/>
      <c r="T134" s="2">
        <v>21.98</v>
      </c>
      <c r="U134" s="2"/>
      <c r="V134" s="19">
        <f t="shared" si="28"/>
        <v>4.7173615572746226E-6</v>
      </c>
      <c r="W134" s="2"/>
      <c r="X134" s="2">
        <f t="shared" si="29"/>
        <v>-21.98</v>
      </c>
      <c r="Y134" s="2"/>
      <c r="Z134" s="19">
        <f t="shared" si="30"/>
        <v>-1</v>
      </c>
    </row>
    <row r="135" spans="1:26" s="24" customFormat="1" hidden="1" outlineLevel="1" x14ac:dyDescent="0.3">
      <c r="A135" s="44"/>
      <c r="B135" s="11" t="str">
        <f>CONCATENATE("          ", "5513", " - ", "FREIGHT-IN-TRADE BOOKS")</f>
        <v xml:space="preserve">          5513 - FREIGHT-IN-TRADE BOOKS</v>
      </c>
      <c r="C135" s="11"/>
      <c r="D135" s="2"/>
      <c r="E135" s="2"/>
      <c r="F135" s="19">
        <f t="shared" si="23"/>
        <v>0</v>
      </c>
      <c r="G135" s="2"/>
      <c r="H135" s="2">
        <v>26.46</v>
      </c>
      <c r="I135" s="2"/>
      <c r="J135" s="19">
        <f t="shared" si="24"/>
        <v>6.6901511367340442E-5</v>
      </c>
      <c r="K135" s="2"/>
      <c r="L135" s="2">
        <f t="shared" si="25"/>
        <v>-26.46</v>
      </c>
      <c r="M135" s="2"/>
      <c r="N135" s="19">
        <f t="shared" si="26"/>
        <v>-1</v>
      </c>
      <c r="O135" s="11"/>
      <c r="P135" s="2"/>
      <c r="Q135" s="2"/>
      <c r="R135" s="19">
        <f t="shared" si="27"/>
        <v>0</v>
      </c>
      <c r="S135" s="2"/>
      <c r="T135" s="2">
        <v>26.46</v>
      </c>
      <c r="U135" s="2"/>
      <c r="V135" s="19">
        <f t="shared" si="28"/>
        <v>5.6788620020694499E-6</v>
      </c>
      <c r="W135" s="2"/>
      <c r="X135" s="2">
        <f t="shared" si="29"/>
        <v>-26.46</v>
      </c>
      <c r="Y135" s="2"/>
      <c r="Z135" s="19">
        <f t="shared" si="30"/>
        <v>-1</v>
      </c>
    </row>
    <row r="136" spans="1:26" s="24" customFormat="1" hidden="1" outlineLevel="1" x14ac:dyDescent="0.3">
      <c r="A136" s="44"/>
      <c r="B136" s="11" t="str">
        <f>CONCATENATE("          ", "5518", " - ", "FREIGHT-IN-STUDY GUIDES")</f>
        <v xml:space="preserve">          5518 - FREIGHT-IN-STUDY GUIDES</v>
      </c>
      <c r="C136" s="11"/>
      <c r="D136" s="2"/>
      <c r="E136" s="2"/>
      <c r="F136" s="19">
        <f t="shared" si="23"/>
        <v>0</v>
      </c>
      <c r="G136" s="2"/>
      <c r="H136" s="2"/>
      <c r="I136" s="2"/>
      <c r="J136" s="19">
        <f t="shared" si="24"/>
        <v>0</v>
      </c>
      <c r="K136" s="2"/>
      <c r="L136" s="2">
        <f t="shared" si="25"/>
        <v>0</v>
      </c>
      <c r="M136" s="2"/>
      <c r="N136" s="19">
        <f t="shared" si="26"/>
        <v>0</v>
      </c>
      <c r="O136" s="11"/>
      <c r="P136" s="2">
        <v>0</v>
      </c>
      <c r="Q136" s="2"/>
      <c r="R136" s="19">
        <f t="shared" si="27"/>
        <v>0</v>
      </c>
      <c r="S136" s="2"/>
      <c r="T136" s="2"/>
      <c r="U136" s="2"/>
      <c r="V136" s="19">
        <f t="shared" si="28"/>
        <v>0</v>
      </c>
      <c r="W136" s="2"/>
      <c r="X136" s="2">
        <f t="shared" si="29"/>
        <v>0</v>
      </c>
      <c r="Y136" s="2"/>
      <c r="Z136" s="19">
        <f t="shared" si="30"/>
        <v>0</v>
      </c>
    </row>
    <row r="137" spans="1:26" s="24" customFormat="1" hidden="1" outlineLevel="1" x14ac:dyDescent="0.3">
      <c r="A137" s="44"/>
      <c r="B137" s="11" t="str">
        <f>CONCATENATE("          ", "5525", " - ", "FREIGHT-IN-TEST FORMS")</f>
        <v xml:space="preserve">          5525 - FREIGHT-IN-TEST FORMS</v>
      </c>
      <c r="C137" s="11"/>
      <c r="D137" s="2"/>
      <c r="E137" s="2"/>
      <c r="F137" s="19">
        <f t="shared" si="23"/>
        <v>0</v>
      </c>
      <c r="G137" s="2"/>
      <c r="H137" s="2"/>
      <c r="I137" s="2"/>
      <c r="J137" s="19">
        <f t="shared" si="24"/>
        <v>0</v>
      </c>
      <c r="K137" s="2"/>
      <c r="L137" s="2">
        <f t="shared" si="25"/>
        <v>0</v>
      </c>
      <c r="M137" s="2"/>
      <c r="N137" s="19">
        <f t="shared" si="26"/>
        <v>0</v>
      </c>
      <c r="O137" s="11"/>
      <c r="P137" s="2"/>
      <c r="Q137" s="2"/>
      <c r="R137" s="19">
        <f t="shared" si="27"/>
        <v>0</v>
      </c>
      <c r="S137" s="2"/>
      <c r="T137" s="2">
        <v>48.14</v>
      </c>
      <c r="U137" s="2"/>
      <c r="V137" s="19">
        <f t="shared" si="28"/>
        <v>1.0331837368844418E-5</v>
      </c>
      <c r="W137" s="2"/>
      <c r="X137" s="2">
        <f t="shared" si="29"/>
        <v>-48.14</v>
      </c>
      <c r="Y137" s="2"/>
      <c r="Z137" s="19">
        <f t="shared" si="30"/>
        <v>-1</v>
      </c>
    </row>
    <row r="138" spans="1:26" s="24" customFormat="1" hidden="1" outlineLevel="1" x14ac:dyDescent="0.3">
      <c r="A138" s="44"/>
      <c r="B138" s="11" t="str">
        <f>CONCATENATE("          ", "5527", " - ", "FREIGHT-IN-SCHOOL SUPPLIES")</f>
        <v xml:space="preserve">          5527 - FREIGHT-IN-SCHOOL SUPPLIES</v>
      </c>
      <c r="C138" s="11"/>
      <c r="D138" s="2"/>
      <c r="E138" s="2"/>
      <c r="F138" s="19">
        <f t="shared" si="23"/>
        <v>0</v>
      </c>
      <c r="G138" s="2"/>
      <c r="H138" s="2"/>
      <c r="I138" s="2"/>
      <c r="J138" s="19">
        <f t="shared" si="24"/>
        <v>0</v>
      </c>
      <c r="K138" s="2"/>
      <c r="L138" s="2">
        <f t="shared" si="25"/>
        <v>0</v>
      </c>
      <c r="M138" s="2"/>
      <c r="N138" s="19">
        <f t="shared" si="26"/>
        <v>0</v>
      </c>
      <c r="O138" s="11"/>
      <c r="P138" s="2">
        <v>0</v>
      </c>
      <c r="Q138" s="2"/>
      <c r="R138" s="19">
        <f t="shared" si="27"/>
        <v>0</v>
      </c>
      <c r="S138" s="2"/>
      <c r="T138" s="2">
        <v>56</v>
      </c>
      <c r="U138" s="2"/>
      <c r="V138" s="19">
        <f t="shared" si="28"/>
        <v>1.2018755559935344E-5</v>
      </c>
      <c r="W138" s="2"/>
      <c r="X138" s="2">
        <f t="shared" si="29"/>
        <v>-56</v>
      </c>
      <c r="Y138" s="2"/>
      <c r="Z138" s="19">
        <f t="shared" si="30"/>
        <v>-1</v>
      </c>
    </row>
    <row r="139" spans="1:26" s="24" customFormat="1" hidden="1" outlineLevel="1" x14ac:dyDescent="0.3">
      <c r="A139" s="44"/>
      <c r="B139" s="11" t="str">
        <f>CONCATENATE("          ", "5528", " - ", "FREIGHT-IN-ART/TECH")</f>
        <v xml:space="preserve">          5528 - FREIGHT-IN-ART/TECH</v>
      </c>
      <c r="C139" s="11"/>
      <c r="D139" s="2"/>
      <c r="E139" s="2"/>
      <c r="F139" s="19">
        <f t="shared" si="23"/>
        <v>0</v>
      </c>
      <c r="G139" s="2"/>
      <c r="H139" s="2">
        <v>1.72</v>
      </c>
      <c r="I139" s="2"/>
      <c r="J139" s="19">
        <f t="shared" si="24"/>
        <v>4.3488510790561431E-6</v>
      </c>
      <c r="K139" s="2"/>
      <c r="L139" s="2">
        <f t="shared" si="25"/>
        <v>-1.72</v>
      </c>
      <c r="M139" s="2"/>
      <c r="N139" s="19">
        <f t="shared" si="26"/>
        <v>-1</v>
      </c>
      <c r="O139" s="11"/>
      <c r="P139" s="2">
        <v>0</v>
      </c>
      <c r="Q139" s="2"/>
      <c r="R139" s="19">
        <f t="shared" si="27"/>
        <v>0</v>
      </c>
      <c r="S139" s="2"/>
      <c r="T139" s="2">
        <v>285.92</v>
      </c>
      <c r="U139" s="2"/>
      <c r="V139" s="19">
        <f t="shared" si="28"/>
        <v>6.1364331958869888E-5</v>
      </c>
      <c r="W139" s="2"/>
      <c r="X139" s="2">
        <f t="shared" si="29"/>
        <v>-285.92</v>
      </c>
      <c r="Y139" s="2"/>
      <c r="Z139" s="19">
        <f t="shared" si="30"/>
        <v>-1</v>
      </c>
    </row>
    <row r="140" spans="1:26" s="24" customFormat="1" hidden="1" outlineLevel="1" x14ac:dyDescent="0.3">
      <c r="A140" s="44"/>
      <c r="B140" s="11" t="str">
        <f>CONCATENATE("          ", "5540", " - ", "FREIGHT-IN-LOGO CLOTHING")</f>
        <v xml:space="preserve">          5540 - FREIGHT-IN-LOGO CLOTHING</v>
      </c>
      <c r="C140" s="11"/>
      <c r="D140" s="2"/>
      <c r="E140" s="2"/>
      <c r="F140" s="19">
        <f t="shared" si="23"/>
        <v>0</v>
      </c>
      <c r="G140" s="2"/>
      <c r="H140" s="2">
        <v>1333.15</v>
      </c>
      <c r="I140" s="2"/>
      <c r="J140" s="19">
        <f t="shared" si="24"/>
        <v>3.3707388465370339E-3</v>
      </c>
      <c r="K140" s="2"/>
      <c r="L140" s="2">
        <f t="shared" si="25"/>
        <v>-1333.15</v>
      </c>
      <c r="M140" s="2"/>
      <c r="N140" s="19">
        <f t="shared" si="26"/>
        <v>-1</v>
      </c>
      <c r="O140" s="11"/>
      <c r="P140" s="2">
        <v>0</v>
      </c>
      <c r="Q140" s="2"/>
      <c r="R140" s="19">
        <f t="shared" si="27"/>
        <v>0</v>
      </c>
      <c r="S140" s="2"/>
      <c r="T140" s="2">
        <v>4535.4799999999996</v>
      </c>
      <c r="U140" s="2"/>
      <c r="V140" s="19">
        <f t="shared" si="28"/>
        <v>9.7340759762456336E-4</v>
      </c>
      <c r="W140" s="2"/>
      <c r="X140" s="2">
        <f t="shared" si="29"/>
        <v>-4535.4799999999996</v>
      </c>
      <c r="Y140" s="2"/>
      <c r="Z140" s="19">
        <f t="shared" si="30"/>
        <v>-1</v>
      </c>
    </row>
    <row r="141" spans="1:26" s="24" customFormat="1" hidden="1" outlineLevel="1" x14ac:dyDescent="0.3">
      <c r="A141" s="44"/>
      <c r="B141" s="11" t="str">
        <f>CONCATENATE("          ", "5541", " - ", "FREIGHT-IN-LOGO GIFTS")</f>
        <v xml:space="preserve">          5541 - FREIGHT-IN-LOGO GIFTS</v>
      </c>
      <c r="C141" s="11"/>
      <c r="D141" s="2"/>
      <c r="E141" s="2"/>
      <c r="F141" s="19">
        <f t="shared" si="23"/>
        <v>0</v>
      </c>
      <c r="G141" s="2"/>
      <c r="H141" s="2">
        <v>301.06</v>
      </c>
      <c r="I141" s="2"/>
      <c r="J141" s="19">
        <f t="shared" si="24"/>
        <v>7.6120064294223403E-4</v>
      </c>
      <c r="K141" s="2"/>
      <c r="L141" s="2">
        <f t="shared" si="25"/>
        <v>-301.06</v>
      </c>
      <c r="M141" s="2"/>
      <c r="N141" s="19">
        <f t="shared" si="26"/>
        <v>-1</v>
      </c>
      <c r="O141" s="11"/>
      <c r="P141" s="2">
        <v>0</v>
      </c>
      <c r="Q141" s="2"/>
      <c r="R141" s="19">
        <f t="shared" si="27"/>
        <v>0</v>
      </c>
      <c r="S141" s="2"/>
      <c r="T141" s="2">
        <v>1435.87</v>
      </c>
      <c r="U141" s="2"/>
      <c r="V141" s="19">
        <f t="shared" si="28"/>
        <v>3.0816733117579217E-4</v>
      </c>
      <c r="W141" s="2"/>
      <c r="X141" s="2">
        <f t="shared" si="29"/>
        <v>-1435.87</v>
      </c>
      <c r="Y141" s="2"/>
      <c r="Z141" s="19">
        <f t="shared" si="30"/>
        <v>-1</v>
      </c>
    </row>
    <row r="142" spans="1:26" s="24" customFormat="1" hidden="1" outlineLevel="1" x14ac:dyDescent="0.3">
      <c r="A142" s="44"/>
      <c r="B142" s="11" t="str">
        <f>CONCATENATE("          ", "5542", " - ", "FREIGHT-IN-EVERYDAY GIFTS")</f>
        <v xml:space="preserve">          5542 - FREIGHT-IN-EVERYDAY GIFTS</v>
      </c>
      <c r="C142" s="11"/>
      <c r="D142" s="2"/>
      <c r="E142" s="2"/>
      <c r="F142" s="19">
        <f t="shared" si="23"/>
        <v>0</v>
      </c>
      <c r="G142" s="2"/>
      <c r="H142" s="2">
        <v>21</v>
      </c>
      <c r="I142" s="2"/>
      <c r="J142" s="19">
        <f t="shared" si="24"/>
        <v>5.3096437593127337E-5</v>
      </c>
      <c r="K142" s="2"/>
      <c r="L142" s="2">
        <f t="shared" si="25"/>
        <v>-21</v>
      </c>
      <c r="M142" s="2"/>
      <c r="N142" s="19">
        <f t="shared" si="26"/>
        <v>-1</v>
      </c>
      <c r="O142" s="11"/>
      <c r="P142" s="2">
        <v>0</v>
      </c>
      <c r="Q142" s="2"/>
      <c r="R142" s="19">
        <f t="shared" si="27"/>
        <v>0</v>
      </c>
      <c r="S142" s="2"/>
      <c r="T142" s="2">
        <v>196.55</v>
      </c>
      <c r="U142" s="2"/>
      <c r="V142" s="19">
        <f t="shared" si="28"/>
        <v>4.2183685809023068E-5</v>
      </c>
      <c r="W142" s="2"/>
      <c r="X142" s="2">
        <f t="shared" si="29"/>
        <v>-196.55</v>
      </c>
      <c r="Y142" s="2"/>
      <c r="Z142" s="19">
        <f t="shared" si="30"/>
        <v>-1</v>
      </c>
    </row>
    <row r="143" spans="1:26" s="24" customFormat="1" hidden="1" outlineLevel="1" x14ac:dyDescent="0.3">
      <c r="A143" s="44"/>
      <c r="B143" s="11" t="str">
        <f>CONCATENATE("          ", "5543", " - ", "FREIGHT-IN-CARDS")</f>
        <v xml:space="preserve">          5543 - FREIGHT-IN-CARDS</v>
      </c>
      <c r="C143" s="11"/>
      <c r="D143" s="2"/>
      <c r="E143" s="2"/>
      <c r="F143" s="19">
        <f t="shared" si="23"/>
        <v>0</v>
      </c>
      <c r="G143" s="2"/>
      <c r="H143" s="2">
        <v>6323.12</v>
      </c>
      <c r="I143" s="2"/>
      <c r="J143" s="19">
        <f t="shared" si="24"/>
        <v>1.5987387927326444E-2</v>
      </c>
      <c r="K143" s="2"/>
      <c r="L143" s="2">
        <f t="shared" si="25"/>
        <v>-6323.12</v>
      </c>
      <c r="M143" s="2"/>
      <c r="N143" s="19">
        <f t="shared" si="26"/>
        <v>-1</v>
      </c>
      <c r="O143" s="11"/>
      <c r="P143" s="2"/>
      <c r="Q143" s="2"/>
      <c r="R143" s="19">
        <f t="shared" si="27"/>
        <v>0</v>
      </c>
      <c r="S143" s="2"/>
      <c r="T143" s="2">
        <v>6512.31</v>
      </c>
      <c r="U143" s="2"/>
      <c r="V143" s="19">
        <f t="shared" si="28"/>
        <v>1.3976761075093311E-3</v>
      </c>
      <c r="W143" s="2"/>
      <c r="X143" s="2">
        <f t="shared" si="29"/>
        <v>-6512.31</v>
      </c>
      <c r="Y143" s="2"/>
      <c r="Z143" s="19">
        <f t="shared" si="30"/>
        <v>-1</v>
      </c>
    </row>
    <row r="144" spans="1:26" s="24" customFormat="1" hidden="1" outlineLevel="1" x14ac:dyDescent="0.3">
      <c r="A144" s="44"/>
      <c r="B144" s="11" t="str">
        <f>CONCATENATE("          ", "5544", " - ", "FREIGHT-IN-ACCESSORIES")</f>
        <v xml:space="preserve">          5544 - FREIGHT-IN-ACCESSORIES</v>
      </c>
      <c r="C144" s="11"/>
      <c r="D144" s="2"/>
      <c r="E144" s="2"/>
      <c r="F144" s="19">
        <f t="shared" si="23"/>
        <v>0</v>
      </c>
      <c r="G144" s="2"/>
      <c r="H144" s="2"/>
      <c r="I144" s="2"/>
      <c r="J144" s="19">
        <f t="shared" si="24"/>
        <v>0</v>
      </c>
      <c r="K144" s="2"/>
      <c r="L144" s="2">
        <f t="shared" si="25"/>
        <v>0</v>
      </c>
      <c r="M144" s="2"/>
      <c r="N144" s="19">
        <f t="shared" si="26"/>
        <v>0</v>
      </c>
      <c r="O144" s="11"/>
      <c r="P144" s="2">
        <v>0</v>
      </c>
      <c r="Q144" s="2"/>
      <c r="R144" s="19">
        <f t="shared" si="27"/>
        <v>0</v>
      </c>
      <c r="S144" s="2"/>
      <c r="T144" s="2"/>
      <c r="U144" s="2"/>
      <c r="V144" s="19">
        <f t="shared" si="28"/>
        <v>0</v>
      </c>
      <c r="W144" s="2"/>
      <c r="X144" s="2">
        <f t="shared" si="29"/>
        <v>0</v>
      </c>
      <c r="Y144" s="2"/>
      <c r="Z144" s="19">
        <f t="shared" si="30"/>
        <v>0</v>
      </c>
    </row>
    <row r="145" spans="1:26" s="24" customFormat="1" hidden="1" outlineLevel="1" x14ac:dyDescent="0.3">
      <c r="A145" s="44"/>
      <c r="B145" s="11" t="str">
        <f>CONCATENATE("          ", "5545", " - ", "FREIGHT-IN-SPECIAL ORDERS")</f>
        <v xml:space="preserve">          5545 - FREIGHT-IN-SPECIAL ORDERS</v>
      </c>
      <c r="C145" s="11"/>
      <c r="D145" s="2"/>
      <c r="E145" s="2"/>
      <c r="F145" s="19">
        <f t="shared" si="23"/>
        <v>0</v>
      </c>
      <c r="G145" s="2"/>
      <c r="H145" s="2">
        <v>37.590000000000003</v>
      </c>
      <c r="I145" s="2"/>
      <c r="J145" s="19">
        <f t="shared" si="24"/>
        <v>9.5042623291697933E-5</v>
      </c>
      <c r="K145" s="2"/>
      <c r="L145" s="2">
        <f t="shared" si="25"/>
        <v>-37.590000000000003</v>
      </c>
      <c r="M145" s="2"/>
      <c r="N145" s="19">
        <f t="shared" si="26"/>
        <v>-1</v>
      </c>
      <c r="O145" s="11"/>
      <c r="P145" s="2">
        <v>0</v>
      </c>
      <c r="Q145" s="2"/>
      <c r="R145" s="19">
        <f t="shared" si="27"/>
        <v>0</v>
      </c>
      <c r="S145" s="2"/>
      <c r="T145" s="2">
        <v>887.86</v>
      </c>
      <c r="U145" s="2"/>
      <c r="V145" s="19">
        <f t="shared" si="28"/>
        <v>1.905530769900749E-4</v>
      </c>
      <c r="W145" s="2"/>
      <c r="X145" s="2">
        <f t="shared" si="29"/>
        <v>-887.86</v>
      </c>
      <c r="Y145" s="2"/>
      <c r="Z145" s="19">
        <f t="shared" si="30"/>
        <v>-1</v>
      </c>
    </row>
    <row r="146" spans="1:26" s="24" customFormat="1" hidden="1" outlineLevel="1" x14ac:dyDescent="0.3">
      <c r="A146" s="44"/>
      <c r="B146" s="11" t="str">
        <f>CONCATENATE("          ", "5582", " - ", "FREIGHT-IN-COMPUTER HARDWARE")</f>
        <v xml:space="preserve">          5582 - FREIGHT-IN-COMPUTER HARDWARE</v>
      </c>
      <c r="C146" s="11"/>
      <c r="D146" s="2"/>
      <c r="E146" s="2"/>
      <c r="F146" s="19">
        <f t="shared" si="23"/>
        <v>0</v>
      </c>
      <c r="G146" s="2"/>
      <c r="H146" s="2"/>
      <c r="I146" s="2"/>
      <c r="J146" s="19">
        <f t="shared" si="24"/>
        <v>0</v>
      </c>
      <c r="K146" s="2"/>
      <c r="L146" s="2">
        <f t="shared" si="25"/>
        <v>0</v>
      </c>
      <c r="M146" s="2"/>
      <c r="N146" s="19">
        <f t="shared" si="26"/>
        <v>0</v>
      </c>
      <c r="O146" s="11"/>
      <c r="P146" s="2"/>
      <c r="Q146" s="2"/>
      <c r="R146" s="19">
        <f t="shared" si="27"/>
        <v>0</v>
      </c>
      <c r="S146" s="2"/>
      <c r="T146" s="2">
        <v>94</v>
      </c>
      <c r="U146" s="2"/>
      <c r="V146" s="19">
        <f t="shared" si="28"/>
        <v>2.017433968989147E-5</v>
      </c>
      <c r="W146" s="2"/>
      <c r="X146" s="2">
        <f t="shared" si="29"/>
        <v>-94</v>
      </c>
      <c r="Y146" s="2"/>
      <c r="Z146" s="19">
        <f t="shared" si="30"/>
        <v>-1</v>
      </c>
    </row>
    <row r="147" spans="1:26" s="24" customFormat="1" hidden="1" outlineLevel="1" x14ac:dyDescent="0.3">
      <c r="A147" s="44"/>
      <c r="B147" s="11" t="str">
        <f>CONCATENATE("          ", "5583", " - ", "FREIGHT-IN-COMPUTER EQUIPMENT")</f>
        <v xml:space="preserve">          5583 - FREIGHT-IN-COMPUTER EQUIPMENT</v>
      </c>
      <c r="C147" s="11"/>
      <c r="D147" s="2"/>
      <c r="E147" s="2"/>
      <c r="F147" s="19">
        <f t="shared" si="23"/>
        <v>0</v>
      </c>
      <c r="G147" s="2"/>
      <c r="H147" s="2"/>
      <c r="I147" s="2"/>
      <c r="J147" s="19">
        <f t="shared" si="24"/>
        <v>0</v>
      </c>
      <c r="K147" s="2"/>
      <c r="L147" s="2">
        <f t="shared" si="25"/>
        <v>0</v>
      </c>
      <c r="M147" s="2"/>
      <c r="N147" s="19">
        <f t="shared" si="26"/>
        <v>0</v>
      </c>
      <c r="O147" s="11"/>
      <c r="P147" s="2">
        <v>0</v>
      </c>
      <c r="Q147" s="2"/>
      <c r="R147" s="19">
        <f t="shared" si="27"/>
        <v>0</v>
      </c>
      <c r="S147" s="2"/>
      <c r="T147" s="2">
        <v>225.17</v>
      </c>
      <c r="U147" s="2"/>
      <c r="V147" s="19">
        <f t="shared" si="28"/>
        <v>4.8326128382690022E-5</v>
      </c>
      <c r="W147" s="2"/>
      <c r="X147" s="2">
        <f t="shared" si="29"/>
        <v>-225.17</v>
      </c>
      <c r="Y147" s="2"/>
      <c r="Z147" s="19">
        <f t="shared" si="30"/>
        <v>-1</v>
      </c>
    </row>
    <row r="148" spans="1:26" s="24" customFormat="1" hidden="1" outlineLevel="1" x14ac:dyDescent="0.3">
      <c r="A148" s="44"/>
      <c r="B148" s="11" t="str">
        <f>CONCATENATE("          ", "5586", " - ", "FREIGHT-IN-COMPUTER SUPPLIES")</f>
        <v xml:space="preserve">          5586 - FREIGHT-IN-COMPUTER SUPPLIES</v>
      </c>
      <c r="C148" s="11"/>
      <c r="D148" s="2"/>
      <c r="E148" s="2"/>
      <c r="F148" s="19">
        <f t="shared" si="23"/>
        <v>0</v>
      </c>
      <c r="G148" s="2"/>
      <c r="H148" s="2"/>
      <c r="I148" s="2"/>
      <c r="J148" s="19">
        <f t="shared" si="24"/>
        <v>0</v>
      </c>
      <c r="K148" s="2"/>
      <c r="L148" s="2">
        <f t="shared" si="25"/>
        <v>0</v>
      </c>
      <c r="M148" s="2"/>
      <c r="N148" s="19">
        <f t="shared" si="26"/>
        <v>0</v>
      </c>
      <c r="O148" s="11"/>
      <c r="P148" s="2"/>
      <c r="Q148" s="2"/>
      <c r="R148" s="19">
        <f t="shared" si="27"/>
        <v>0</v>
      </c>
      <c r="S148" s="2"/>
      <c r="T148" s="2">
        <v>24.12</v>
      </c>
      <c r="U148" s="2"/>
      <c r="V148" s="19">
        <f t="shared" si="28"/>
        <v>5.1766497161721519E-6</v>
      </c>
      <c r="W148" s="2"/>
      <c r="X148" s="2">
        <f t="shared" si="29"/>
        <v>-24.12</v>
      </c>
      <c r="Y148" s="2"/>
      <c r="Z148" s="19">
        <f t="shared" si="30"/>
        <v>-1</v>
      </c>
    </row>
    <row r="149" spans="1:26" s="24" customFormat="1" hidden="1" outlineLevel="1" x14ac:dyDescent="0.3">
      <c r="A149" s="44"/>
      <c r="B149" s="11" t="str">
        <f>CONCATENATE("          ", "5592", " - ", "FREIGHT-IN-GRAD MERCH")</f>
        <v xml:space="preserve">          5592 - FREIGHT-IN-GRAD MERCH</v>
      </c>
      <c r="C149" s="11"/>
      <c r="D149" s="2"/>
      <c r="E149" s="2"/>
      <c r="F149" s="19">
        <f t="shared" si="23"/>
        <v>0</v>
      </c>
      <c r="G149" s="2"/>
      <c r="H149" s="2"/>
      <c r="I149" s="2"/>
      <c r="J149" s="19">
        <f t="shared" si="24"/>
        <v>0</v>
      </c>
      <c r="K149" s="2"/>
      <c r="L149" s="2">
        <f t="shared" si="25"/>
        <v>0</v>
      </c>
      <c r="M149" s="2"/>
      <c r="N149" s="19">
        <f t="shared" si="26"/>
        <v>0</v>
      </c>
      <c r="O149" s="11"/>
      <c r="P149" s="2"/>
      <c r="Q149" s="2"/>
      <c r="R149" s="19">
        <f t="shared" si="27"/>
        <v>0</v>
      </c>
      <c r="S149" s="2"/>
      <c r="T149" s="2">
        <v>0</v>
      </c>
      <c r="U149" s="2"/>
      <c r="V149" s="19">
        <f t="shared" si="28"/>
        <v>0</v>
      </c>
      <c r="W149" s="2"/>
      <c r="X149" s="2">
        <f t="shared" si="29"/>
        <v>0</v>
      </c>
      <c r="Y149" s="2"/>
      <c r="Z149" s="19">
        <f t="shared" si="30"/>
        <v>0</v>
      </c>
    </row>
    <row r="150" spans="1:26" x14ac:dyDescent="0.3">
      <c r="A150" s="9"/>
      <c r="B150" s="10"/>
      <c r="C150" s="10"/>
      <c r="D150" s="3"/>
      <c r="E150" s="3"/>
      <c r="F150" s="8"/>
      <c r="G150" s="3"/>
      <c r="H150" s="3"/>
      <c r="I150" s="3"/>
      <c r="J150" s="8"/>
      <c r="K150" s="3"/>
      <c r="L150" s="3"/>
      <c r="M150" s="3"/>
      <c r="N150" s="8"/>
      <c r="O150" s="10"/>
      <c r="P150" s="3"/>
      <c r="Q150" s="3"/>
      <c r="R150" s="8"/>
      <c r="S150" s="3"/>
      <c r="T150" s="3"/>
      <c r="U150" s="3"/>
      <c r="V150" s="8"/>
      <c r="W150" s="3"/>
      <c r="X150" s="3"/>
      <c r="Y150" s="3"/>
      <c r="Z150" s="8"/>
    </row>
    <row r="151" spans="1:26" s="23" customFormat="1" x14ac:dyDescent="0.3">
      <c r="A151" s="10"/>
      <c r="B151" s="25" t="s">
        <v>107</v>
      </c>
      <c r="C151" s="25"/>
      <c r="D151" s="21">
        <f>D12-D100</f>
        <v>1244762.42</v>
      </c>
      <c r="E151" s="13"/>
      <c r="F151" s="22">
        <f>IF(D$12=0,0,D151/D$12)</f>
        <v>0.68911723537394054</v>
      </c>
      <c r="G151" s="13"/>
      <c r="H151" s="21">
        <f>H12-H100</f>
        <v>229696.64000000019</v>
      </c>
      <c r="I151" s="13"/>
      <c r="J151" s="22">
        <f>IF(H$12=0,0,H151/H$12)</f>
        <v>0.58076539576719266</v>
      </c>
      <c r="K151" s="16"/>
      <c r="L151" s="21">
        <f>+D151-H151</f>
        <v>1015065.7799999998</v>
      </c>
      <c r="M151" s="16"/>
      <c r="N151" s="22">
        <f>IF(H151=0,0,L151/H151)</f>
        <v>4.4191581557309627</v>
      </c>
      <c r="O151" s="26"/>
      <c r="P151" s="21">
        <f>P12-P100</f>
        <v>5512875.6500000004</v>
      </c>
      <c r="Q151" s="13"/>
      <c r="R151" s="22">
        <f>IF(P$12=0,0,P151/P$12)</f>
        <v>0.5696526556393815</v>
      </c>
      <c r="S151" s="13"/>
      <c r="T151" s="21">
        <f>T12-T100</f>
        <v>1676219.5899999999</v>
      </c>
      <c r="U151" s="13"/>
      <c r="V151" s="22">
        <f>IF(T$12=0,0,T151/T$12)</f>
        <v>0.3597513128033043</v>
      </c>
      <c r="W151" s="16"/>
      <c r="X151" s="21">
        <f>+P151-T151</f>
        <v>3836656.0600000005</v>
      </c>
      <c r="Y151" s="16"/>
      <c r="Z151" s="22">
        <f>IF(T151=0,0,X151/T151)</f>
        <v>2.2888743711675632</v>
      </c>
    </row>
    <row r="152" spans="1:26" x14ac:dyDescent="0.3">
      <c r="A152" s="9"/>
      <c r="B152" s="10"/>
      <c r="C152" s="9"/>
      <c r="D152" s="1"/>
      <c r="E152" s="1"/>
      <c r="F152" s="5"/>
      <c r="G152" s="1"/>
      <c r="H152" s="1"/>
      <c r="I152" s="1"/>
      <c r="J152" s="5"/>
      <c r="K152" s="1"/>
      <c r="L152" s="1"/>
      <c r="M152" s="1"/>
      <c r="N152" s="5"/>
      <c r="O152" s="37"/>
      <c r="P152" s="1"/>
      <c r="Q152" s="1"/>
      <c r="R152" s="5"/>
      <c r="S152" s="1"/>
      <c r="T152" s="1"/>
      <c r="U152" s="1"/>
      <c r="V152" s="5"/>
      <c r="W152" s="1"/>
      <c r="X152" s="1"/>
      <c r="Y152" s="1"/>
      <c r="Z152" s="5"/>
    </row>
    <row r="153" spans="1:26" s="23" customFormat="1" x14ac:dyDescent="0.3">
      <c r="A153" s="10"/>
      <c r="B153" s="26" t="s">
        <v>294</v>
      </c>
      <c r="C153" s="10"/>
      <c r="D153" s="20">
        <f>SUM(OSRRefD22x_0)</f>
        <v>959248.34999999951</v>
      </c>
      <c r="E153" s="20"/>
      <c r="F153" s="32">
        <f t="shared" ref="F153:F164" si="31">IF(D$12=0,0,D153/D$12)</f>
        <v>0.53105280201905014</v>
      </c>
      <c r="G153" s="20"/>
      <c r="H153" s="20">
        <f>SUM(OSRRefH22x_0)</f>
        <v>643269.85999999964</v>
      </c>
      <c r="I153" s="20"/>
      <c r="J153" s="32">
        <f t="shared" ref="J153:J164" si="32">IF(H$12=0,0,H153/H$12)</f>
        <v>1.6264446655728446</v>
      </c>
      <c r="K153" s="4"/>
      <c r="L153" s="20">
        <f t="shared" ref="L153:L164" si="33">+D153-H153</f>
        <v>315978.48999999987</v>
      </c>
      <c r="M153" s="4"/>
      <c r="N153" s="32">
        <f t="shared" ref="N153:N164" si="34">IF(H153=0,0,L153/H153)</f>
        <v>0.49120673864620373</v>
      </c>
      <c r="O153" s="10"/>
      <c r="P153" s="20">
        <f>SUM(OSRRefP22x_0)</f>
        <v>5139499.3500000015</v>
      </c>
      <c r="Q153" s="20"/>
      <c r="R153" s="32">
        <f t="shared" ref="R153:R164" si="35">IF(P$12=0,0,P153/P$12)</f>
        <v>0.53107119392115731</v>
      </c>
      <c r="S153" s="20"/>
      <c r="T153" s="20">
        <f>SUM(OSRRefT22x_0)</f>
        <v>3556154.21</v>
      </c>
      <c r="U153" s="20"/>
      <c r="V153" s="32">
        <f t="shared" ref="V153:V164" si="36">IF(T$12=0,0,T153/T$12)</f>
        <v>0.76322407470401743</v>
      </c>
      <c r="W153" s="4"/>
      <c r="X153" s="20">
        <f t="shared" ref="X153:X164" si="37">+P153-T153</f>
        <v>1583345.1400000015</v>
      </c>
      <c r="Y153" s="4"/>
      <c r="Z153" s="32">
        <f t="shared" ref="Z153:Z164" si="38">IF(T153=0,0,X153/T153)</f>
        <v>0.4452408547266013</v>
      </c>
    </row>
    <row r="154" spans="1:26" s="29" customFormat="1" outlineLevel="1" collapsed="1" x14ac:dyDescent="0.3">
      <c r="A154" s="28"/>
      <c r="B154" s="14" t="str">
        <f>CONCATENATE("     ","*Benefits                                         ")</f>
        <v xml:space="preserve">     *Benefits                                         </v>
      </c>
      <c r="C154" s="14"/>
      <c r="D154" s="1">
        <f>SUM(OSRRefD22_0x_0)</f>
        <v>175467.33</v>
      </c>
      <c r="E154" s="1"/>
      <c r="F154" s="5">
        <f t="shared" si="31"/>
        <v>9.7141076405605903E-2</v>
      </c>
      <c r="G154" s="1"/>
      <c r="H154" s="1">
        <f>SUM(OSRRefH22_0x_0)</f>
        <v>158302.26999999999</v>
      </c>
      <c r="I154" s="1"/>
      <c r="J154" s="5">
        <f t="shared" si="32"/>
        <v>0.40025174285263776</v>
      </c>
      <c r="K154" s="1"/>
      <c r="L154" s="1">
        <f t="shared" si="33"/>
        <v>17165.059999999998</v>
      </c>
      <c r="M154" s="1"/>
      <c r="N154" s="5">
        <f t="shared" si="34"/>
        <v>0.10843217851519121</v>
      </c>
      <c r="O154" s="14"/>
      <c r="P154" s="1">
        <f>SUM(OSRRefP22_0x_0)</f>
        <v>860353.92</v>
      </c>
      <c r="Q154" s="1"/>
      <c r="R154" s="5">
        <f t="shared" si="35"/>
        <v>8.8901496502601512E-2</v>
      </c>
      <c r="S154" s="1"/>
      <c r="T154" s="1">
        <f>SUM(OSRRefT22_0x_0)</f>
        <v>794263.98</v>
      </c>
      <c r="U154" s="1"/>
      <c r="V154" s="5">
        <f t="shared" si="36"/>
        <v>0.17046543974431025</v>
      </c>
      <c r="W154" s="1"/>
      <c r="X154" s="1">
        <f t="shared" si="37"/>
        <v>66089.940000000061</v>
      </c>
      <c r="Y154" s="1"/>
      <c r="Z154" s="5">
        <f t="shared" si="38"/>
        <v>8.3209035867395198E-2</v>
      </c>
    </row>
    <row r="155" spans="1:26" s="24" customFormat="1" hidden="1" outlineLevel="2" x14ac:dyDescent="0.3">
      <c r="A155" s="27"/>
      <c r="B155" s="11" t="str">
        <f>CONCATENATE("          ", "6111", " - ", "F.I.C.A.")</f>
        <v xml:space="preserve">          6111 - F.I.C.A.</v>
      </c>
      <c r="C155" s="11"/>
      <c r="D155" s="6">
        <v>26684.97</v>
      </c>
      <c r="E155" s="2"/>
      <c r="F155" s="7">
        <f t="shared" si="31"/>
        <v>1.4773158682310271E-2</v>
      </c>
      <c r="G155" s="2"/>
      <c r="H155" s="6">
        <v>17572.8</v>
      </c>
      <c r="I155" s="2"/>
      <c r="J155" s="7">
        <f t="shared" si="32"/>
        <v>4.4431098977928948E-2</v>
      </c>
      <c r="K155" s="2"/>
      <c r="L155" s="6">
        <f t="shared" si="33"/>
        <v>9112.1700000000019</v>
      </c>
      <c r="M155" s="2"/>
      <c r="N155" s="7">
        <f t="shared" si="34"/>
        <v>0.51853830920513533</v>
      </c>
      <c r="O155" s="11"/>
      <c r="P155" s="6">
        <v>142149.66</v>
      </c>
      <c r="Q155" s="2"/>
      <c r="R155" s="7">
        <f t="shared" si="35"/>
        <v>1.4688510399692248E-2</v>
      </c>
      <c r="S155" s="2"/>
      <c r="T155" s="6">
        <v>116403.59</v>
      </c>
      <c r="U155" s="2"/>
      <c r="V155" s="7">
        <f t="shared" si="36"/>
        <v>2.4982612401945253E-2</v>
      </c>
      <c r="W155" s="2"/>
      <c r="X155" s="6">
        <f t="shared" si="37"/>
        <v>25746.070000000007</v>
      </c>
      <c r="Y155" s="2"/>
      <c r="Z155" s="7">
        <f t="shared" si="38"/>
        <v>0.22117934678818763</v>
      </c>
    </row>
    <row r="156" spans="1:26" s="24" customFormat="1" hidden="1" outlineLevel="2" x14ac:dyDescent="0.3">
      <c r="A156" s="27"/>
      <c r="B156" s="11" t="str">
        <f>CONCATENATE("          ", "6112", " - ", "COMPENSATION INSURANCE")</f>
        <v xml:space="preserve">          6112 - COMPENSATION INSURANCE</v>
      </c>
      <c r="C156" s="11"/>
      <c r="D156" s="6">
        <v>13414.4</v>
      </c>
      <c r="E156" s="2"/>
      <c r="F156" s="7">
        <f t="shared" si="31"/>
        <v>7.4263924534291358E-3</v>
      </c>
      <c r="G156" s="2"/>
      <c r="H156" s="6">
        <v>12807.21</v>
      </c>
      <c r="I156" s="2"/>
      <c r="J156" s="7">
        <f t="shared" si="32"/>
        <v>3.2381772690813153E-2</v>
      </c>
      <c r="K156" s="2"/>
      <c r="L156" s="6">
        <f t="shared" si="33"/>
        <v>607.19000000000051</v>
      </c>
      <c r="M156" s="2"/>
      <c r="N156" s="7">
        <f t="shared" si="34"/>
        <v>4.7410013578289147E-2</v>
      </c>
      <c r="O156" s="11"/>
      <c r="P156" s="6">
        <v>61278.86</v>
      </c>
      <c r="Q156" s="2"/>
      <c r="R156" s="7">
        <f t="shared" si="35"/>
        <v>6.3320247997166179E-3</v>
      </c>
      <c r="S156" s="2"/>
      <c r="T156" s="6">
        <v>44422.99</v>
      </c>
      <c r="U156" s="2"/>
      <c r="V156" s="7">
        <f t="shared" si="36"/>
        <v>9.5340903223473591E-3</v>
      </c>
      <c r="W156" s="2"/>
      <c r="X156" s="6">
        <f t="shared" si="37"/>
        <v>16855.870000000003</v>
      </c>
      <c r="Y156" s="2"/>
      <c r="Z156" s="7">
        <f t="shared" si="38"/>
        <v>0.37944024028999407</v>
      </c>
    </row>
    <row r="157" spans="1:26" s="24" customFormat="1" hidden="1" outlineLevel="2" x14ac:dyDescent="0.3">
      <c r="A157" s="27"/>
      <c r="B157" s="11" t="str">
        <f>CONCATENATE("          ", "6113", " - ", "GROUP INSURANCE")</f>
        <v xml:space="preserve">          6113 - GROUP INSURANCE</v>
      </c>
      <c r="C157" s="11"/>
      <c r="D157" s="6">
        <v>77438.84</v>
      </c>
      <c r="E157" s="2"/>
      <c r="F157" s="7">
        <f t="shared" si="31"/>
        <v>4.2871184471784521E-2</v>
      </c>
      <c r="G157" s="2"/>
      <c r="H157" s="6">
        <v>74141.570000000007</v>
      </c>
      <c r="I157" s="2"/>
      <c r="J157" s="7">
        <f t="shared" si="32"/>
        <v>0.18745967831245153</v>
      </c>
      <c r="K157" s="2"/>
      <c r="L157" s="6">
        <f t="shared" si="33"/>
        <v>3297.2699999999895</v>
      </c>
      <c r="M157" s="2"/>
      <c r="N157" s="7">
        <f t="shared" si="34"/>
        <v>4.4472621769406681E-2</v>
      </c>
      <c r="O157" s="11"/>
      <c r="P157" s="6">
        <v>375481.73</v>
      </c>
      <c r="Q157" s="2"/>
      <c r="R157" s="7">
        <f t="shared" si="35"/>
        <v>3.8799018555509997E-2</v>
      </c>
      <c r="S157" s="2"/>
      <c r="T157" s="6">
        <v>374333.25</v>
      </c>
      <c r="U157" s="2"/>
      <c r="V157" s="7">
        <f t="shared" si="36"/>
        <v>8.0339639816181557E-2</v>
      </c>
      <c r="W157" s="2"/>
      <c r="X157" s="6">
        <f t="shared" si="37"/>
        <v>1148.4799999999814</v>
      </c>
      <c r="Y157" s="2"/>
      <c r="Z157" s="7">
        <f t="shared" si="38"/>
        <v>3.0680683588753641E-3</v>
      </c>
    </row>
    <row r="158" spans="1:26" s="24" customFormat="1" hidden="1" outlineLevel="2" x14ac:dyDescent="0.3">
      <c r="A158" s="27"/>
      <c r="B158" s="11" t="str">
        <f>CONCATENATE("          ", "6114", " - ", "STATE UNEMPLOYMENT INSURANCE")</f>
        <v xml:space="preserve">          6114 - STATE UNEMPLOYMENT INSURANCE</v>
      </c>
      <c r="C158" s="11"/>
      <c r="D158" s="6">
        <v>1296.1199999999999</v>
      </c>
      <c r="E158" s="2"/>
      <c r="F158" s="7">
        <f t="shared" si="31"/>
        <v>7.1754948314785392E-4</v>
      </c>
      <c r="G158" s="2"/>
      <c r="H158" s="6">
        <v>1325.17</v>
      </c>
      <c r="I158" s="2"/>
      <c r="J158" s="7">
        <f t="shared" si="32"/>
        <v>3.3505622002516452E-3</v>
      </c>
      <c r="K158" s="2"/>
      <c r="L158" s="6">
        <f t="shared" si="33"/>
        <v>-29.050000000000182</v>
      </c>
      <c r="M158" s="2"/>
      <c r="N158" s="7">
        <f t="shared" si="34"/>
        <v>-2.1921715704400328E-2</v>
      </c>
      <c r="O158" s="11"/>
      <c r="P158" s="6">
        <v>6180.05</v>
      </c>
      <c r="Q158" s="2"/>
      <c r="R158" s="7">
        <f t="shared" si="35"/>
        <v>6.3859265435892057E-4</v>
      </c>
      <c r="S158" s="2"/>
      <c r="T158" s="6">
        <v>4565.84</v>
      </c>
      <c r="U158" s="2"/>
      <c r="V158" s="7">
        <f t="shared" si="36"/>
        <v>9.7992348010312843E-4</v>
      </c>
      <c r="W158" s="2"/>
      <c r="X158" s="6">
        <f t="shared" si="37"/>
        <v>1614.21</v>
      </c>
      <c r="Y158" s="2"/>
      <c r="Z158" s="7">
        <f t="shared" si="38"/>
        <v>0.35354064093354126</v>
      </c>
    </row>
    <row r="159" spans="1:26" s="24" customFormat="1" hidden="1" outlineLevel="2" x14ac:dyDescent="0.3">
      <c r="A159" s="27"/>
      <c r="B159" s="11" t="str">
        <f>CONCATENATE("          ", "6115", " - ", "P.E.R.S.")</f>
        <v xml:space="preserve">          6115 - P.E.R.S.</v>
      </c>
      <c r="C159" s="11"/>
      <c r="D159" s="6">
        <v>16626.18</v>
      </c>
      <c r="E159" s="2"/>
      <c r="F159" s="7">
        <f t="shared" si="31"/>
        <v>9.2044771053013501E-3</v>
      </c>
      <c r="G159" s="2"/>
      <c r="H159" s="6">
        <v>20058.54</v>
      </c>
      <c r="I159" s="2"/>
      <c r="J159" s="7">
        <f t="shared" si="32"/>
        <v>5.0716048443773733E-2</v>
      </c>
      <c r="K159" s="2"/>
      <c r="L159" s="6">
        <f t="shared" si="33"/>
        <v>-3432.3600000000006</v>
      </c>
      <c r="M159" s="2"/>
      <c r="N159" s="7">
        <f t="shared" si="34"/>
        <v>-0.17111714013083706</v>
      </c>
      <c r="O159" s="11"/>
      <c r="P159" s="6">
        <v>79408.73</v>
      </c>
      <c r="Q159" s="2"/>
      <c r="R159" s="7">
        <f t="shared" si="35"/>
        <v>8.2054079934581192E-3</v>
      </c>
      <c r="S159" s="2"/>
      <c r="T159" s="6">
        <v>81899.02</v>
      </c>
      <c r="U159" s="2"/>
      <c r="V159" s="7">
        <f t="shared" si="36"/>
        <v>1.7577219678183143E-2</v>
      </c>
      <c r="W159" s="2"/>
      <c r="X159" s="6">
        <f t="shared" si="37"/>
        <v>-2490.2900000000081</v>
      </c>
      <c r="Y159" s="2"/>
      <c r="Z159" s="7">
        <f t="shared" si="38"/>
        <v>-3.0406835148943271E-2</v>
      </c>
    </row>
    <row r="160" spans="1:26" s="24" customFormat="1" hidden="1" outlineLevel="2" x14ac:dyDescent="0.3">
      <c r="A160" s="27"/>
      <c r="B160" s="11" t="str">
        <f>CONCATENATE("          ", "6116", " - ", "EDUCATIONAL BENEFITS")</f>
        <v xml:space="preserve">          6116 - EDUCATIONAL BENEFITS</v>
      </c>
      <c r="C160" s="11"/>
      <c r="D160" s="6"/>
      <c r="E160" s="2"/>
      <c r="F160" s="7">
        <f t="shared" si="31"/>
        <v>0</v>
      </c>
      <c r="G160" s="2"/>
      <c r="H160" s="6"/>
      <c r="I160" s="2"/>
      <c r="J160" s="7">
        <f t="shared" si="32"/>
        <v>0</v>
      </c>
      <c r="K160" s="2"/>
      <c r="L160" s="6">
        <f t="shared" si="33"/>
        <v>0</v>
      </c>
      <c r="M160" s="2"/>
      <c r="N160" s="7">
        <f t="shared" si="34"/>
        <v>0</v>
      </c>
      <c r="O160" s="11"/>
      <c r="P160" s="6"/>
      <c r="Q160" s="2"/>
      <c r="R160" s="7">
        <f t="shared" si="35"/>
        <v>0</v>
      </c>
      <c r="S160" s="2"/>
      <c r="T160" s="6">
        <v>0</v>
      </c>
      <c r="U160" s="2"/>
      <c r="V160" s="7">
        <f t="shared" si="36"/>
        <v>0</v>
      </c>
      <c r="W160" s="2"/>
      <c r="X160" s="6">
        <f t="shared" si="37"/>
        <v>0</v>
      </c>
      <c r="Y160" s="2"/>
      <c r="Z160" s="7">
        <f t="shared" si="38"/>
        <v>0</v>
      </c>
    </row>
    <row r="161" spans="1:26" s="24" customFormat="1" hidden="1" outlineLevel="2" x14ac:dyDescent="0.3">
      <c r="A161" s="27"/>
      <c r="B161" s="11" t="str">
        <f>CONCATENATE("          ", "6117", " - ", "RETIREMENT STAFF HOURLY")</f>
        <v xml:space="preserve">          6117 - RETIREMENT STAFF HOURLY</v>
      </c>
      <c r="C161" s="11"/>
      <c r="D161" s="6">
        <v>2512.9899999999998</v>
      </c>
      <c r="E161" s="2"/>
      <c r="F161" s="7">
        <f t="shared" si="31"/>
        <v>1.391225099262202E-3</v>
      </c>
      <c r="G161" s="2"/>
      <c r="H161" s="6">
        <v>1882.82</v>
      </c>
      <c r="I161" s="2"/>
      <c r="J161" s="7">
        <f t="shared" si="32"/>
        <v>4.7605254585281909E-3</v>
      </c>
      <c r="K161" s="2"/>
      <c r="L161" s="6">
        <f t="shared" si="33"/>
        <v>630.16999999999985</v>
      </c>
      <c r="M161" s="2"/>
      <c r="N161" s="7">
        <f t="shared" si="34"/>
        <v>0.33469476636109657</v>
      </c>
      <c r="O161" s="11"/>
      <c r="P161" s="6">
        <v>11071.93</v>
      </c>
      <c r="Q161" s="2"/>
      <c r="R161" s="7">
        <f t="shared" si="35"/>
        <v>1.1440770167840332E-3</v>
      </c>
      <c r="S161" s="2"/>
      <c r="T161" s="6">
        <v>10367.33</v>
      </c>
      <c r="U161" s="2"/>
      <c r="V161" s="7">
        <f t="shared" si="36"/>
        <v>2.22504294784258E-3</v>
      </c>
      <c r="W161" s="2"/>
      <c r="X161" s="6">
        <f t="shared" si="37"/>
        <v>704.60000000000036</v>
      </c>
      <c r="Y161" s="2"/>
      <c r="Z161" s="7">
        <f t="shared" si="38"/>
        <v>6.7963496869492948E-2</v>
      </c>
    </row>
    <row r="162" spans="1:26" s="24" customFormat="1" hidden="1" outlineLevel="2" x14ac:dyDescent="0.3">
      <c r="A162" s="27"/>
      <c r="B162" s="11" t="str">
        <f>CONCATENATE("          ", "6118", " - ", "VACATION")</f>
        <v xml:space="preserve">          6118 - VACATION</v>
      </c>
      <c r="C162" s="11"/>
      <c r="D162" s="6">
        <v>16474.259999999998</v>
      </c>
      <c r="E162" s="2"/>
      <c r="F162" s="7">
        <f t="shared" si="31"/>
        <v>9.1203721478284126E-3</v>
      </c>
      <c r="G162" s="2"/>
      <c r="H162" s="6">
        <v>15245.39</v>
      </c>
      <c r="I162" s="2"/>
      <c r="J162" s="7">
        <f t="shared" si="32"/>
        <v>3.8546471367518452E-2</v>
      </c>
      <c r="K162" s="2"/>
      <c r="L162" s="6">
        <f t="shared" si="33"/>
        <v>1228.869999999999</v>
      </c>
      <c r="M162" s="2"/>
      <c r="N162" s="7">
        <f t="shared" si="34"/>
        <v>8.0606006143496431E-2</v>
      </c>
      <c r="O162" s="11"/>
      <c r="P162" s="6">
        <v>85666.38</v>
      </c>
      <c r="Q162" s="2"/>
      <c r="R162" s="7">
        <f t="shared" si="35"/>
        <v>8.8520191573725048E-3</v>
      </c>
      <c r="S162" s="2"/>
      <c r="T162" s="6">
        <v>81412.100000000006</v>
      </c>
      <c r="U162" s="2"/>
      <c r="V162" s="7">
        <f t="shared" si="36"/>
        <v>1.7472716598589504E-2</v>
      </c>
      <c r="W162" s="2"/>
      <c r="X162" s="6">
        <f t="shared" si="37"/>
        <v>4254.2799999999988</v>
      </c>
      <c r="Y162" s="2"/>
      <c r="Z162" s="7">
        <f t="shared" si="38"/>
        <v>5.2256114263113204E-2</v>
      </c>
    </row>
    <row r="163" spans="1:26" s="24" customFormat="1" hidden="1" outlineLevel="2" x14ac:dyDescent="0.3">
      <c r="A163" s="27"/>
      <c r="B163" s="11" t="str">
        <f>CONCATENATE("          ", "6119", " - ", "SICK LEAVE")</f>
        <v xml:space="preserve">          6119 - SICK LEAVE</v>
      </c>
      <c r="C163" s="11"/>
      <c r="D163" s="6">
        <v>11924.32</v>
      </c>
      <c r="E163" s="2"/>
      <c r="F163" s="7">
        <f t="shared" si="31"/>
        <v>6.6014641027756825E-3</v>
      </c>
      <c r="G163" s="2"/>
      <c r="H163" s="6">
        <v>10091.219999999999</v>
      </c>
      <c r="I163" s="2"/>
      <c r="J163" s="7">
        <f t="shared" si="32"/>
        <v>2.5514658712786589E-2</v>
      </c>
      <c r="K163" s="2"/>
      <c r="L163" s="6">
        <f t="shared" si="33"/>
        <v>1833.1000000000004</v>
      </c>
      <c r="M163" s="2"/>
      <c r="N163" s="7">
        <f t="shared" si="34"/>
        <v>0.18165296168352296</v>
      </c>
      <c r="O163" s="11"/>
      <c r="P163" s="6">
        <v>60797.46</v>
      </c>
      <c r="Q163" s="2"/>
      <c r="R163" s="7">
        <f t="shared" si="35"/>
        <v>6.2822811077062968E-3</v>
      </c>
      <c r="S163" s="2"/>
      <c r="T163" s="6">
        <v>55306.81</v>
      </c>
      <c r="U163" s="2"/>
      <c r="V163" s="7">
        <f t="shared" si="36"/>
        <v>1.1869982681960493E-2</v>
      </c>
      <c r="W163" s="2"/>
      <c r="X163" s="6">
        <f t="shared" si="37"/>
        <v>5490.6500000000015</v>
      </c>
      <c r="Y163" s="2"/>
      <c r="Z163" s="7">
        <f t="shared" si="38"/>
        <v>9.9276201248996318E-2</v>
      </c>
    </row>
    <row r="164" spans="1:26" s="24" customFormat="1" hidden="1" outlineLevel="2" x14ac:dyDescent="0.3">
      <c r="A164" s="27"/>
      <c r="B164" s="11" t="str">
        <f>CONCATENATE("          ", "6156", " - ", "EMPLOYEE MEALS")</f>
        <v xml:space="preserve">          6156 - EMPLOYEE MEALS</v>
      </c>
      <c r="C164" s="11"/>
      <c r="D164" s="6">
        <v>9095.25</v>
      </c>
      <c r="E164" s="2"/>
      <c r="F164" s="7">
        <f t="shared" si="31"/>
        <v>5.0352528597664712E-3</v>
      </c>
      <c r="G164" s="2"/>
      <c r="H164" s="6">
        <v>5177.55</v>
      </c>
      <c r="I164" s="2"/>
      <c r="J164" s="7">
        <f t="shared" si="32"/>
        <v>1.3090926688585545E-2</v>
      </c>
      <c r="K164" s="2"/>
      <c r="L164" s="6">
        <f t="shared" si="33"/>
        <v>3917.7</v>
      </c>
      <c r="M164" s="2"/>
      <c r="N164" s="7">
        <f t="shared" si="34"/>
        <v>0.75667062606831414</v>
      </c>
      <c r="O164" s="11"/>
      <c r="P164" s="6">
        <v>38319.120000000003</v>
      </c>
      <c r="Q164" s="2"/>
      <c r="R164" s="7">
        <f t="shared" si="35"/>
        <v>3.9595648180027676E-3</v>
      </c>
      <c r="S164" s="2"/>
      <c r="T164" s="6">
        <v>25553.05</v>
      </c>
      <c r="U164" s="2"/>
      <c r="V164" s="7">
        <f t="shared" si="36"/>
        <v>5.4842118171572465E-3</v>
      </c>
      <c r="W164" s="2"/>
      <c r="X164" s="6">
        <f t="shared" si="37"/>
        <v>12766.070000000003</v>
      </c>
      <c r="Y164" s="2"/>
      <c r="Z164" s="7">
        <f t="shared" si="38"/>
        <v>0.49959085118997554</v>
      </c>
    </row>
    <row r="165" spans="1:26" s="29" customFormat="1" outlineLevel="1" collapsed="1" x14ac:dyDescent="0.3">
      <c r="A165" s="28"/>
      <c r="B165" s="14" t="str">
        <f>CONCATENATE("     ","*Payroll                                          ")</f>
        <v xml:space="preserve">     *Payroll                                          </v>
      </c>
      <c r="C165" s="14"/>
      <c r="D165" s="1">
        <f>SUM(OSRRefD22_1x_0)</f>
        <v>445852.24</v>
      </c>
      <c r="E165" s="1"/>
      <c r="F165" s="5">
        <f t="shared" ref="F165:F172" si="39">IF(D$12=0,0,D165/D$12)</f>
        <v>0.24682980308328928</v>
      </c>
      <c r="G165" s="1"/>
      <c r="H165" s="1">
        <f>SUM(OSRRefH22_1x_0)</f>
        <v>249775.16999999998</v>
      </c>
      <c r="I165" s="1"/>
      <c r="J165" s="5">
        <f t="shared" ref="J165:J172" si="40">IF(H$12=0,0,H165/H$12)</f>
        <v>0.63153198696275092</v>
      </c>
      <c r="K165" s="1"/>
      <c r="L165" s="1">
        <f t="shared" ref="L165:L172" si="41">+D165-H165</f>
        <v>196077.07</v>
      </c>
      <c r="M165" s="1"/>
      <c r="N165" s="5">
        <f t="shared" ref="N165:N172" si="42">IF(H165=0,0,L165/H165)</f>
        <v>0.78501425902342503</v>
      </c>
      <c r="O165" s="14"/>
      <c r="P165" s="1">
        <f>SUM(OSRRefP22_1x_0)</f>
        <v>2369844.89</v>
      </c>
      <c r="Q165" s="1"/>
      <c r="R165" s="5">
        <f t="shared" ref="R165:R172" si="43">IF(P$12=0,0,P165/P$12)</f>
        <v>0.24487917391024738</v>
      </c>
      <c r="S165" s="1"/>
      <c r="T165" s="1">
        <f>SUM(OSRRefT22_1x_0)</f>
        <v>1466929.03</v>
      </c>
      <c r="U165" s="1"/>
      <c r="V165" s="5">
        <f t="shared" ref="V165:V172" si="44">IF(T$12=0,0,T165/T$12)</f>
        <v>0.31483323991684037</v>
      </c>
      <c r="W165" s="1"/>
      <c r="X165" s="1">
        <f t="shared" ref="X165:X172" si="45">+P165-T165</f>
        <v>902915.8600000001</v>
      </c>
      <c r="Y165" s="1"/>
      <c r="Z165" s="5">
        <f t="shared" ref="Z165:Z172" si="46">IF(T165=0,0,X165/T165)</f>
        <v>0.61551434427608276</v>
      </c>
    </row>
    <row r="166" spans="1:26" s="24" customFormat="1" hidden="1" outlineLevel="2" x14ac:dyDescent="0.3">
      <c r="A166" s="27"/>
      <c r="B166" s="11" t="str">
        <f>CONCATENATE("          ", "6001", " - ", "ADMINISTRATIVE SALARIES")</f>
        <v xml:space="preserve">          6001 - ADMINISTRATIVE SALARIES</v>
      </c>
      <c r="C166" s="11"/>
      <c r="D166" s="6">
        <v>25514.75</v>
      </c>
      <c r="E166" s="2"/>
      <c r="F166" s="7">
        <f t="shared" si="39"/>
        <v>1.4125309134298296E-2</v>
      </c>
      <c r="G166" s="2"/>
      <c r="H166" s="6">
        <v>26464.799999999999</v>
      </c>
      <c r="I166" s="2"/>
      <c r="J166" s="7">
        <f t="shared" si="40"/>
        <v>6.6913647695933151E-2</v>
      </c>
      <c r="K166" s="2"/>
      <c r="L166" s="6">
        <f t="shared" si="41"/>
        <v>-950.04999999999927</v>
      </c>
      <c r="M166" s="2"/>
      <c r="N166" s="7">
        <f t="shared" si="42"/>
        <v>-3.5898627611015359E-2</v>
      </c>
      <c r="O166" s="11"/>
      <c r="P166" s="6">
        <v>147180.53</v>
      </c>
      <c r="Q166" s="2"/>
      <c r="R166" s="7">
        <f t="shared" si="43"/>
        <v>1.5208356780714192E-2</v>
      </c>
      <c r="S166" s="2"/>
      <c r="T166" s="6">
        <v>142077.74</v>
      </c>
      <c r="U166" s="2"/>
      <c r="V166" s="7">
        <f t="shared" si="44"/>
        <v>3.0492814778000858E-2</v>
      </c>
      <c r="W166" s="2"/>
      <c r="X166" s="6">
        <f t="shared" si="45"/>
        <v>5102.7900000000081</v>
      </c>
      <c r="Y166" s="2"/>
      <c r="Z166" s="7">
        <f t="shared" si="46"/>
        <v>3.5915478385284062E-2</v>
      </c>
    </row>
    <row r="167" spans="1:26" s="24" customFormat="1" hidden="1" outlineLevel="2" x14ac:dyDescent="0.3">
      <c r="A167" s="27"/>
      <c r="B167" s="11" t="str">
        <f>CONCATENATE("          ", "6002", " - ", "STAFF SALARIES")</f>
        <v xml:space="preserve">          6002 - STAFF SALARIES</v>
      </c>
      <c r="C167" s="11"/>
      <c r="D167" s="6">
        <v>98872.4</v>
      </c>
      <c r="E167" s="2"/>
      <c r="F167" s="7">
        <f t="shared" si="39"/>
        <v>5.473709187234814E-2</v>
      </c>
      <c r="G167" s="2"/>
      <c r="H167" s="6">
        <v>92211.93</v>
      </c>
      <c r="I167" s="2"/>
      <c r="J167" s="7">
        <f t="shared" si="40"/>
        <v>0.23314880888508693</v>
      </c>
      <c r="K167" s="2"/>
      <c r="L167" s="6">
        <f t="shared" si="41"/>
        <v>6660.4700000000012</v>
      </c>
      <c r="M167" s="2"/>
      <c r="N167" s="7">
        <f t="shared" si="42"/>
        <v>7.2230024900248824E-2</v>
      </c>
      <c r="O167" s="11"/>
      <c r="P167" s="6">
        <v>610963.42000000004</v>
      </c>
      <c r="Q167" s="2"/>
      <c r="R167" s="7">
        <f t="shared" si="43"/>
        <v>6.3131649759144995E-2</v>
      </c>
      <c r="S167" s="2"/>
      <c r="T167" s="6">
        <v>563111.29</v>
      </c>
      <c r="U167" s="2"/>
      <c r="V167" s="7">
        <f t="shared" si="44"/>
        <v>0.120855302634819</v>
      </c>
      <c r="W167" s="2"/>
      <c r="X167" s="6">
        <f t="shared" si="45"/>
        <v>47852.130000000005</v>
      </c>
      <c r="Y167" s="2"/>
      <c r="Z167" s="7">
        <f t="shared" si="46"/>
        <v>8.4978104416979464E-2</v>
      </c>
    </row>
    <row r="168" spans="1:26" s="24" customFormat="1" hidden="1" outlineLevel="2" x14ac:dyDescent="0.3">
      <c r="A168" s="27"/>
      <c r="B168" s="11" t="str">
        <f>CONCATENATE("          ", "6004", " - ", "STAFF HOURLY")</f>
        <v xml:space="preserve">          6004 - STAFF HOURLY</v>
      </c>
      <c r="C168" s="11"/>
      <c r="D168" s="6">
        <v>117919.18</v>
      </c>
      <c r="E168" s="2"/>
      <c r="F168" s="7">
        <f t="shared" si="39"/>
        <v>6.5281645728959323E-2</v>
      </c>
      <c r="G168" s="2"/>
      <c r="H168" s="6">
        <v>65600.259999999995</v>
      </c>
      <c r="I168" s="2"/>
      <c r="J168" s="7">
        <f t="shared" si="40"/>
        <v>0.16586381481823462</v>
      </c>
      <c r="K168" s="2"/>
      <c r="L168" s="6">
        <f t="shared" si="41"/>
        <v>52318.92</v>
      </c>
      <c r="M168" s="2"/>
      <c r="N168" s="7">
        <f t="shared" si="42"/>
        <v>0.79754135120805925</v>
      </c>
      <c r="O168" s="11"/>
      <c r="P168" s="6">
        <v>573463.98</v>
      </c>
      <c r="Q168" s="2"/>
      <c r="R168" s="7">
        <f t="shared" si="43"/>
        <v>5.925678354826109E-2</v>
      </c>
      <c r="S168" s="2"/>
      <c r="T168" s="6">
        <v>350292.69</v>
      </c>
      <c r="U168" s="2"/>
      <c r="V168" s="7">
        <f t="shared" si="44"/>
        <v>7.5180039563253712E-2</v>
      </c>
      <c r="W168" s="2"/>
      <c r="X168" s="6">
        <f t="shared" si="45"/>
        <v>223171.28999999998</v>
      </c>
      <c r="Y168" s="2"/>
      <c r="Z168" s="7">
        <f t="shared" si="46"/>
        <v>0.63709947815354062</v>
      </c>
    </row>
    <row r="169" spans="1:26" s="24" customFormat="1" hidden="1" outlineLevel="2" x14ac:dyDescent="0.3">
      <c r="A169" s="27"/>
      <c r="B169" s="11" t="str">
        <f>CONCATENATE("          ", "6005", " - ", "TEMPORARY WAGES-HOURLY")</f>
        <v xml:space="preserve">          6005 - TEMPORARY WAGES-HOURLY</v>
      </c>
      <c r="C169" s="11"/>
      <c r="D169" s="6">
        <v>49252.480000000003</v>
      </c>
      <c r="E169" s="2"/>
      <c r="F169" s="7">
        <f t="shared" si="39"/>
        <v>2.7266836070541318E-2</v>
      </c>
      <c r="G169" s="2"/>
      <c r="H169" s="6">
        <v>24886.17</v>
      </c>
      <c r="I169" s="2"/>
      <c r="J169" s="7">
        <f t="shared" si="40"/>
        <v>6.2922236777950363E-2</v>
      </c>
      <c r="K169" s="2"/>
      <c r="L169" s="6">
        <f t="shared" si="41"/>
        <v>24366.310000000005</v>
      </c>
      <c r="M169" s="2"/>
      <c r="N169" s="7">
        <f t="shared" si="42"/>
        <v>0.97911048586423732</v>
      </c>
      <c r="O169" s="11"/>
      <c r="P169" s="6">
        <v>350011.5</v>
      </c>
      <c r="Q169" s="2"/>
      <c r="R169" s="7">
        <f t="shared" si="43"/>
        <v>3.6167146356606714E-2</v>
      </c>
      <c r="S169" s="2"/>
      <c r="T169" s="6">
        <v>176590.79</v>
      </c>
      <c r="U169" s="2"/>
      <c r="V169" s="7">
        <f t="shared" si="44"/>
        <v>3.7900027484747766E-2</v>
      </c>
      <c r="W169" s="2"/>
      <c r="X169" s="6">
        <f t="shared" si="45"/>
        <v>173420.71</v>
      </c>
      <c r="Y169" s="2"/>
      <c r="Z169" s="7">
        <f t="shared" si="46"/>
        <v>0.98204844091812482</v>
      </c>
    </row>
    <row r="170" spans="1:26" s="24" customFormat="1" hidden="1" outlineLevel="2" x14ac:dyDescent="0.3">
      <c r="A170" s="27"/>
      <c r="B170" s="11" t="str">
        <f>CONCATENATE("          ", "6006", " - ", "TEMPORARY PART TIME")</f>
        <v xml:space="preserve">          6006 - TEMPORARY PART TIME</v>
      </c>
      <c r="C170" s="11"/>
      <c r="D170" s="6"/>
      <c r="E170" s="2"/>
      <c r="F170" s="7">
        <f t="shared" si="39"/>
        <v>0</v>
      </c>
      <c r="G170" s="2"/>
      <c r="H170" s="6">
        <v>1048.44</v>
      </c>
      <c r="I170" s="2"/>
      <c r="J170" s="7">
        <f t="shared" si="40"/>
        <v>2.6508775728637346E-3</v>
      </c>
      <c r="K170" s="2"/>
      <c r="L170" s="6">
        <f t="shared" si="41"/>
        <v>-1048.44</v>
      </c>
      <c r="M170" s="2"/>
      <c r="N170" s="7">
        <f t="shared" si="42"/>
        <v>-1</v>
      </c>
      <c r="O170" s="11"/>
      <c r="P170" s="6">
        <v>9877.6200000000008</v>
      </c>
      <c r="Q170" s="2"/>
      <c r="R170" s="7">
        <f t="shared" si="43"/>
        <v>1.0206674014852245E-3</v>
      </c>
      <c r="S170" s="2"/>
      <c r="T170" s="6">
        <v>8555.61</v>
      </c>
      <c r="U170" s="2"/>
      <c r="V170" s="7">
        <f t="shared" si="44"/>
        <v>1.8362104510024719E-3</v>
      </c>
      <c r="W170" s="2"/>
      <c r="X170" s="6">
        <f t="shared" si="45"/>
        <v>1322.0100000000002</v>
      </c>
      <c r="Y170" s="2"/>
      <c r="Z170" s="7">
        <f t="shared" si="46"/>
        <v>0.15451966604368364</v>
      </c>
    </row>
    <row r="171" spans="1:26" s="24" customFormat="1" hidden="1" outlineLevel="2" x14ac:dyDescent="0.3">
      <c r="A171" s="27"/>
      <c r="B171" s="11" t="str">
        <f>CONCATENATE("          ", "6007", " - ", "STUDENT HOURLY")</f>
        <v xml:space="preserve">          6007 - STUDENT HOURLY</v>
      </c>
      <c r="C171" s="11"/>
      <c r="D171" s="6">
        <v>120094.13</v>
      </c>
      <c r="E171" s="2"/>
      <c r="F171" s="7">
        <f t="shared" si="39"/>
        <v>6.6485727332801892E-2</v>
      </c>
      <c r="G171" s="2"/>
      <c r="H171" s="6">
        <v>36356.57</v>
      </c>
      <c r="I171" s="2"/>
      <c r="J171" s="7">
        <f t="shared" si="40"/>
        <v>9.1924016671674547E-2</v>
      </c>
      <c r="K171" s="2"/>
      <c r="L171" s="6">
        <f t="shared" si="41"/>
        <v>83737.56</v>
      </c>
      <c r="M171" s="2"/>
      <c r="N171" s="7">
        <f t="shared" si="42"/>
        <v>2.3032304752621053</v>
      </c>
      <c r="O171" s="11"/>
      <c r="P171" s="6">
        <v>578068</v>
      </c>
      <c r="Q171" s="2"/>
      <c r="R171" s="7">
        <f t="shared" si="43"/>
        <v>5.9732522960162543E-2</v>
      </c>
      <c r="S171" s="2"/>
      <c r="T171" s="6">
        <v>210549.69</v>
      </c>
      <c r="U171" s="2"/>
      <c r="V171" s="7">
        <f t="shared" si="44"/>
        <v>4.5188308166610056E-2</v>
      </c>
      <c r="W171" s="2"/>
      <c r="X171" s="6">
        <f t="shared" si="45"/>
        <v>367518.31</v>
      </c>
      <c r="Y171" s="2"/>
      <c r="Z171" s="7">
        <f t="shared" si="46"/>
        <v>1.7455181719811603</v>
      </c>
    </row>
    <row r="172" spans="1:26" s="24" customFormat="1" hidden="1" outlineLevel="2" x14ac:dyDescent="0.3">
      <c r="A172" s="27"/>
      <c r="B172" s="11" t="str">
        <f>CONCATENATE("          ", "6008", " - ", "STUDENT HOURLY-FICA EXEMPT")</f>
        <v xml:space="preserve">          6008 - STUDENT HOURLY-FICA EXEMPT</v>
      </c>
      <c r="C172" s="11"/>
      <c r="D172" s="6">
        <v>34199.300000000003</v>
      </c>
      <c r="E172" s="2"/>
      <c r="F172" s="7">
        <f t="shared" si="39"/>
        <v>1.893319294434034E-2</v>
      </c>
      <c r="G172" s="2"/>
      <c r="H172" s="6">
        <v>3207</v>
      </c>
      <c r="I172" s="2"/>
      <c r="J172" s="7">
        <f t="shared" si="40"/>
        <v>8.108584541007588E-3</v>
      </c>
      <c r="K172" s="2"/>
      <c r="L172" s="6">
        <f t="shared" si="41"/>
        <v>30992.300000000003</v>
      </c>
      <c r="M172" s="2"/>
      <c r="N172" s="7">
        <f t="shared" si="42"/>
        <v>9.6639538509510459</v>
      </c>
      <c r="O172" s="11"/>
      <c r="P172" s="6">
        <v>100279.84</v>
      </c>
      <c r="Q172" s="2"/>
      <c r="R172" s="7">
        <f t="shared" si="43"/>
        <v>1.0362047103872599E-2</v>
      </c>
      <c r="S172" s="2"/>
      <c r="T172" s="6">
        <v>15751.22</v>
      </c>
      <c r="U172" s="2"/>
      <c r="V172" s="7">
        <f t="shared" si="44"/>
        <v>3.3805368384065139E-3</v>
      </c>
      <c r="W172" s="2"/>
      <c r="X172" s="6">
        <f t="shared" si="45"/>
        <v>84528.62</v>
      </c>
      <c r="Y172" s="2"/>
      <c r="Z172" s="7">
        <f t="shared" si="46"/>
        <v>5.3664808186286521</v>
      </c>
    </row>
    <row r="173" spans="1:26" s="29" customFormat="1" outlineLevel="1" collapsed="1" x14ac:dyDescent="0.3">
      <c r="A173" s="28"/>
      <c r="B173" s="14" t="str">
        <f>CONCATENATE("     ","Advertising/Promo                                 ")</f>
        <v xml:space="preserve">     Advertising/Promo                                 </v>
      </c>
      <c r="C173" s="14"/>
      <c r="D173" s="1">
        <f>SUM(OSRRefD22_2x_0)</f>
        <v>1962.6</v>
      </c>
      <c r="E173" s="1"/>
      <c r="F173" s="5">
        <f t="shared" ref="F173:F181" si="47">IF(D$12=0,0,D173/D$12)</f>
        <v>1.086521784731335E-3</v>
      </c>
      <c r="G173" s="1"/>
      <c r="H173" s="1">
        <f>SUM(OSRRefH22_2x_0)</f>
        <v>664.68</v>
      </c>
      <c r="I173" s="1"/>
      <c r="J173" s="5">
        <f t="shared" ref="J173:J181" si="48">IF(H$12=0,0,H173/H$12)</f>
        <v>1.6805781018761844E-3</v>
      </c>
      <c r="K173" s="1"/>
      <c r="L173" s="1">
        <f t="shared" ref="L173:L181" si="49">+D173-H173</f>
        <v>1297.92</v>
      </c>
      <c r="M173" s="1"/>
      <c r="N173" s="5">
        <f t="shared" ref="N173:N181" si="50">IF(H173=0,0,L173/H173)</f>
        <v>1.9526990431485831</v>
      </c>
      <c r="O173" s="14"/>
      <c r="P173" s="1">
        <f>SUM(OSRRefP22_2x_0)</f>
        <v>9017.7099999999991</v>
      </c>
      <c r="Q173" s="1"/>
      <c r="R173" s="5">
        <f t="shared" ref="R173:R181" si="51">IF(P$12=0,0,P173/P$12)</f>
        <v>9.318117758171829E-4</v>
      </c>
      <c r="S173" s="1"/>
      <c r="T173" s="1">
        <f>SUM(OSRRefT22_2x_0)</f>
        <v>16162.94</v>
      </c>
      <c r="U173" s="1"/>
      <c r="V173" s="5">
        <f t="shared" ref="V173:V181" si="52">IF(T$12=0,0,T173/T$12)</f>
        <v>3.4689004462482385E-3</v>
      </c>
      <c r="W173" s="1"/>
      <c r="X173" s="1">
        <f t="shared" ref="X173:X181" si="53">+P173-T173</f>
        <v>-7145.2300000000014</v>
      </c>
      <c r="Y173" s="1"/>
      <c r="Z173" s="5">
        <f t="shared" ref="Z173:Z181" si="54">IF(T173=0,0,X173/T173)</f>
        <v>-0.44207489479018058</v>
      </c>
    </row>
    <row r="174" spans="1:26" s="24" customFormat="1" hidden="1" outlineLevel="2" x14ac:dyDescent="0.3">
      <c r="A174" s="27"/>
      <c r="B174" s="11" t="str">
        <f>CONCATENATE("          ", "6362", " - ", "ADVERTISING EXPENSE")</f>
        <v xml:space="preserve">          6362 - ADVERTISING EXPENSE</v>
      </c>
      <c r="C174" s="11"/>
      <c r="D174" s="6">
        <v>1962.6</v>
      </c>
      <c r="E174" s="2"/>
      <c r="F174" s="7">
        <f t="shared" si="47"/>
        <v>1.086521784731335E-3</v>
      </c>
      <c r="G174" s="2"/>
      <c r="H174" s="6">
        <v>664.68</v>
      </c>
      <c r="I174" s="2"/>
      <c r="J174" s="7">
        <f t="shared" si="48"/>
        <v>1.6805781018761844E-3</v>
      </c>
      <c r="K174" s="2"/>
      <c r="L174" s="6">
        <f t="shared" si="49"/>
        <v>1297.92</v>
      </c>
      <c r="M174" s="2"/>
      <c r="N174" s="7">
        <f t="shared" si="50"/>
        <v>1.9526990431485831</v>
      </c>
      <c r="O174" s="11"/>
      <c r="P174" s="6">
        <v>9017.7099999999991</v>
      </c>
      <c r="Q174" s="2"/>
      <c r="R174" s="7">
        <f t="shared" si="51"/>
        <v>9.318117758171829E-4</v>
      </c>
      <c r="S174" s="2"/>
      <c r="T174" s="6">
        <v>16162.94</v>
      </c>
      <c r="U174" s="2"/>
      <c r="V174" s="7">
        <f t="shared" si="52"/>
        <v>3.4689004462482385E-3</v>
      </c>
      <c r="W174" s="2"/>
      <c r="X174" s="6">
        <f t="shared" si="53"/>
        <v>-7145.2300000000014</v>
      </c>
      <c r="Y174" s="2"/>
      <c r="Z174" s="7">
        <f t="shared" si="54"/>
        <v>-0.44207489479018058</v>
      </c>
    </row>
    <row r="175" spans="1:26" s="29" customFormat="1" outlineLevel="1" collapsed="1" x14ac:dyDescent="0.3">
      <c r="A175" s="28"/>
      <c r="B175" s="14" t="str">
        <f>CONCATENATE("     ","Bad Debts/Over/Short                              ")</f>
        <v xml:space="preserve">     Bad Debts/Over/Short                              </v>
      </c>
      <c r="C175" s="14"/>
      <c r="D175" s="1">
        <f>SUM(OSRRefD22_3x_0)</f>
        <v>-42.52</v>
      </c>
      <c r="E175" s="1"/>
      <c r="F175" s="5">
        <f t="shared" si="47"/>
        <v>-2.353964449545316E-5</v>
      </c>
      <c r="G175" s="1"/>
      <c r="H175" s="1">
        <f>SUM(OSRRefH22_3x_0)</f>
        <v>-1330.49</v>
      </c>
      <c r="I175" s="1"/>
      <c r="J175" s="5">
        <f t="shared" si="48"/>
        <v>-3.3640132977752375E-3</v>
      </c>
      <c r="K175" s="1"/>
      <c r="L175" s="1">
        <f t="shared" si="49"/>
        <v>1287.97</v>
      </c>
      <c r="M175" s="1"/>
      <c r="N175" s="5">
        <f t="shared" si="50"/>
        <v>-0.96804184924351178</v>
      </c>
      <c r="O175" s="14"/>
      <c r="P175" s="1">
        <f>SUM(OSRRefP22_3x_0)</f>
        <v>56.15</v>
      </c>
      <c r="Q175" s="1"/>
      <c r="R175" s="5">
        <f t="shared" si="51"/>
        <v>5.8020529837547251E-6</v>
      </c>
      <c r="S175" s="1"/>
      <c r="T175" s="1">
        <f>SUM(OSRRefT22_3x_0)</f>
        <v>131.4</v>
      </c>
      <c r="U175" s="1"/>
      <c r="V175" s="5">
        <f t="shared" si="52"/>
        <v>2.8201151438848288E-5</v>
      </c>
      <c r="W175" s="1"/>
      <c r="X175" s="1">
        <f t="shared" si="53"/>
        <v>-75.25</v>
      </c>
      <c r="Y175" s="1"/>
      <c r="Z175" s="5">
        <f t="shared" si="54"/>
        <v>-0.57267884322678841</v>
      </c>
    </row>
    <row r="176" spans="1:26" s="24" customFormat="1" hidden="1" outlineLevel="2" x14ac:dyDescent="0.3">
      <c r="A176" s="27"/>
      <c r="B176" s="11" t="str">
        <f>CONCATENATE("          ", "6272", " - ", "CASH (OVER/SHORT)")</f>
        <v xml:space="preserve">          6272 - CASH (OVER/SHORT)</v>
      </c>
      <c r="C176" s="11"/>
      <c r="D176" s="6">
        <v>-42.52</v>
      </c>
      <c r="E176" s="2"/>
      <c r="F176" s="7">
        <f t="shared" si="47"/>
        <v>-2.353964449545316E-5</v>
      </c>
      <c r="G176" s="2"/>
      <c r="H176" s="6">
        <v>-1330.49</v>
      </c>
      <c r="I176" s="2"/>
      <c r="J176" s="7">
        <f t="shared" si="48"/>
        <v>-3.3640132977752375E-3</v>
      </c>
      <c r="K176" s="2"/>
      <c r="L176" s="6">
        <f t="shared" si="49"/>
        <v>1287.97</v>
      </c>
      <c r="M176" s="2"/>
      <c r="N176" s="7">
        <f t="shared" si="50"/>
        <v>-0.96804184924351178</v>
      </c>
      <c r="O176" s="11"/>
      <c r="P176" s="6">
        <v>56.15</v>
      </c>
      <c r="Q176" s="2"/>
      <c r="R176" s="7">
        <f t="shared" si="51"/>
        <v>5.8020529837547251E-6</v>
      </c>
      <c r="S176" s="2"/>
      <c r="T176" s="6">
        <v>131.4</v>
      </c>
      <c r="U176" s="2"/>
      <c r="V176" s="7">
        <f t="shared" si="52"/>
        <v>2.8201151438848288E-5</v>
      </c>
      <c r="W176" s="2"/>
      <c r="X176" s="6">
        <f t="shared" si="53"/>
        <v>-75.25</v>
      </c>
      <c r="Y176" s="2"/>
      <c r="Z176" s="7">
        <f t="shared" si="54"/>
        <v>-0.57267884322678841</v>
      </c>
    </row>
    <row r="177" spans="1:26" s="29" customFormat="1" outlineLevel="1" collapsed="1" x14ac:dyDescent="0.3">
      <c r="A177" s="28"/>
      <c r="B177" s="14" t="str">
        <f>CONCATENATE("     ","Bank/card Fees                                    ")</f>
        <v xml:space="preserve">     Bank/card Fees                                    </v>
      </c>
      <c r="C177" s="14"/>
      <c r="D177" s="1">
        <f>SUM(OSRRefD22_4x_0)</f>
        <v>13300.69</v>
      </c>
      <c r="E177" s="1"/>
      <c r="F177" s="5">
        <f t="shared" si="47"/>
        <v>7.3634410664211872E-3</v>
      </c>
      <c r="G177" s="1"/>
      <c r="H177" s="1">
        <f>SUM(OSRRefH22_4x_0)</f>
        <v>3459.98</v>
      </c>
      <c r="I177" s="1"/>
      <c r="J177" s="5">
        <f t="shared" si="48"/>
        <v>8.7482196258794626E-3</v>
      </c>
      <c r="K177" s="1"/>
      <c r="L177" s="1">
        <f t="shared" si="49"/>
        <v>9840.7100000000009</v>
      </c>
      <c r="M177" s="1"/>
      <c r="N177" s="5">
        <f t="shared" si="50"/>
        <v>2.8441522783368693</v>
      </c>
      <c r="O177" s="14"/>
      <c r="P177" s="1">
        <f>SUM(OSRRefP22_4x_0)</f>
        <v>82428.91</v>
      </c>
      <c r="Q177" s="1"/>
      <c r="R177" s="5">
        <f t="shared" si="51"/>
        <v>8.5174871453811175E-3</v>
      </c>
      <c r="S177" s="1"/>
      <c r="T177" s="1">
        <f>SUM(OSRRefT22_4x_0)</f>
        <v>45421.25</v>
      </c>
      <c r="U177" s="1"/>
      <c r="V177" s="5">
        <f t="shared" si="52"/>
        <v>9.7483375174413078E-3</v>
      </c>
      <c r="W177" s="1"/>
      <c r="X177" s="1">
        <f t="shared" si="53"/>
        <v>37007.660000000003</v>
      </c>
      <c r="Y177" s="1"/>
      <c r="Z177" s="5">
        <f t="shared" si="54"/>
        <v>0.8147653356083332</v>
      </c>
    </row>
    <row r="178" spans="1:26" s="24" customFormat="1" hidden="1" outlineLevel="2" x14ac:dyDescent="0.3">
      <c r="A178" s="27"/>
      <c r="B178" s="11" t="str">
        <f>CONCATENATE("          ", "6381", " - ", "BANK/CREDIT CARD FEES")</f>
        <v xml:space="preserve">          6381 - BANK/CREDIT CARD FEES</v>
      </c>
      <c r="C178" s="11"/>
      <c r="D178" s="6">
        <v>13300.69</v>
      </c>
      <c r="E178" s="2"/>
      <c r="F178" s="7">
        <f t="shared" si="47"/>
        <v>7.3634410664211872E-3</v>
      </c>
      <c r="G178" s="2"/>
      <c r="H178" s="6">
        <v>3459.98</v>
      </c>
      <c r="I178" s="2"/>
      <c r="J178" s="7">
        <f t="shared" si="48"/>
        <v>8.7482196258794626E-3</v>
      </c>
      <c r="K178" s="2"/>
      <c r="L178" s="6">
        <f t="shared" si="49"/>
        <v>9840.7100000000009</v>
      </c>
      <c r="M178" s="2"/>
      <c r="N178" s="7">
        <f t="shared" si="50"/>
        <v>2.8441522783368693</v>
      </c>
      <c r="O178" s="11"/>
      <c r="P178" s="6">
        <v>82428.91</v>
      </c>
      <c r="Q178" s="2"/>
      <c r="R178" s="7">
        <f t="shared" si="51"/>
        <v>8.5174871453811175E-3</v>
      </c>
      <c r="S178" s="2"/>
      <c r="T178" s="6">
        <v>45421.25</v>
      </c>
      <c r="U178" s="2"/>
      <c r="V178" s="7">
        <f t="shared" si="52"/>
        <v>9.7483375174413078E-3</v>
      </c>
      <c r="W178" s="2"/>
      <c r="X178" s="6">
        <f t="shared" si="53"/>
        <v>37007.660000000003</v>
      </c>
      <c r="Y178" s="2"/>
      <c r="Z178" s="7">
        <f t="shared" si="54"/>
        <v>0.8147653356083332</v>
      </c>
    </row>
    <row r="179" spans="1:26" s="29" customFormat="1" outlineLevel="1" collapsed="1" x14ac:dyDescent="0.3">
      <c r="A179" s="28"/>
      <c r="B179" s="14" t="str">
        <f>CONCATENATE("     ","Depreciation                                      ")</f>
        <v xml:space="preserve">     Depreciation                                      </v>
      </c>
      <c r="C179" s="14"/>
      <c r="D179" s="1">
        <f>SUM(OSRRefD22_5x_0)</f>
        <v>70762.12</v>
      </c>
      <c r="E179" s="1"/>
      <c r="F179" s="5">
        <f t="shared" si="47"/>
        <v>3.9174862383457097E-2</v>
      </c>
      <c r="G179" s="1"/>
      <c r="H179" s="1">
        <f>SUM(OSRRefH22_5x_0)</f>
        <v>77647.64</v>
      </c>
      <c r="I179" s="1"/>
      <c r="J179" s="5">
        <f t="shared" si="48"/>
        <v>0.19632443197683894</v>
      </c>
      <c r="K179" s="1"/>
      <c r="L179" s="1">
        <f t="shared" si="49"/>
        <v>-6885.5200000000041</v>
      </c>
      <c r="M179" s="1"/>
      <c r="N179" s="5">
        <f t="shared" si="50"/>
        <v>-8.8676487785076322E-2</v>
      </c>
      <c r="O179" s="14"/>
      <c r="P179" s="1">
        <f>SUM(OSRRefP22_5x_0)</f>
        <v>356648.6</v>
      </c>
      <c r="Q179" s="1"/>
      <c r="R179" s="5">
        <f t="shared" si="51"/>
        <v>3.6852966585609E-2</v>
      </c>
      <c r="S179" s="1"/>
      <c r="T179" s="1">
        <f>SUM(OSRRefT22_5x_0)</f>
        <v>391010.05000000005</v>
      </c>
      <c r="U179" s="1"/>
      <c r="V179" s="5">
        <f t="shared" si="52"/>
        <v>8.391882522193031E-2</v>
      </c>
      <c r="W179" s="1"/>
      <c r="X179" s="1">
        <f t="shared" si="53"/>
        <v>-34361.45000000007</v>
      </c>
      <c r="Y179" s="1"/>
      <c r="Z179" s="5">
        <f t="shared" si="54"/>
        <v>-8.7878687517111295E-2</v>
      </c>
    </row>
    <row r="180" spans="1:26" s="24" customFormat="1" hidden="1" outlineLevel="2" x14ac:dyDescent="0.3">
      <c r="A180" s="27"/>
      <c r="B180" s="11" t="str">
        <f>CONCATENATE("          ", "6321", " - ", "BUILDING DEPRECIATION")</f>
        <v xml:space="preserve">          6321 - BUILDING DEPRECIATION</v>
      </c>
      <c r="C180" s="11"/>
      <c r="D180" s="6">
        <v>45016.43</v>
      </c>
      <c r="E180" s="2"/>
      <c r="F180" s="7">
        <f t="shared" si="47"/>
        <v>2.4921701755749117E-2</v>
      </c>
      <c r="G180" s="2"/>
      <c r="H180" s="6">
        <v>45060.52</v>
      </c>
      <c r="I180" s="2"/>
      <c r="J180" s="7">
        <f t="shared" si="48"/>
        <v>0.11393109943304124</v>
      </c>
      <c r="K180" s="2"/>
      <c r="L180" s="6">
        <f t="shared" si="49"/>
        <v>-44.089999999996508</v>
      </c>
      <c r="M180" s="2"/>
      <c r="N180" s="7">
        <f t="shared" si="50"/>
        <v>-9.7846185530030532E-4</v>
      </c>
      <c r="O180" s="11"/>
      <c r="P180" s="6">
        <v>225170.29</v>
      </c>
      <c r="Q180" s="2"/>
      <c r="R180" s="7">
        <f t="shared" si="51"/>
        <v>2.3267140747059961E-2</v>
      </c>
      <c r="S180" s="2"/>
      <c r="T180" s="6">
        <v>226086.79</v>
      </c>
      <c r="U180" s="2"/>
      <c r="V180" s="7">
        <f t="shared" si="52"/>
        <v>4.8522890434650613E-2</v>
      </c>
      <c r="W180" s="2"/>
      <c r="X180" s="6">
        <f t="shared" si="53"/>
        <v>-916.5</v>
      </c>
      <c r="Y180" s="2"/>
      <c r="Z180" s="7">
        <f t="shared" si="54"/>
        <v>-4.0537529857449872E-3</v>
      </c>
    </row>
    <row r="181" spans="1:26" s="24" customFormat="1" hidden="1" outlineLevel="2" x14ac:dyDescent="0.3">
      <c r="A181" s="27"/>
      <c r="B181" s="11" t="str">
        <f>CONCATENATE("          ", "6322", " - ", "EQUIPMENT DEPRECIATION EXPENSE")</f>
        <v xml:space="preserve">          6322 - EQUIPMENT DEPRECIATION EXPENSE</v>
      </c>
      <c r="C181" s="11"/>
      <c r="D181" s="6">
        <v>25745.69</v>
      </c>
      <c r="E181" s="2"/>
      <c r="F181" s="7">
        <f t="shared" si="47"/>
        <v>1.4253160627707982E-2</v>
      </c>
      <c r="G181" s="2"/>
      <c r="H181" s="6">
        <v>32587.119999999999</v>
      </c>
      <c r="I181" s="2"/>
      <c r="J181" s="7">
        <f t="shared" si="48"/>
        <v>8.2393332543797687E-2</v>
      </c>
      <c r="K181" s="2"/>
      <c r="L181" s="6">
        <f t="shared" si="49"/>
        <v>-6841.43</v>
      </c>
      <c r="M181" s="2"/>
      <c r="N181" s="7">
        <f t="shared" si="50"/>
        <v>-0.20994276266205791</v>
      </c>
      <c r="O181" s="11"/>
      <c r="P181" s="6">
        <v>131478.31</v>
      </c>
      <c r="Q181" s="2"/>
      <c r="R181" s="7">
        <f t="shared" si="51"/>
        <v>1.3585825838549042E-2</v>
      </c>
      <c r="S181" s="2"/>
      <c r="T181" s="6">
        <v>164923.26</v>
      </c>
      <c r="U181" s="2"/>
      <c r="V181" s="7">
        <f t="shared" si="52"/>
        <v>3.5395934787279683E-2</v>
      </c>
      <c r="W181" s="2"/>
      <c r="X181" s="6">
        <f t="shared" si="53"/>
        <v>-33444.950000000012</v>
      </c>
      <c r="Y181" s="2"/>
      <c r="Z181" s="7">
        <f t="shared" si="54"/>
        <v>-0.20279098290926342</v>
      </c>
    </row>
    <row r="182" spans="1:26" s="29" customFormat="1" outlineLevel="1" collapsed="1" x14ac:dyDescent="0.3">
      <c r="A182" s="28"/>
      <c r="B182" s="14" t="str">
        <f>CONCATENATE("     ","Discounts and Markdowns                           ")</f>
        <v xml:space="preserve">     Discounts and Markdowns                           </v>
      </c>
      <c r="C182" s="14"/>
      <c r="D182" s="1">
        <f>SUM(OSRRefD22_6x_0)</f>
        <v>3409.87</v>
      </c>
      <c r="E182" s="1"/>
      <c r="F182" s="5">
        <f t="shared" ref="F182:F184" si="55">IF(D$12=0,0,D182/D$12)</f>
        <v>1.8877499429847332E-3</v>
      </c>
      <c r="G182" s="1"/>
      <c r="H182" s="1">
        <f>SUM(OSRRefH22_6x_0)</f>
        <v>418.85</v>
      </c>
      <c r="I182" s="1"/>
      <c r="J182" s="5">
        <f t="shared" ref="J182:J184" si="56">IF(H$12=0,0,H182/H$12)</f>
        <v>1.0590210898038755E-3</v>
      </c>
      <c r="K182" s="1"/>
      <c r="L182" s="1">
        <f t="shared" ref="L182:L184" si="57">+D182-H182</f>
        <v>2991.02</v>
      </c>
      <c r="M182" s="1"/>
      <c r="N182" s="5">
        <f t="shared" ref="N182:N184" si="58">IF(H182=0,0,L182/H182)</f>
        <v>7.1410290079980898</v>
      </c>
      <c r="O182" s="14"/>
      <c r="P182" s="1">
        <f>SUM(OSRRefP22_6x_0)</f>
        <v>3343.63</v>
      </c>
      <c r="Q182" s="1"/>
      <c r="R182" s="5">
        <f t="shared" ref="R182:R184" si="59">IF(P$12=0,0,P182/P$12)</f>
        <v>3.455016637234517E-4</v>
      </c>
      <c r="S182" s="1"/>
      <c r="T182" s="1">
        <f>SUM(OSRRefT22_6x_0)</f>
        <v>0</v>
      </c>
      <c r="U182" s="1"/>
      <c r="V182" s="5">
        <f t="shared" ref="V182:V184" si="60">IF(T$12=0,0,T182/T$12)</f>
        <v>0</v>
      </c>
      <c r="W182" s="1"/>
      <c r="X182" s="1">
        <f t="shared" ref="X182:X184" si="61">+P182-T182</f>
        <v>3343.63</v>
      </c>
      <c r="Y182" s="1"/>
      <c r="Z182" s="5">
        <f t="shared" ref="Z182:Z184" si="62">IF(T182=0,0,X182/T182)</f>
        <v>0</v>
      </c>
    </row>
    <row r="183" spans="1:26" s="24" customFormat="1" hidden="1" outlineLevel="2" x14ac:dyDescent="0.3">
      <c r="A183" s="27"/>
      <c r="B183" s="11" t="str">
        <f>CONCATENATE("          ", "6382", " - ", "DISCOUNTS/MARK DOWNS")</f>
        <v xml:space="preserve">          6382 - DISCOUNTS/MARK DOWNS</v>
      </c>
      <c r="C183" s="11"/>
      <c r="D183" s="6">
        <v>3410</v>
      </c>
      <c r="E183" s="2"/>
      <c r="F183" s="7">
        <f t="shared" si="55"/>
        <v>1.8878219127350722E-3</v>
      </c>
      <c r="G183" s="2"/>
      <c r="H183" s="6">
        <v>0</v>
      </c>
      <c r="I183" s="2"/>
      <c r="J183" s="7">
        <f t="shared" si="56"/>
        <v>0</v>
      </c>
      <c r="K183" s="2"/>
      <c r="L183" s="6">
        <f t="shared" si="57"/>
        <v>3410</v>
      </c>
      <c r="M183" s="2"/>
      <c r="N183" s="7">
        <f t="shared" si="58"/>
        <v>0</v>
      </c>
      <c r="O183" s="11"/>
      <c r="P183" s="6">
        <v>3410</v>
      </c>
      <c r="Q183" s="2"/>
      <c r="R183" s="7">
        <f t="shared" si="59"/>
        <v>3.5235976268216585E-4</v>
      </c>
      <c r="S183" s="2"/>
      <c r="T183" s="6">
        <v>0</v>
      </c>
      <c r="U183" s="2"/>
      <c r="V183" s="7">
        <f t="shared" si="60"/>
        <v>0</v>
      </c>
      <c r="W183" s="2"/>
      <c r="X183" s="6">
        <f t="shared" si="61"/>
        <v>3410</v>
      </c>
      <c r="Y183" s="2"/>
      <c r="Z183" s="7">
        <f t="shared" si="62"/>
        <v>0</v>
      </c>
    </row>
    <row r="184" spans="1:26" s="24" customFormat="1" hidden="1" outlineLevel="2" x14ac:dyDescent="0.3">
      <c r="A184" s="27"/>
      <c r="B184" s="11" t="str">
        <f>CONCATENATE("          ", "9175", " - ", "EARNED DISCOUNTS")</f>
        <v xml:space="preserve">          9175 - EARNED DISCOUNTS</v>
      </c>
      <c r="C184" s="11"/>
      <c r="D184" s="6">
        <v>-0.13</v>
      </c>
      <c r="E184" s="2"/>
      <c r="F184" s="7">
        <f t="shared" si="55"/>
        <v>-7.1969750338873724E-8</v>
      </c>
      <c r="G184" s="2"/>
      <c r="H184" s="6">
        <v>418.85</v>
      </c>
      <c r="I184" s="2"/>
      <c r="J184" s="7">
        <f t="shared" si="56"/>
        <v>1.0590210898038755E-3</v>
      </c>
      <c r="K184" s="2"/>
      <c r="L184" s="6">
        <f t="shared" si="57"/>
        <v>-418.98</v>
      </c>
      <c r="M184" s="2"/>
      <c r="N184" s="7">
        <f t="shared" si="58"/>
        <v>-1.0003103736421153</v>
      </c>
      <c r="O184" s="11"/>
      <c r="P184" s="6">
        <v>-66.37</v>
      </c>
      <c r="Q184" s="2"/>
      <c r="R184" s="7">
        <f t="shared" si="59"/>
        <v>-6.8580989587141795E-6</v>
      </c>
      <c r="S184" s="2"/>
      <c r="T184" s="6">
        <v>0</v>
      </c>
      <c r="U184" s="2"/>
      <c r="V184" s="7">
        <f t="shared" si="60"/>
        <v>0</v>
      </c>
      <c r="W184" s="2"/>
      <c r="X184" s="6">
        <f t="shared" si="61"/>
        <v>-66.37</v>
      </c>
      <c r="Y184" s="2"/>
      <c r="Z184" s="7">
        <f t="shared" si="62"/>
        <v>0</v>
      </c>
    </row>
    <row r="185" spans="1:26" s="29" customFormat="1" outlineLevel="1" collapsed="1" x14ac:dyDescent="0.3">
      <c r="A185" s="28"/>
      <c r="B185" s="14" t="str">
        <f>CONCATENATE("     ","Donations                                         ")</f>
        <v xml:space="preserve">     Donations                                         </v>
      </c>
      <c r="C185" s="14"/>
      <c r="D185" s="1">
        <f>SUM(OSRRefD22_7x_0)</f>
        <v>9735.59</v>
      </c>
      <c r="E185" s="1"/>
      <c r="F185" s="5">
        <f t="shared" ref="F185:F193" si="63">IF(D$12=0,0,D185/D$12)</f>
        <v>5.389753705397197E-3</v>
      </c>
      <c r="G185" s="1"/>
      <c r="H185" s="1">
        <f>SUM(OSRRefH22_7x_0)</f>
        <v>7935.78</v>
      </c>
      <c r="I185" s="1"/>
      <c r="J185" s="5">
        <f t="shared" ref="J185:J193" si="64">IF(H$12=0,0,H185/H$12)</f>
        <v>2.0064840358228E-2</v>
      </c>
      <c r="K185" s="1"/>
      <c r="L185" s="1">
        <f t="shared" ref="L185:L193" si="65">+D185-H185</f>
        <v>1799.8100000000004</v>
      </c>
      <c r="M185" s="1"/>
      <c r="N185" s="5">
        <f t="shared" ref="N185:N193" si="66">IF(H185=0,0,L185/H185)</f>
        <v>0.22679686180816511</v>
      </c>
      <c r="O185" s="14"/>
      <c r="P185" s="1">
        <f>SUM(OSRRefP22_7x_0)</f>
        <v>35632.81</v>
      </c>
      <c r="Q185" s="1"/>
      <c r="R185" s="5">
        <f t="shared" ref="R185:R193" si="67">IF(P$12=0,0,P185/P$12)</f>
        <v>3.6819848901169226E-3</v>
      </c>
      <c r="S185" s="1"/>
      <c r="T185" s="1">
        <f>SUM(OSRRefT22_7x_0)</f>
        <v>30155.96</v>
      </c>
      <c r="U185" s="1"/>
      <c r="V185" s="5">
        <f t="shared" ref="V185:V193" si="68">IF(T$12=0,0,T185/T$12)</f>
        <v>6.4720912841997819E-3</v>
      </c>
      <c r="W185" s="1"/>
      <c r="X185" s="1">
        <f t="shared" ref="X185:X193" si="69">+P185-T185</f>
        <v>5476.8499999999985</v>
      </c>
      <c r="Y185" s="1"/>
      <c r="Z185" s="5">
        <f t="shared" ref="Z185:Z193" si="70">IF(T185=0,0,X185/T185)</f>
        <v>0.18161749783459052</v>
      </c>
    </row>
    <row r="186" spans="1:26" s="24" customFormat="1" hidden="1" outlineLevel="2" x14ac:dyDescent="0.3">
      <c r="A186" s="27"/>
      <c r="B186" s="11" t="str">
        <f>CONCATENATE("          ", "6399", " - ", "DONATION-ON CAMPUS")</f>
        <v xml:space="preserve">          6399 - DONATION-ON CAMPUS</v>
      </c>
      <c r="C186" s="11"/>
      <c r="D186" s="6">
        <v>9735.59</v>
      </c>
      <c r="E186" s="2"/>
      <c r="F186" s="7">
        <f t="shared" si="63"/>
        <v>5.389753705397197E-3</v>
      </c>
      <c r="G186" s="2"/>
      <c r="H186" s="6">
        <v>7935.78</v>
      </c>
      <c r="I186" s="2"/>
      <c r="J186" s="7">
        <f t="shared" si="64"/>
        <v>2.0064840358228E-2</v>
      </c>
      <c r="K186" s="2"/>
      <c r="L186" s="6">
        <f t="shared" si="65"/>
        <v>1799.8100000000004</v>
      </c>
      <c r="M186" s="2"/>
      <c r="N186" s="7">
        <f t="shared" si="66"/>
        <v>0.22679686180816511</v>
      </c>
      <c r="O186" s="11"/>
      <c r="P186" s="6">
        <v>35632.81</v>
      </c>
      <c r="Q186" s="2"/>
      <c r="R186" s="7">
        <f t="shared" si="67"/>
        <v>3.6819848901169226E-3</v>
      </c>
      <c r="S186" s="2"/>
      <c r="T186" s="6">
        <v>30155.96</v>
      </c>
      <c r="U186" s="2"/>
      <c r="V186" s="7">
        <f t="shared" si="68"/>
        <v>6.4720912841997819E-3</v>
      </c>
      <c r="W186" s="2"/>
      <c r="X186" s="6">
        <f t="shared" si="69"/>
        <v>5476.8499999999985</v>
      </c>
      <c r="Y186" s="2"/>
      <c r="Z186" s="7">
        <f t="shared" si="70"/>
        <v>0.18161749783459052</v>
      </c>
    </row>
    <row r="187" spans="1:26" s="29" customFormat="1" outlineLevel="1" collapsed="1" x14ac:dyDescent="0.3">
      <c r="A187" s="28"/>
      <c r="B187" s="14" t="str">
        <f>CONCATENATE("     ","Employees' Appreciation                           ")</f>
        <v xml:space="preserve">     Employees' Appreciation                           </v>
      </c>
      <c r="C187" s="14"/>
      <c r="D187" s="1">
        <f>SUM(OSRRefD22_8x_0)</f>
        <v>524.49</v>
      </c>
      <c r="E187" s="1"/>
      <c r="F187" s="5">
        <f t="shared" si="63"/>
        <v>2.9036472580950678E-4</v>
      </c>
      <c r="G187" s="1"/>
      <c r="H187" s="1">
        <f>SUM(OSRRefH22_8x_0)</f>
        <v>0</v>
      </c>
      <c r="I187" s="1"/>
      <c r="J187" s="5">
        <f t="shared" si="64"/>
        <v>0</v>
      </c>
      <c r="K187" s="1"/>
      <c r="L187" s="1">
        <f t="shared" si="65"/>
        <v>524.49</v>
      </c>
      <c r="M187" s="1"/>
      <c r="N187" s="5">
        <f t="shared" si="66"/>
        <v>0</v>
      </c>
      <c r="O187" s="14"/>
      <c r="P187" s="1">
        <f>SUM(OSRRefP22_8x_0)</f>
        <v>2064.7800000000002</v>
      </c>
      <c r="Q187" s="1"/>
      <c r="R187" s="5">
        <f t="shared" si="67"/>
        <v>2.1335641958676908E-4</v>
      </c>
      <c r="S187" s="1"/>
      <c r="T187" s="1">
        <f>SUM(OSRRefT22_8x_0)</f>
        <v>107.7</v>
      </c>
      <c r="U187" s="1"/>
      <c r="V187" s="5">
        <f t="shared" si="68"/>
        <v>2.3114642389375651E-5</v>
      </c>
      <c r="W187" s="1"/>
      <c r="X187" s="1">
        <f t="shared" si="69"/>
        <v>1957.0800000000002</v>
      </c>
      <c r="Y187" s="1"/>
      <c r="Z187" s="5">
        <f t="shared" si="70"/>
        <v>18.171587743732591</v>
      </c>
    </row>
    <row r="188" spans="1:26" s="24" customFormat="1" hidden="1" outlineLevel="2" x14ac:dyDescent="0.3">
      <c r="A188" s="27"/>
      <c r="B188" s="11" t="str">
        <f>CONCATENATE("          ", "6277", " - ", "EMPLOYEE APPRECIATION")</f>
        <v xml:space="preserve">          6277 - EMPLOYEE APPRECIATION</v>
      </c>
      <c r="C188" s="11"/>
      <c r="D188" s="6">
        <v>524.49</v>
      </c>
      <c r="E188" s="2"/>
      <c r="F188" s="7">
        <f t="shared" si="63"/>
        <v>2.9036472580950678E-4</v>
      </c>
      <c r="G188" s="2"/>
      <c r="H188" s="6"/>
      <c r="I188" s="2"/>
      <c r="J188" s="7">
        <f t="shared" si="64"/>
        <v>0</v>
      </c>
      <c r="K188" s="2"/>
      <c r="L188" s="6">
        <f t="shared" si="65"/>
        <v>524.49</v>
      </c>
      <c r="M188" s="2"/>
      <c r="N188" s="7">
        <f t="shared" si="66"/>
        <v>0</v>
      </c>
      <c r="O188" s="11"/>
      <c r="P188" s="6">
        <v>2064.7800000000002</v>
      </c>
      <c r="Q188" s="2"/>
      <c r="R188" s="7">
        <f t="shared" si="67"/>
        <v>2.1335641958676908E-4</v>
      </c>
      <c r="S188" s="2"/>
      <c r="T188" s="6">
        <v>107.7</v>
      </c>
      <c r="U188" s="2"/>
      <c r="V188" s="7">
        <f t="shared" si="68"/>
        <v>2.3114642389375651E-5</v>
      </c>
      <c r="W188" s="2"/>
      <c r="X188" s="6">
        <f t="shared" si="69"/>
        <v>1957.0800000000002</v>
      </c>
      <c r="Y188" s="2"/>
      <c r="Z188" s="7">
        <f t="shared" si="70"/>
        <v>18.171587743732591</v>
      </c>
    </row>
    <row r="189" spans="1:26" s="29" customFormat="1" outlineLevel="1" collapsed="1" x14ac:dyDescent="0.3">
      <c r="A189" s="28"/>
      <c r="B189" s="14" t="str">
        <f>CONCATENATE("     ","Equipment Rental                                  ")</f>
        <v xml:space="preserve">     Equipment Rental                                  </v>
      </c>
      <c r="C189" s="14"/>
      <c r="D189" s="1">
        <f>SUM(OSRRefD22_9x_0)</f>
        <v>3040.96</v>
      </c>
      <c r="E189" s="1"/>
      <c r="F189" s="5">
        <f t="shared" si="63"/>
        <v>1.6835163999269342E-3</v>
      </c>
      <c r="G189" s="1"/>
      <c r="H189" s="1">
        <f>SUM(OSRRefH22_9x_0)</f>
        <v>2755.22</v>
      </c>
      <c r="I189" s="1"/>
      <c r="J189" s="5">
        <f t="shared" si="64"/>
        <v>6.9663031802541086E-3</v>
      </c>
      <c r="K189" s="1"/>
      <c r="L189" s="1">
        <f t="shared" si="65"/>
        <v>285.74000000000024</v>
      </c>
      <c r="M189" s="1"/>
      <c r="N189" s="5">
        <f t="shared" si="66"/>
        <v>0.10370859677267161</v>
      </c>
      <c r="O189" s="14"/>
      <c r="P189" s="1">
        <f>SUM(OSRRefP22_9x_0)</f>
        <v>19376.560000000001</v>
      </c>
      <c r="Q189" s="1"/>
      <c r="R189" s="5">
        <f t="shared" si="67"/>
        <v>2.0022053029902487E-3</v>
      </c>
      <c r="S189" s="1"/>
      <c r="T189" s="1">
        <f>SUM(OSRRefT22_9x_0)</f>
        <v>14296.15</v>
      </c>
      <c r="U189" s="1"/>
      <c r="V189" s="5">
        <f t="shared" si="68"/>
        <v>3.068248791038744E-3</v>
      </c>
      <c r="W189" s="1"/>
      <c r="X189" s="1">
        <f t="shared" si="69"/>
        <v>5080.4100000000017</v>
      </c>
      <c r="Y189" s="1"/>
      <c r="Z189" s="5">
        <f t="shared" si="70"/>
        <v>0.35536910287035334</v>
      </c>
    </row>
    <row r="190" spans="1:26" s="24" customFormat="1" hidden="1" outlineLevel="2" x14ac:dyDescent="0.3">
      <c r="A190" s="27"/>
      <c r="B190" s="11" t="str">
        <f>CONCATENATE("          ", "6351", " - ", "EQUIPMENT RENTAL")</f>
        <v xml:space="preserve">          6351 - EQUIPMENT RENTAL</v>
      </c>
      <c r="C190" s="11"/>
      <c r="D190" s="6">
        <v>3040.96</v>
      </c>
      <c r="E190" s="2"/>
      <c r="F190" s="7">
        <f t="shared" si="63"/>
        <v>1.6835163999269342E-3</v>
      </c>
      <c r="G190" s="2"/>
      <c r="H190" s="6">
        <v>2755.22</v>
      </c>
      <c r="I190" s="2"/>
      <c r="J190" s="7">
        <f t="shared" si="64"/>
        <v>6.9663031802541086E-3</v>
      </c>
      <c r="K190" s="2"/>
      <c r="L190" s="6">
        <f t="shared" si="65"/>
        <v>285.74000000000024</v>
      </c>
      <c r="M190" s="2"/>
      <c r="N190" s="7">
        <f t="shared" si="66"/>
        <v>0.10370859677267161</v>
      </c>
      <c r="O190" s="11"/>
      <c r="P190" s="6">
        <v>19376.560000000001</v>
      </c>
      <c r="Q190" s="2"/>
      <c r="R190" s="7">
        <f t="shared" si="67"/>
        <v>2.0022053029902487E-3</v>
      </c>
      <c r="S190" s="2"/>
      <c r="T190" s="6">
        <v>14296.15</v>
      </c>
      <c r="U190" s="2"/>
      <c r="V190" s="7">
        <f t="shared" si="68"/>
        <v>3.068248791038744E-3</v>
      </c>
      <c r="W190" s="2"/>
      <c r="X190" s="6">
        <f t="shared" si="69"/>
        <v>5080.4100000000017</v>
      </c>
      <c r="Y190" s="2"/>
      <c r="Z190" s="7">
        <f t="shared" si="70"/>
        <v>0.35536910287035334</v>
      </c>
    </row>
    <row r="191" spans="1:26" s="29" customFormat="1" outlineLevel="1" collapsed="1" x14ac:dyDescent="0.3">
      <c r="A191" s="28"/>
      <c r="B191" s="14" t="str">
        <f>CONCATENATE("     ","Freight out/Postage                               ")</f>
        <v xml:space="preserve">     Freight out/Postage                               </v>
      </c>
      <c r="C191" s="14"/>
      <c r="D191" s="1">
        <f>SUM(OSRRefD22_10x_0)</f>
        <v>5663.4</v>
      </c>
      <c r="E191" s="1"/>
      <c r="F191" s="5">
        <f t="shared" si="63"/>
        <v>3.1353344928398263E-3</v>
      </c>
      <c r="G191" s="1"/>
      <c r="H191" s="1">
        <f>SUM(OSRRefH22_10x_0)</f>
        <v>12775.59</v>
      </c>
      <c r="I191" s="1"/>
      <c r="J191" s="5">
        <f t="shared" si="64"/>
        <v>3.2301824626208647E-2</v>
      </c>
      <c r="K191" s="1"/>
      <c r="L191" s="1">
        <f t="shared" si="65"/>
        <v>-7112.1900000000005</v>
      </c>
      <c r="M191" s="1"/>
      <c r="N191" s="5">
        <f t="shared" si="66"/>
        <v>-0.55670149089004894</v>
      </c>
      <c r="O191" s="14"/>
      <c r="P191" s="1">
        <f>SUM(OSRRefP22_10x_0)</f>
        <v>-29863.48000000001</v>
      </c>
      <c r="Q191" s="1"/>
      <c r="R191" s="5">
        <f t="shared" si="67"/>
        <v>-3.0858324708690939E-3</v>
      </c>
      <c r="S191" s="1"/>
      <c r="T191" s="1">
        <f>SUM(OSRRefT22_10x_0)</f>
        <v>-18425.149999999994</v>
      </c>
      <c r="U191" s="1"/>
      <c r="V191" s="5">
        <f t="shared" si="68"/>
        <v>-3.9544173929489754E-3</v>
      </c>
      <c r="W191" s="1"/>
      <c r="X191" s="1">
        <f t="shared" si="69"/>
        <v>-11438.330000000016</v>
      </c>
      <c r="Y191" s="1"/>
      <c r="Z191" s="5">
        <f t="shared" si="70"/>
        <v>0.62079983066623723</v>
      </c>
    </row>
    <row r="192" spans="1:26" s="24" customFormat="1" hidden="1" outlineLevel="2" x14ac:dyDescent="0.3">
      <c r="A192" s="27"/>
      <c r="B192" s="11" t="str">
        <f>CONCATENATE("          ", "6305", " - ", "FREIGHT OUT")</f>
        <v xml:space="preserve">          6305 - FREIGHT OUT</v>
      </c>
      <c r="C192" s="11"/>
      <c r="D192" s="6">
        <v>11064.07</v>
      </c>
      <c r="E192" s="2"/>
      <c r="F192" s="7">
        <f t="shared" si="63"/>
        <v>6.1252181202447889E-3</v>
      </c>
      <c r="G192" s="2"/>
      <c r="H192" s="6">
        <v>17095.3</v>
      </c>
      <c r="I192" s="2"/>
      <c r="J192" s="7">
        <f t="shared" si="64"/>
        <v>4.3223787123132844E-2</v>
      </c>
      <c r="K192" s="2"/>
      <c r="L192" s="6">
        <f t="shared" si="65"/>
        <v>-6031.23</v>
      </c>
      <c r="M192" s="2"/>
      <c r="N192" s="7">
        <f t="shared" si="66"/>
        <v>-0.3528004773241768</v>
      </c>
      <c r="O192" s="11"/>
      <c r="P192" s="6">
        <v>65951.37</v>
      </c>
      <c r="Q192" s="2"/>
      <c r="R192" s="7">
        <f t="shared" si="67"/>
        <v>6.8148413729512353E-3</v>
      </c>
      <c r="S192" s="2"/>
      <c r="T192" s="6">
        <v>103982.96</v>
      </c>
      <c r="U192" s="2"/>
      <c r="V192" s="7">
        <f t="shared" si="68"/>
        <v>2.2316888904259546E-2</v>
      </c>
      <c r="W192" s="2"/>
      <c r="X192" s="6">
        <f t="shared" si="69"/>
        <v>-38031.590000000011</v>
      </c>
      <c r="Y192" s="2"/>
      <c r="Z192" s="7">
        <f t="shared" si="70"/>
        <v>-0.3657482918355085</v>
      </c>
    </row>
    <row r="193" spans="1:26" s="24" customFormat="1" hidden="1" outlineLevel="2" x14ac:dyDescent="0.3">
      <c r="A193" s="27"/>
      <c r="B193" s="11" t="str">
        <f>CONCATENATE("          ", "6307", " - ", "POSTAGE")</f>
        <v xml:space="preserve">          6307 - POSTAGE</v>
      </c>
      <c r="C193" s="11"/>
      <c r="D193" s="6">
        <v>-5400.67</v>
      </c>
      <c r="E193" s="2"/>
      <c r="F193" s="7">
        <f t="shared" si="63"/>
        <v>-2.9898836274049627E-3</v>
      </c>
      <c r="G193" s="2"/>
      <c r="H193" s="6">
        <v>-4319.71</v>
      </c>
      <c r="I193" s="2"/>
      <c r="J193" s="7">
        <f t="shared" si="64"/>
        <v>-1.0921962496924195E-2</v>
      </c>
      <c r="K193" s="2"/>
      <c r="L193" s="6">
        <f t="shared" si="65"/>
        <v>-1080.96</v>
      </c>
      <c r="M193" s="2"/>
      <c r="N193" s="7">
        <f t="shared" si="66"/>
        <v>0.25023902067499904</v>
      </c>
      <c r="O193" s="11"/>
      <c r="P193" s="6">
        <v>-95814.85</v>
      </c>
      <c r="Q193" s="2"/>
      <c r="R193" s="7">
        <f t="shared" si="67"/>
        <v>-9.90067384382033E-3</v>
      </c>
      <c r="S193" s="2"/>
      <c r="T193" s="6">
        <v>-122408.11</v>
      </c>
      <c r="U193" s="2"/>
      <c r="V193" s="7">
        <f t="shared" si="68"/>
        <v>-2.6271306297208519E-2</v>
      </c>
      <c r="W193" s="2"/>
      <c r="X193" s="6">
        <f t="shared" si="69"/>
        <v>26593.259999999995</v>
      </c>
      <c r="Y193" s="2"/>
      <c r="Z193" s="7">
        <f t="shared" si="70"/>
        <v>-0.21725080143791123</v>
      </c>
    </row>
    <row r="194" spans="1:26" s="29" customFormat="1" outlineLevel="1" collapsed="1" x14ac:dyDescent="0.3">
      <c r="A194" s="28"/>
      <c r="B194" s="14" t="str">
        <f>CONCATENATE("     ","General                                           ")</f>
        <v xml:space="preserve">     General                                           </v>
      </c>
      <c r="C194" s="14"/>
      <c r="D194" s="1">
        <f>SUM(OSRRefD22_11x_0)</f>
        <v>1682.28</v>
      </c>
      <c r="E194" s="1"/>
      <c r="F194" s="5">
        <f t="shared" ref="F194:F202" si="71">IF(D$12=0,0,D194/D$12)</f>
        <v>9.3133285846215758E-4</v>
      </c>
      <c r="G194" s="1"/>
      <c r="H194" s="1">
        <f>SUM(OSRRefH22_11x_0)</f>
        <v>4700.7299999999996</v>
      </c>
      <c r="I194" s="1"/>
      <c r="J194" s="5">
        <f t="shared" ref="J194:J202" si="72">IF(H$12=0,0,H194/H$12)</f>
        <v>1.1885334147006734E-2</v>
      </c>
      <c r="K194" s="1"/>
      <c r="L194" s="1">
        <f t="shared" ref="L194:L202" si="73">+D194-H194</f>
        <v>-3018.45</v>
      </c>
      <c r="M194" s="1"/>
      <c r="N194" s="5">
        <f t="shared" ref="N194:N202" si="74">IF(H194=0,0,L194/H194)</f>
        <v>-0.64212367015335914</v>
      </c>
      <c r="O194" s="14"/>
      <c r="P194" s="1">
        <f>SUM(OSRRefP22_11x_0)</f>
        <v>30751.35</v>
      </c>
      <c r="Q194" s="1"/>
      <c r="R194" s="5">
        <f t="shared" ref="R194:R202" si="75">IF(P$12=0,0,P194/P$12)</f>
        <v>3.1775772399285107E-3</v>
      </c>
      <c r="S194" s="1"/>
      <c r="T194" s="1">
        <f>SUM(OSRRefT22_11x_0)</f>
        <v>13080.25</v>
      </c>
      <c r="U194" s="1"/>
      <c r="V194" s="5">
        <f t="shared" ref="V194:V202" si="76">IF(T$12=0,0,T194/T$12)</f>
        <v>2.8072915609436478E-3</v>
      </c>
      <c r="W194" s="1"/>
      <c r="X194" s="1">
        <f t="shared" ref="X194:X202" si="77">+P194-T194</f>
        <v>17671.099999999999</v>
      </c>
      <c r="Y194" s="1"/>
      <c r="Z194" s="5">
        <f t="shared" ref="Z194:Z202" si="78">IF(T194=0,0,X194/T194)</f>
        <v>1.3509757076508475</v>
      </c>
    </row>
    <row r="195" spans="1:26" s="24" customFormat="1" hidden="1" outlineLevel="2" x14ac:dyDescent="0.3">
      <c r="A195" s="27"/>
      <c r="B195" s="11" t="str">
        <f>CONCATENATE("          ", "6279", " - ", "GENERAL EXPENSE")</f>
        <v xml:space="preserve">          6279 - GENERAL EXPENSE</v>
      </c>
      <c r="C195" s="11"/>
      <c r="D195" s="6">
        <v>1682.28</v>
      </c>
      <c r="E195" s="2"/>
      <c r="F195" s="7">
        <f t="shared" si="71"/>
        <v>9.3133285846215758E-4</v>
      </c>
      <c r="G195" s="2"/>
      <c r="H195" s="6">
        <v>4700.7299999999996</v>
      </c>
      <c r="I195" s="2"/>
      <c r="J195" s="7">
        <f t="shared" si="72"/>
        <v>1.1885334147006734E-2</v>
      </c>
      <c r="K195" s="2"/>
      <c r="L195" s="6">
        <f t="shared" si="73"/>
        <v>-3018.45</v>
      </c>
      <c r="M195" s="2"/>
      <c r="N195" s="7">
        <f t="shared" si="74"/>
        <v>-0.64212367015335914</v>
      </c>
      <c r="O195" s="11"/>
      <c r="P195" s="6">
        <v>30751.35</v>
      </c>
      <c r="Q195" s="2"/>
      <c r="R195" s="7">
        <f t="shared" si="75"/>
        <v>3.1775772399285107E-3</v>
      </c>
      <c r="S195" s="2"/>
      <c r="T195" s="6">
        <v>13080.25</v>
      </c>
      <c r="U195" s="2"/>
      <c r="V195" s="7">
        <f t="shared" si="76"/>
        <v>2.8072915609436478E-3</v>
      </c>
      <c r="W195" s="2"/>
      <c r="X195" s="6">
        <f t="shared" si="77"/>
        <v>17671.099999999999</v>
      </c>
      <c r="Y195" s="2"/>
      <c r="Z195" s="7">
        <f t="shared" si="78"/>
        <v>1.3509757076508475</v>
      </c>
    </row>
    <row r="196" spans="1:26" s="29" customFormat="1" outlineLevel="1" collapsed="1" x14ac:dyDescent="0.3">
      <c r="A196" s="28"/>
      <c r="B196" s="14" t="str">
        <f>CONCATENATE("     ","Insurance                                         ")</f>
        <v xml:space="preserve">     Insurance                                         </v>
      </c>
      <c r="C196" s="14"/>
      <c r="D196" s="1">
        <f>SUM(OSRRefD22_12x_0)</f>
        <v>11626.43</v>
      </c>
      <c r="E196" s="1"/>
      <c r="F196" s="5">
        <f t="shared" si="71"/>
        <v>6.4365481879414743E-3</v>
      </c>
      <c r="G196" s="1"/>
      <c r="H196" s="1">
        <f>SUM(OSRRefH22_12x_0)</f>
        <v>8563.32</v>
      </c>
      <c r="I196" s="1"/>
      <c r="J196" s="5">
        <f t="shared" si="72"/>
        <v>2.1651513617618055E-2</v>
      </c>
      <c r="K196" s="1"/>
      <c r="L196" s="1">
        <f t="shared" si="73"/>
        <v>3063.1100000000006</v>
      </c>
      <c r="M196" s="1"/>
      <c r="N196" s="5">
        <f t="shared" si="74"/>
        <v>0.35770121868621058</v>
      </c>
      <c r="O196" s="14"/>
      <c r="P196" s="1">
        <f>SUM(OSRRefP22_12x_0)</f>
        <v>65015.16</v>
      </c>
      <c r="Q196" s="1"/>
      <c r="R196" s="5">
        <f t="shared" si="75"/>
        <v>6.7181015684290458E-3</v>
      </c>
      <c r="S196" s="1"/>
      <c r="T196" s="1">
        <f>SUM(OSRRefT22_12x_0)</f>
        <v>48928.6</v>
      </c>
      <c r="U196" s="1"/>
      <c r="V196" s="5">
        <f t="shared" si="76"/>
        <v>1.0501087201604508E-2</v>
      </c>
      <c r="W196" s="1"/>
      <c r="X196" s="1">
        <f t="shared" si="77"/>
        <v>16086.560000000005</v>
      </c>
      <c r="Y196" s="1"/>
      <c r="Z196" s="5">
        <f t="shared" si="78"/>
        <v>0.32877621677301222</v>
      </c>
    </row>
    <row r="197" spans="1:26" s="24" customFormat="1" hidden="1" outlineLevel="2" x14ac:dyDescent="0.3">
      <c r="A197" s="27"/>
      <c r="B197" s="11" t="str">
        <f>CONCATENATE("          ", "6314", " - ", "LIABILITY INSURANCE")</f>
        <v xml:space="preserve">          6314 - LIABILITY INSURANCE</v>
      </c>
      <c r="C197" s="11"/>
      <c r="D197" s="6">
        <v>11626.43</v>
      </c>
      <c r="E197" s="2"/>
      <c r="F197" s="7">
        <f t="shared" si="71"/>
        <v>6.4365481879414743E-3</v>
      </c>
      <c r="G197" s="2"/>
      <c r="H197" s="6">
        <v>8563.32</v>
      </c>
      <c r="I197" s="2"/>
      <c r="J197" s="7">
        <f t="shared" si="72"/>
        <v>2.1651513617618055E-2</v>
      </c>
      <c r="K197" s="2"/>
      <c r="L197" s="6">
        <f t="shared" si="73"/>
        <v>3063.1100000000006</v>
      </c>
      <c r="M197" s="2"/>
      <c r="N197" s="7">
        <f t="shared" si="74"/>
        <v>0.35770121868621058</v>
      </c>
      <c r="O197" s="11"/>
      <c r="P197" s="6">
        <v>65015.16</v>
      </c>
      <c r="Q197" s="2"/>
      <c r="R197" s="7">
        <f t="shared" si="75"/>
        <v>6.7181015684290458E-3</v>
      </c>
      <c r="S197" s="2"/>
      <c r="T197" s="6">
        <v>48928.6</v>
      </c>
      <c r="U197" s="2"/>
      <c r="V197" s="7">
        <f t="shared" si="76"/>
        <v>1.0501087201604508E-2</v>
      </c>
      <c r="W197" s="2"/>
      <c r="X197" s="6">
        <f t="shared" si="77"/>
        <v>16086.560000000005</v>
      </c>
      <c r="Y197" s="2"/>
      <c r="Z197" s="7">
        <f t="shared" si="78"/>
        <v>0.32877621677301222</v>
      </c>
    </row>
    <row r="198" spans="1:26" s="29" customFormat="1" outlineLevel="1" collapsed="1" x14ac:dyDescent="0.3">
      <c r="A198" s="28"/>
      <c r="B198" s="14" t="str">
        <f>CONCATENATE("     ","Interest                                          ")</f>
        <v xml:space="preserve">     Interest                                          </v>
      </c>
      <c r="C198" s="14"/>
      <c r="D198" s="1">
        <f>SUM(OSRRefD22_13x_0)</f>
        <v>11158</v>
      </c>
      <c r="E198" s="1"/>
      <c r="F198" s="5">
        <f t="shared" si="71"/>
        <v>6.1772190329319465E-3</v>
      </c>
      <c r="G198" s="1"/>
      <c r="H198" s="1">
        <f>SUM(OSRRefH22_13x_0)</f>
        <v>11554</v>
      </c>
      <c r="I198" s="1"/>
      <c r="J198" s="5">
        <f t="shared" si="72"/>
        <v>2.921315428338063E-2</v>
      </c>
      <c r="K198" s="1"/>
      <c r="L198" s="1">
        <f t="shared" si="73"/>
        <v>-396</v>
      </c>
      <c r="M198" s="1"/>
      <c r="N198" s="5">
        <f t="shared" si="74"/>
        <v>-3.4273844555997926E-2</v>
      </c>
      <c r="O198" s="14"/>
      <c r="P198" s="1">
        <f>SUM(OSRRefP22_13x_0)</f>
        <v>55000</v>
      </c>
      <c r="Q198" s="1"/>
      <c r="R198" s="5">
        <f t="shared" si="75"/>
        <v>5.683221978744611E-3</v>
      </c>
      <c r="S198" s="1"/>
      <c r="T198" s="1">
        <f>SUM(OSRRefT22_13x_0)</f>
        <v>57021</v>
      </c>
      <c r="U198" s="1"/>
      <c r="V198" s="5">
        <f t="shared" si="76"/>
        <v>1.2237883228269164E-2</v>
      </c>
      <c r="W198" s="1"/>
      <c r="X198" s="1">
        <f t="shared" si="77"/>
        <v>-2021</v>
      </c>
      <c r="Y198" s="1"/>
      <c r="Z198" s="5">
        <f t="shared" si="78"/>
        <v>-3.5443082373160767E-2</v>
      </c>
    </row>
    <row r="199" spans="1:26" s="24" customFormat="1" hidden="1" outlineLevel="2" x14ac:dyDescent="0.3">
      <c r="A199" s="27"/>
      <c r="B199" s="11" t="str">
        <f>CONCATENATE("          ", "6401", " - ", "INTEREST EXPENSE")</f>
        <v xml:space="preserve">          6401 - INTEREST EXPENSE</v>
      </c>
      <c r="C199" s="11"/>
      <c r="D199" s="6">
        <v>11158</v>
      </c>
      <c r="E199" s="2"/>
      <c r="F199" s="7">
        <f t="shared" si="71"/>
        <v>6.1772190329319465E-3</v>
      </c>
      <c r="G199" s="2"/>
      <c r="H199" s="6">
        <v>11554</v>
      </c>
      <c r="I199" s="2"/>
      <c r="J199" s="7">
        <f t="shared" si="72"/>
        <v>2.921315428338063E-2</v>
      </c>
      <c r="K199" s="2"/>
      <c r="L199" s="6">
        <f t="shared" si="73"/>
        <v>-396</v>
      </c>
      <c r="M199" s="2"/>
      <c r="N199" s="7">
        <f t="shared" si="74"/>
        <v>-3.4273844555997926E-2</v>
      </c>
      <c r="O199" s="11"/>
      <c r="P199" s="6">
        <v>55000</v>
      </c>
      <c r="Q199" s="2"/>
      <c r="R199" s="7">
        <f t="shared" si="75"/>
        <v>5.683221978744611E-3</v>
      </c>
      <c r="S199" s="2"/>
      <c r="T199" s="6">
        <v>57021</v>
      </c>
      <c r="U199" s="2"/>
      <c r="V199" s="7">
        <f t="shared" si="76"/>
        <v>1.2237883228269164E-2</v>
      </c>
      <c r="W199" s="2"/>
      <c r="X199" s="6">
        <f t="shared" si="77"/>
        <v>-2021</v>
      </c>
      <c r="Y199" s="2"/>
      <c r="Z199" s="7">
        <f t="shared" si="78"/>
        <v>-3.5443082373160767E-2</v>
      </c>
    </row>
    <row r="200" spans="1:26" s="29" customFormat="1" outlineLevel="1" collapsed="1" x14ac:dyDescent="0.3">
      <c r="A200" s="28"/>
      <c r="B200" s="14" t="str">
        <f>CONCATENATE("     ","Inventory Adjustment                              ")</f>
        <v xml:space="preserve">     Inventory Adjustment                              </v>
      </c>
      <c r="C200" s="14"/>
      <c r="D200" s="1">
        <f>SUM(OSRRefD22_14x_0)</f>
        <v>5730</v>
      </c>
      <c r="E200" s="1"/>
      <c r="F200" s="5">
        <f t="shared" si="71"/>
        <v>3.1722051495518956E-3</v>
      </c>
      <c r="G200" s="1"/>
      <c r="H200" s="1">
        <f>SUM(OSRRefH22_14x_0)</f>
        <v>3350</v>
      </c>
      <c r="I200" s="1"/>
      <c r="J200" s="5">
        <f t="shared" si="72"/>
        <v>8.4701459969988846E-3</v>
      </c>
      <c r="K200" s="1"/>
      <c r="L200" s="1">
        <f t="shared" si="73"/>
        <v>2380</v>
      </c>
      <c r="M200" s="1"/>
      <c r="N200" s="5">
        <f t="shared" si="74"/>
        <v>0.71044776119402986</v>
      </c>
      <c r="O200" s="14"/>
      <c r="P200" s="1">
        <f>SUM(OSRRefP22_14x_0)</f>
        <v>30800</v>
      </c>
      <c r="Q200" s="1"/>
      <c r="R200" s="5">
        <f t="shared" si="75"/>
        <v>3.1826043080969823E-3</v>
      </c>
      <c r="S200" s="1"/>
      <c r="T200" s="1">
        <f>SUM(OSRRefT22_14x_0)</f>
        <v>16750</v>
      </c>
      <c r="U200" s="1"/>
      <c r="V200" s="5">
        <f t="shared" si="76"/>
        <v>3.5948956362306609E-3</v>
      </c>
      <c r="W200" s="1"/>
      <c r="X200" s="1">
        <f t="shared" si="77"/>
        <v>14050</v>
      </c>
      <c r="Y200" s="1"/>
      <c r="Z200" s="5">
        <f t="shared" si="78"/>
        <v>0.83880597014925373</v>
      </c>
    </row>
    <row r="201" spans="1:26" s="24" customFormat="1" hidden="1" outlineLevel="2" x14ac:dyDescent="0.3">
      <c r="A201" s="27"/>
      <c r="B201" s="11" t="str">
        <f>CONCATENATE("          ", "6408", " - ", "INVENTORY ADJUSTMENT")</f>
        <v xml:space="preserve">          6408 - INVENTORY ADJUSTMENT</v>
      </c>
      <c r="C201" s="11"/>
      <c r="D201" s="6">
        <v>5730</v>
      </c>
      <c r="E201" s="2"/>
      <c r="F201" s="7">
        <f t="shared" si="71"/>
        <v>3.1722051495518956E-3</v>
      </c>
      <c r="G201" s="2"/>
      <c r="H201" s="6">
        <v>3350</v>
      </c>
      <c r="I201" s="2"/>
      <c r="J201" s="7">
        <f t="shared" si="72"/>
        <v>8.4701459969988846E-3</v>
      </c>
      <c r="K201" s="2"/>
      <c r="L201" s="6">
        <f t="shared" si="73"/>
        <v>2380</v>
      </c>
      <c r="M201" s="2"/>
      <c r="N201" s="7">
        <f t="shared" si="74"/>
        <v>0.71044776119402986</v>
      </c>
      <c r="O201" s="11"/>
      <c r="P201" s="6">
        <v>30800</v>
      </c>
      <c r="Q201" s="2"/>
      <c r="R201" s="7">
        <f t="shared" si="75"/>
        <v>3.1826043080969823E-3</v>
      </c>
      <c r="S201" s="2"/>
      <c r="T201" s="6">
        <v>16750</v>
      </c>
      <c r="U201" s="2"/>
      <c r="V201" s="7">
        <f t="shared" si="76"/>
        <v>3.5948956362306609E-3</v>
      </c>
      <c r="W201" s="2"/>
      <c r="X201" s="6">
        <f t="shared" si="77"/>
        <v>14050</v>
      </c>
      <c r="Y201" s="2"/>
      <c r="Z201" s="7">
        <f t="shared" si="78"/>
        <v>0.83880597014925373</v>
      </c>
    </row>
    <row r="202" spans="1:26" s="24" customFormat="1" hidden="1" outlineLevel="2" x14ac:dyDescent="0.3">
      <c r="A202" s="27"/>
      <c r="B202" s="11" t="str">
        <f>CONCATENATE("          ", "7741", " - ", "INV. SHRINKAGE-LOGO GIFTS")</f>
        <v xml:space="preserve">          7741 - INV. SHRINKAGE-LOGO GIFTS</v>
      </c>
      <c r="C202" s="11"/>
      <c r="D202" s="6"/>
      <c r="E202" s="2"/>
      <c r="F202" s="7">
        <f t="shared" si="71"/>
        <v>0</v>
      </c>
      <c r="G202" s="2"/>
      <c r="H202" s="6"/>
      <c r="I202" s="2"/>
      <c r="J202" s="7">
        <f t="shared" si="72"/>
        <v>0</v>
      </c>
      <c r="K202" s="2"/>
      <c r="L202" s="6">
        <f t="shared" si="73"/>
        <v>0</v>
      </c>
      <c r="M202" s="2"/>
      <c r="N202" s="7">
        <f t="shared" si="74"/>
        <v>0</v>
      </c>
      <c r="O202" s="11"/>
      <c r="P202" s="6"/>
      <c r="Q202" s="2"/>
      <c r="R202" s="7">
        <f t="shared" si="75"/>
        <v>0</v>
      </c>
      <c r="S202" s="2"/>
      <c r="T202" s="6">
        <v>0</v>
      </c>
      <c r="U202" s="2"/>
      <c r="V202" s="7">
        <f t="shared" si="76"/>
        <v>0</v>
      </c>
      <c r="W202" s="2"/>
      <c r="X202" s="6">
        <f t="shared" si="77"/>
        <v>0</v>
      </c>
      <c r="Y202" s="2"/>
      <c r="Z202" s="7">
        <f t="shared" si="78"/>
        <v>0</v>
      </c>
    </row>
    <row r="203" spans="1:26" s="29" customFormat="1" outlineLevel="1" collapsed="1" x14ac:dyDescent="0.3">
      <c r="A203" s="28"/>
      <c r="B203" s="14" t="str">
        <f>CONCATENATE("     ","Professional Services                             ")</f>
        <v xml:space="preserve">     Professional Services                             </v>
      </c>
      <c r="C203" s="14"/>
      <c r="D203" s="1">
        <f>SUM(OSRRefD22_15x_0)</f>
        <v>0</v>
      </c>
      <c r="E203" s="1"/>
      <c r="F203" s="5">
        <f t="shared" ref="F203:F213" si="79">IF(D$12=0,0,D203/D$12)</f>
        <v>0</v>
      </c>
      <c r="G203" s="1"/>
      <c r="H203" s="1">
        <f>SUM(OSRRefH22_15x_0)</f>
        <v>0</v>
      </c>
      <c r="I203" s="1"/>
      <c r="J203" s="5">
        <f t="shared" ref="J203:J213" si="80">IF(H$12=0,0,H203/H$12)</f>
        <v>0</v>
      </c>
      <c r="K203" s="1"/>
      <c r="L203" s="1">
        <f t="shared" ref="L203:L213" si="81">+D203-H203</f>
        <v>0</v>
      </c>
      <c r="M203" s="1"/>
      <c r="N203" s="5">
        <f t="shared" ref="N203:N213" si="82">IF(H203=0,0,L203/H203)</f>
        <v>0</v>
      </c>
      <c r="O203" s="14"/>
      <c r="P203" s="1">
        <f>SUM(OSRRefP22_15x_0)</f>
        <v>8186.53</v>
      </c>
      <c r="Q203" s="1"/>
      <c r="R203" s="5">
        <f t="shared" ref="R203:R213" si="83">IF(P$12=0,0,P203/P$12)</f>
        <v>8.459248586482203E-4</v>
      </c>
      <c r="S203" s="1"/>
      <c r="T203" s="1">
        <f>SUM(OSRRefT22_15x_0)</f>
        <v>0</v>
      </c>
      <c r="U203" s="1"/>
      <c r="V203" s="5">
        <f t="shared" ref="V203:V213" si="84">IF(T$12=0,0,T203/T$12)</f>
        <v>0</v>
      </c>
      <c r="W203" s="1"/>
      <c r="X203" s="1">
        <f t="shared" ref="X203:X213" si="85">+P203-T203</f>
        <v>8186.53</v>
      </c>
      <c r="Y203" s="1"/>
      <c r="Z203" s="5">
        <f t="shared" ref="Z203:Z213" si="86">IF(T203=0,0,X203/T203)</f>
        <v>0</v>
      </c>
    </row>
    <row r="204" spans="1:26" s="24" customFormat="1" hidden="1" outlineLevel="2" x14ac:dyDescent="0.3">
      <c r="A204" s="27"/>
      <c r="B204" s="11" t="str">
        <f>CONCATENATE("          ", "6336", " - ", "PROFESSIONAL SERVICES")</f>
        <v xml:space="preserve">          6336 - PROFESSIONAL SERVICES</v>
      </c>
      <c r="C204" s="11"/>
      <c r="D204" s="6"/>
      <c r="E204" s="2"/>
      <c r="F204" s="7">
        <f t="shared" si="79"/>
        <v>0</v>
      </c>
      <c r="G204" s="2"/>
      <c r="H204" s="6"/>
      <c r="I204" s="2"/>
      <c r="J204" s="7">
        <f t="shared" si="80"/>
        <v>0</v>
      </c>
      <c r="K204" s="2"/>
      <c r="L204" s="6">
        <f t="shared" si="81"/>
        <v>0</v>
      </c>
      <c r="M204" s="2"/>
      <c r="N204" s="7">
        <f t="shared" si="82"/>
        <v>0</v>
      </c>
      <c r="O204" s="11"/>
      <c r="P204" s="6">
        <v>8186.53</v>
      </c>
      <c r="Q204" s="2"/>
      <c r="R204" s="7">
        <f t="shared" si="83"/>
        <v>8.459248586482203E-4</v>
      </c>
      <c r="S204" s="2"/>
      <c r="T204" s="6"/>
      <c r="U204" s="2"/>
      <c r="V204" s="7">
        <f t="shared" si="84"/>
        <v>0</v>
      </c>
      <c r="W204" s="2"/>
      <c r="X204" s="6">
        <f t="shared" si="85"/>
        <v>8186.53</v>
      </c>
      <c r="Y204" s="2"/>
      <c r="Z204" s="7">
        <f t="shared" si="86"/>
        <v>0</v>
      </c>
    </row>
    <row r="205" spans="1:26" s="29" customFormat="1" outlineLevel="1" collapsed="1" x14ac:dyDescent="0.3">
      <c r="A205" s="28"/>
      <c r="B205" s="14" t="str">
        <f>CONCATENATE("     ","R/H Commissions                                   ")</f>
        <v xml:space="preserve">     R/H Commissions                                   </v>
      </c>
      <c r="C205" s="14"/>
      <c r="D205" s="1">
        <f>SUM(OSRRefD22_16x_0)</f>
        <v>102145.22</v>
      </c>
      <c r="E205" s="1"/>
      <c r="F205" s="5">
        <f t="shared" si="79"/>
        <v>5.6548969090071781E-2</v>
      </c>
      <c r="G205" s="1"/>
      <c r="H205" s="1">
        <f>SUM(OSRRefH22_16x_0)</f>
        <v>7982.87</v>
      </c>
      <c r="I205" s="1"/>
      <c r="J205" s="5">
        <f t="shared" si="80"/>
        <v>2.0183902798526113E-2</v>
      </c>
      <c r="K205" s="1"/>
      <c r="L205" s="1">
        <f t="shared" si="81"/>
        <v>94162.35</v>
      </c>
      <c r="M205" s="1"/>
      <c r="N205" s="5">
        <f t="shared" si="82"/>
        <v>11.795550973522055</v>
      </c>
      <c r="O205" s="14"/>
      <c r="P205" s="1">
        <f>SUM(OSRRefP22_16x_0)</f>
        <v>372916.2</v>
      </c>
      <c r="Q205" s="1"/>
      <c r="R205" s="5">
        <f t="shared" si="83"/>
        <v>3.8533918983089478E-2</v>
      </c>
      <c r="S205" s="1"/>
      <c r="T205" s="1">
        <f>SUM(OSRRefT22_16x_0)</f>
        <v>36703.07</v>
      </c>
      <c r="U205" s="1"/>
      <c r="V205" s="5">
        <f t="shared" si="84"/>
        <v>7.8772361898070738E-3</v>
      </c>
      <c r="W205" s="1"/>
      <c r="X205" s="1">
        <f t="shared" si="85"/>
        <v>336213.13</v>
      </c>
      <c r="Y205" s="1"/>
      <c r="Z205" s="5">
        <f t="shared" si="86"/>
        <v>9.1603544335664573</v>
      </c>
    </row>
    <row r="206" spans="1:26" s="24" customFormat="1" hidden="1" outlineLevel="2" x14ac:dyDescent="0.3">
      <c r="A206" s="27"/>
      <c r="B206" s="11" t="str">
        <f>CONCATENATE("          ", "6387", " - ", "COMMISSION DUE HOUSING")</f>
        <v xml:space="preserve">          6387 - COMMISSION DUE HOUSING</v>
      </c>
      <c r="C206" s="11"/>
      <c r="D206" s="6">
        <v>102145.22</v>
      </c>
      <c r="E206" s="2"/>
      <c r="F206" s="7">
        <f t="shared" si="79"/>
        <v>5.6548969090071781E-2</v>
      </c>
      <c r="G206" s="2"/>
      <c r="H206" s="6">
        <v>7982.87</v>
      </c>
      <c r="I206" s="2"/>
      <c r="J206" s="7">
        <f t="shared" si="80"/>
        <v>2.0183902798526113E-2</v>
      </c>
      <c r="K206" s="2"/>
      <c r="L206" s="6">
        <f t="shared" si="81"/>
        <v>94162.35</v>
      </c>
      <c r="M206" s="2"/>
      <c r="N206" s="7">
        <f t="shared" si="82"/>
        <v>11.795550973522055</v>
      </c>
      <c r="O206" s="11"/>
      <c r="P206" s="6">
        <v>372916.2</v>
      </c>
      <c r="Q206" s="2"/>
      <c r="R206" s="7">
        <f t="shared" si="83"/>
        <v>3.8533918983089478E-2</v>
      </c>
      <c r="S206" s="2"/>
      <c r="T206" s="6">
        <v>36703.07</v>
      </c>
      <c r="U206" s="2"/>
      <c r="V206" s="7">
        <f t="shared" si="84"/>
        <v>7.8772361898070738E-3</v>
      </c>
      <c r="W206" s="2"/>
      <c r="X206" s="6">
        <f t="shared" si="85"/>
        <v>336213.13</v>
      </c>
      <c r="Y206" s="2"/>
      <c r="Z206" s="7">
        <f t="shared" si="86"/>
        <v>9.1603544335664573</v>
      </c>
    </row>
    <row r="207" spans="1:26" s="29" customFormat="1" outlineLevel="1" collapsed="1" x14ac:dyDescent="0.3">
      <c r="A207" s="28"/>
      <c r="B207" s="14" t="str">
        <f>CONCATENATE("     ","Rent                                              ")</f>
        <v xml:space="preserve">     Rent                                              </v>
      </c>
      <c r="C207" s="14"/>
      <c r="D207" s="1">
        <f>SUM(OSRRefD22_17x_0)</f>
        <v>8750</v>
      </c>
      <c r="E207" s="1"/>
      <c r="F207" s="5">
        <f t="shared" si="79"/>
        <v>4.8441178112703471E-3</v>
      </c>
      <c r="G207" s="1"/>
      <c r="H207" s="1">
        <f>SUM(OSRRefH22_17x_0)</f>
        <v>6900</v>
      </c>
      <c r="I207" s="1"/>
      <c r="J207" s="5">
        <f t="shared" si="80"/>
        <v>1.7445972352027554E-2</v>
      </c>
      <c r="K207" s="1"/>
      <c r="L207" s="1">
        <f t="shared" si="81"/>
        <v>1850</v>
      </c>
      <c r="M207" s="1"/>
      <c r="N207" s="5">
        <f t="shared" si="82"/>
        <v>0.26811594202898553</v>
      </c>
      <c r="O207" s="14"/>
      <c r="P207" s="1">
        <f>SUM(OSRRefP22_17x_0)</f>
        <v>43750</v>
      </c>
      <c r="Q207" s="1"/>
      <c r="R207" s="5">
        <f t="shared" si="83"/>
        <v>4.5207447558195772E-3</v>
      </c>
      <c r="S207" s="1"/>
      <c r="T207" s="1">
        <f>SUM(OSRRefT22_17x_0)</f>
        <v>40050</v>
      </c>
      <c r="U207" s="1"/>
      <c r="V207" s="5">
        <f t="shared" si="84"/>
        <v>8.5955564317037585E-3</v>
      </c>
      <c r="W207" s="1"/>
      <c r="X207" s="1">
        <f t="shared" si="85"/>
        <v>3700</v>
      </c>
      <c r="Y207" s="1"/>
      <c r="Z207" s="5">
        <f t="shared" si="86"/>
        <v>9.2384519350811489E-2</v>
      </c>
    </row>
    <row r="208" spans="1:26" s="24" customFormat="1" hidden="1" outlineLevel="2" x14ac:dyDescent="0.3">
      <c r="A208" s="27"/>
      <c r="B208" s="11" t="str">
        <f>CONCATENATE("          ", "6273", " - ", "RENT")</f>
        <v xml:space="preserve">          6273 - RENT</v>
      </c>
      <c r="C208" s="11"/>
      <c r="D208" s="6">
        <v>8750</v>
      </c>
      <c r="E208" s="2"/>
      <c r="F208" s="7">
        <f t="shared" si="79"/>
        <v>4.8441178112703471E-3</v>
      </c>
      <c r="G208" s="2"/>
      <c r="H208" s="6">
        <v>6900</v>
      </c>
      <c r="I208" s="2"/>
      <c r="J208" s="7">
        <f t="shared" si="80"/>
        <v>1.7445972352027554E-2</v>
      </c>
      <c r="K208" s="2"/>
      <c r="L208" s="6">
        <f t="shared" si="81"/>
        <v>1850</v>
      </c>
      <c r="M208" s="2"/>
      <c r="N208" s="7">
        <f t="shared" si="82"/>
        <v>0.26811594202898553</v>
      </c>
      <c r="O208" s="11"/>
      <c r="P208" s="6">
        <v>43750</v>
      </c>
      <c r="Q208" s="2"/>
      <c r="R208" s="7">
        <f t="shared" si="83"/>
        <v>4.5207447558195772E-3</v>
      </c>
      <c r="S208" s="2"/>
      <c r="T208" s="6">
        <v>40050</v>
      </c>
      <c r="U208" s="2"/>
      <c r="V208" s="7">
        <f t="shared" si="84"/>
        <v>8.5955564317037585E-3</v>
      </c>
      <c r="W208" s="2"/>
      <c r="X208" s="6">
        <f t="shared" si="85"/>
        <v>3700</v>
      </c>
      <c r="Y208" s="2"/>
      <c r="Z208" s="7">
        <f t="shared" si="86"/>
        <v>9.2384519350811489E-2</v>
      </c>
    </row>
    <row r="209" spans="1:26" s="29" customFormat="1" outlineLevel="1" collapsed="1" x14ac:dyDescent="0.3">
      <c r="A209" s="28"/>
      <c r="B209" s="14" t="str">
        <f>CONCATENATE("     ","Repair and Maintenance                            ")</f>
        <v xml:space="preserve">     Repair and Maintenance                            </v>
      </c>
      <c r="C209" s="14"/>
      <c r="D209" s="1">
        <f>SUM(OSRRefD22_18x_0)</f>
        <v>10867.77</v>
      </c>
      <c r="E209" s="1"/>
      <c r="F209" s="5">
        <f t="shared" si="79"/>
        <v>6.0165437972330904E-3</v>
      </c>
      <c r="G209" s="1"/>
      <c r="H209" s="1">
        <f>SUM(OSRRefH22_18x_0)</f>
        <v>8365.2999999999993</v>
      </c>
      <c r="I209" s="1"/>
      <c r="J209" s="5">
        <f t="shared" si="80"/>
        <v>2.1150839495132766E-2</v>
      </c>
      <c r="K209" s="1"/>
      <c r="L209" s="1">
        <f t="shared" si="81"/>
        <v>2502.4700000000012</v>
      </c>
      <c r="M209" s="1"/>
      <c r="N209" s="5">
        <f t="shared" si="82"/>
        <v>0.29914886495403648</v>
      </c>
      <c r="O209" s="14"/>
      <c r="P209" s="1">
        <f>SUM(OSRRefP22_18x_0)</f>
        <v>279639.25</v>
      </c>
      <c r="Q209" s="1"/>
      <c r="R209" s="5">
        <f t="shared" si="83"/>
        <v>2.8895489667630163E-2</v>
      </c>
      <c r="S209" s="1"/>
      <c r="T209" s="1">
        <f>SUM(OSRRefT22_18x_0)</f>
        <v>249581.35</v>
      </c>
      <c r="U209" s="1"/>
      <c r="V209" s="5">
        <f t="shared" si="84"/>
        <v>5.3565307820869087E-2</v>
      </c>
      <c r="W209" s="1"/>
      <c r="X209" s="1">
        <f t="shared" si="85"/>
        <v>30057.899999999994</v>
      </c>
      <c r="Y209" s="1"/>
      <c r="Z209" s="5">
        <f t="shared" si="86"/>
        <v>0.12043327756661303</v>
      </c>
    </row>
    <row r="210" spans="1:26" s="24" customFormat="1" hidden="1" outlineLevel="2" x14ac:dyDescent="0.3">
      <c r="A210" s="27"/>
      <c r="B210" s="11" t="str">
        <f>CONCATENATE("          ", "6371", " - ", "COMPUTER SOFTWARE MAINTENANCE")</f>
        <v xml:space="preserve">          6371 - COMPUTER SOFTWARE MAINTENANCE</v>
      </c>
      <c r="C210" s="11"/>
      <c r="D210" s="6">
        <v>3880.32</v>
      </c>
      <c r="E210" s="2"/>
      <c r="F210" s="7">
        <f t="shared" si="79"/>
        <v>2.1481973971918347E-3</v>
      </c>
      <c r="G210" s="2"/>
      <c r="H210" s="6"/>
      <c r="I210" s="2"/>
      <c r="J210" s="7">
        <f t="shared" si="80"/>
        <v>0</v>
      </c>
      <c r="K210" s="2"/>
      <c r="L210" s="6">
        <f t="shared" si="81"/>
        <v>3880.32</v>
      </c>
      <c r="M210" s="2"/>
      <c r="N210" s="7">
        <f t="shared" si="82"/>
        <v>0</v>
      </c>
      <c r="O210" s="11"/>
      <c r="P210" s="6">
        <v>85728.72</v>
      </c>
      <c r="Q210" s="2"/>
      <c r="R210" s="7">
        <f t="shared" si="83"/>
        <v>8.8584608311571399E-3</v>
      </c>
      <c r="S210" s="2"/>
      <c r="T210" s="6">
        <v>58436.47</v>
      </c>
      <c r="U210" s="2"/>
      <c r="V210" s="7">
        <f t="shared" si="84"/>
        <v>1.254167229849098E-2</v>
      </c>
      <c r="W210" s="2"/>
      <c r="X210" s="6">
        <f t="shared" si="85"/>
        <v>27292.25</v>
      </c>
      <c r="Y210" s="2"/>
      <c r="Z210" s="7">
        <f t="shared" si="86"/>
        <v>0.46704138699685316</v>
      </c>
    </row>
    <row r="211" spans="1:26" s="24" customFormat="1" hidden="1" outlineLevel="2" x14ac:dyDescent="0.3">
      <c r="A211" s="27"/>
      <c r="B211" s="11" t="str">
        <f>CONCATENATE("          ", "6372", " - ", "COMPUTER HARDWARE MAINTENANCE")</f>
        <v xml:space="preserve">          6372 - COMPUTER HARDWARE MAINTENANCE</v>
      </c>
      <c r="C211" s="11"/>
      <c r="D211" s="6"/>
      <c r="E211" s="2"/>
      <c r="F211" s="7">
        <f t="shared" si="79"/>
        <v>0</v>
      </c>
      <c r="G211" s="2"/>
      <c r="H211" s="6"/>
      <c r="I211" s="2"/>
      <c r="J211" s="7">
        <f t="shared" si="80"/>
        <v>0</v>
      </c>
      <c r="K211" s="2"/>
      <c r="L211" s="6">
        <f t="shared" si="81"/>
        <v>0</v>
      </c>
      <c r="M211" s="2"/>
      <c r="N211" s="7">
        <f t="shared" si="82"/>
        <v>0</v>
      </c>
      <c r="O211" s="11"/>
      <c r="P211" s="6"/>
      <c r="Q211" s="2"/>
      <c r="R211" s="7">
        <f t="shared" si="83"/>
        <v>0</v>
      </c>
      <c r="S211" s="2"/>
      <c r="T211" s="6">
        <v>0</v>
      </c>
      <c r="U211" s="2"/>
      <c r="V211" s="7">
        <f t="shared" si="84"/>
        <v>0</v>
      </c>
      <c r="W211" s="2"/>
      <c r="X211" s="6">
        <f t="shared" si="85"/>
        <v>0</v>
      </c>
      <c r="Y211" s="2"/>
      <c r="Z211" s="7">
        <f t="shared" si="86"/>
        <v>0</v>
      </c>
    </row>
    <row r="212" spans="1:26" s="24" customFormat="1" hidden="1" outlineLevel="2" x14ac:dyDescent="0.3">
      <c r="A212" s="27"/>
      <c r="B212" s="11" t="str">
        <f>CONCATENATE("          ", "6373", " - ", "MAINTENANCE CONTRACTS")</f>
        <v xml:space="preserve">          6373 - MAINTENANCE CONTRACTS</v>
      </c>
      <c r="C212" s="11"/>
      <c r="D212" s="6">
        <v>3052.32</v>
      </c>
      <c r="E212" s="2"/>
      <c r="F212" s="7">
        <f t="shared" si="79"/>
        <v>1.6898054488796235E-3</v>
      </c>
      <c r="G212" s="2"/>
      <c r="H212" s="6">
        <v>1348.82</v>
      </c>
      <c r="I212" s="2"/>
      <c r="J212" s="7">
        <f t="shared" si="80"/>
        <v>3.4103589025886671E-3</v>
      </c>
      <c r="K212" s="2"/>
      <c r="L212" s="6">
        <f t="shared" si="81"/>
        <v>1703.5000000000002</v>
      </c>
      <c r="M212" s="2"/>
      <c r="N212" s="7">
        <f t="shared" si="82"/>
        <v>1.2629557687460153</v>
      </c>
      <c r="O212" s="11"/>
      <c r="P212" s="6">
        <v>141447.12</v>
      </c>
      <c r="Q212" s="2"/>
      <c r="R212" s="7">
        <f t="shared" si="83"/>
        <v>1.4615916022075025E-2</v>
      </c>
      <c r="S212" s="2"/>
      <c r="T212" s="6">
        <v>161459.07</v>
      </c>
      <c r="U212" s="2"/>
      <c r="V212" s="7">
        <f t="shared" si="84"/>
        <v>3.4652448129723033E-2</v>
      </c>
      <c r="W212" s="2"/>
      <c r="X212" s="6">
        <f t="shared" si="85"/>
        <v>-20011.950000000012</v>
      </c>
      <c r="Y212" s="2"/>
      <c r="Z212" s="7">
        <f t="shared" si="86"/>
        <v>-0.12394441513877177</v>
      </c>
    </row>
    <row r="213" spans="1:26" s="24" customFormat="1" hidden="1" outlineLevel="2" x14ac:dyDescent="0.3">
      <c r="A213" s="27"/>
      <c r="B213" s="11" t="str">
        <f>CONCATENATE("          ", "6375", " - ", "OUTSIDE REPAIRS &amp; MAINTENANCE")</f>
        <v xml:space="preserve">          6375 - OUTSIDE REPAIRS &amp; MAINTENANCE</v>
      </c>
      <c r="C213" s="11"/>
      <c r="D213" s="6">
        <v>3935.13</v>
      </c>
      <c r="E213" s="2"/>
      <c r="F213" s="7">
        <f t="shared" si="79"/>
        <v>2.1785409511616322E-3</v>
      </c>
      <c r="G213" s="2"/>
      <c r="H213" s="6">
        <v>7016.48</v>
      </c>
      <c r="I213" s="2"/>
      <c r="J213" s="7">
        <f t="shared" si="80"/>
        <v>1.7740480592544097E-2</v>
      </c>
      <c r="K213" s="2"/>
      <c r="L213" s="6">
        <f t="shared" si="81"/>
        <v>-3081.3499999999995</v>
      </c>
      <c r="M213" s="2"/>
      <c r="N213" s="7">
        <f t="shared" si="82"/>
        <v>-0.43915895149704692</v>
      </c>
      <c r="O213" s="11"/>
      <c r="P213" s="6">
        <v>52463.41</v>
      </c>
      <c r="Q213" s="2"/>
      <c r="R213" s="7">
        <f t="shared" si="83"/>
        <v>5.4211128143979966E-3</v>
      </c>
      <c r="S213" s="2"/>
      <c r="T213" s="6">
        <v>29685.81</v>
      </c>
      <c r="U213" s="2"/>
      <c r="V213" s="7">
        <f t="shared" si="84"/>
        <v>6.3711873926550755E-3</v>
      </c>
      <c r="W213" s="2"/>
      <c r="X213" s="6">
        <f t="shared" si="85"/>
        <v>22777.600000000002</v>
      </c>
      <c r="Y213" s="2"/>
      <c r="Z213" s="7">
        <f t="shared" si="86"/>
        <v>0.76728915262881492</v>
      </c>
    </row>
    <row r="214" spans="1:26" s="29" customFormat="1" outlineLevel="1" collapsed="1" x14ac:dyDescent="0.3">
      <c r="A214" s="28"/>
      <c r="B214" s="14" t="str">
        <f>CONCATENATE("     ","Royalty &amp; Commissions                             ")</f>
        <v xml:space="preserve">     Royalty &amp; Commissions                             </v>
      </c>
      <c r="C214" s="14"/>
      <c r="D214" s="1">
        <f>SUM(OSRRefD22_19x_0)</f>
        <v>1150.99</v>
      </c>
      <c r="E214" s="1"/>
      <c r="F214" s="5">
        <f t="shared" ref="F214:F217" si="87">IF(D$12=0,0,D214/D$12)</f>
        <v>6.3720356109646359E-4</v>
      </c>
      <c r="G214" s="1"/>
      <c r="H214" s="1">
        <f>SUM(OSRRefH22_19x_0)</f>
        <v>4453.09</v>
      </c>
      <c r="I214" s="1"/>
      <c r="J214" s="5">
        <f t="shared" ref="J214:J217" si="88">IF(H$12=0,0,H214/H$12)</f>
        <v>1.1259200727694258E-2</v>
      </c>
      <c r="K214" s="1"/>
      <c r="L214" s="1">
        <f t="shared" ref="L214:L217" si="89">+D214-H214</f>
        <v>-3302.1000000000004</v>
      </c>
      <c r="M214" s="1"/>
      <c r="N214" s="5">
        <f t="shared" ref="N214:N217" si="90">IF(H214=0,0,L214/H214)</f>
        <v>-0.74153003869223399</v>
      </c>
      <c r="O214" s="14"/>
      <c r="P214" s="1">
        <f>SUM(OSRRefP22_19x_0)</f>
        <v>22058.14</v>
      </c>
      <c r="Q214" s="1"/>
      <c r="R214" s="5">
        <f t="shared" ref="R214:R217" si="91">IF(P$12=0,0,P214/P$12)</f>
        <v>2.2792964737859208E-3</v>
      </c>
      <c r="S214" s="1"/>
      <c r="T214" s="1">
        <f>SUM(OSRRefT22_19x_0)</f>
        <v>28755.79</v>
      </c>
      <c r="U214" s="1"/>
      <c r="V214" s="5">
        <f t="shared" ref="V214:V217" si="92">IF(T$12=0,0,T214/T$12)</f>
        <v>6.1715859096934493E-3</v>
      </c>
      <c r="W214" s="1"/>
      <c r="X214" s="1">
        <f t="shared" ref="X214:X217" si="93">+P214-T214</f>
        <v>-6697.6500000000015</v>
      </c>
      <c r="Y214" s="1"/>
      <c r="Z214" s="5">
        <f t="shared" ref="Z214:Z217" si="94">IF(T214=0,0,X214/T214)</f>
        <v>-0.23291483210859451</v>
      </c>
    </row>
    <row r="215" spans="1:26" s="24" customFormat="1" hidden="1" outlineLevel="2" x14ac:dyDescent="0.3">
      <c r="A215" s="27"/>
      <c r="B215" s="11" t="str">
        <f>CONCATENATE("          ", "6253", " - ", "ROYALTY DUE ATHLETICS-LRG")</f>
        <v xml:space="preserve">          6253 - ROYALTY DUE ATHLETICS-LRG</v>
      </c>
      <c r="C215" s="11"/>
      <c r="D215" s="6"/>
      <c r="E215" s="2"/>
      <c r="F215" s="7">
        <f t="shared" si="87"/>
        <v>0</v>
      </c>
      <c r="G215" s="2"/>
      <c r="H215" s="6"/>
      <c r="I215" s="2"/>
      <c r="J215" s="7">
        <f t="shared" si="88"/>
        <v>0</v>
      </c>
      <c r="K215" s="2"/>
      <c r="L215" s="6">
        <f t="shared" si="89"/>
        <v>0</v>
      </c>
      <c r="M215" s="2"/>
      <c r="N215" s="7">
        <f t="shared" si="90"/>
        <v>0</v>
      </c>
      <c r="O215" s="11"/>
      <c r="P215" s="6">
        <v>23160.29</v>
      </c>
      <c r="Q215" s="2"/>
      <c r="R215" s="7">
        <f t="shared" si="91"/>
        <v>2.393183075674528E-3</v>
      </c>
      <c r="S215" s="2"/>
      <c r="T215" s="6">
        <v>18411.8</v>
      </c>
      <c r="U215" s="2"/>
      <c r="V215" s="7">
        <f t="shared" si="92"/>
        <v>3.9515522074717417E-3</v>
      </c>
      <c r="W215" s="2"/>
      <c r="X215" s="6">
        <f t="shared" si="93"/>
        <v>4748.4900000000016</v>
      </c>
      <c r="Y215" s="2"/>
      <c r="Z215" s="7">
        <f t="shared" si="94"/>
        <v>0.25790471328169989</v>
      </c>
    </row>
    <row r="216" spans="1:26" s="24" customFormat="1" hidden="1" outlineLevel="2" x14ac:dyDescent="0.3">
      <c r="A216" s="27"/>
      <c r="B216" s="11" t="str">
        <f>CONCATENATE("          ", "6254", " - ", "ROYALTY &amp; COMMISSIONS")</f>
        <v xml:space="preserve">          6254 - ROYALTY &amp; COMMISSIONS</v>
      </c>
      <c r="C216" s="11"/>
      <c r="D216" s="6">
        <v>366.22</v>
      </c>
      <c r="E216" s="2"/>
      <c r="F216" s="7">
        <f t="shared" si="87"/>
        <v>2.0274432283924875E-4</v>
      </c>
      <c r="G216" s="2"/>
      <c r="H216" s="6"/>
      <c r="I216" s="2"/>
      <c r="J216" s="7">
        <f t="shared" si="88"/>
        <v>0</v>
      </c>
      <c r="K216" s="2"/>
      <c r="L216" s="6">
        <f t="shared" si="89"/>
        <v>366.22</v>
      </c>
      <c r="M216" s="2"/>
      <c r="N216" s="7">
        <f t="shared" si="90"/>
        <v>0</v>
      </c>
      <c r="O216" s="11"/>
      <c r="P216" s="6">
        <v>-5595.06</v>
      </c>
      <c r="Q216" s="2"/>
      <c r="R216" s="7">
        <f t="shared" si="91"/>
        <v>-5.7814487207990596E-4</v>
      </c>
      <c r="S216" s="2"/>
      <c r="T216" s="6">
        <v>185.7</v>
      </c>
      <c r="U216" s="2"/>
      <c r="V216" s="7">
        <f t="shared" si="92"/>
        <v>3.9855051919285593E-5</v>
      </c>
      <c r="W216" s="2"/>
      <c r="X216" s="6">
        <f t="shared" si="93"/>
        <v>-5780.76</v>
      </c>
      <c r="Y216" s="2"/>
      <c r="Z216" s="7">
        <f t="shared" si="94"/>
        <v>-31.129563812600974</v>
      </c>
    </row>
    <row r="217" spans="1:26" s="24" customFormat="1" hidden="1" outlineLevel="2" x14ac:dyDescent="0.3">
      <c r="A217" s="27"/>
      <c r="B217" s="11" t="str">
        <f>CONCATENATE("          ", "6259", " - ", "ROYALTY &amp; COMMISSIONS")</f>
        <v xml:space="preserve">          6259 - ROYALTY &amp; COMMISSIONS</v>
      </c>
      <c r="C217" s="11"/>
      <c r="D217" s="6">
        <v>784.77</v>
      </c>
      <c r="E217" s="2"/>
      <c r="F217" s="7">
        <f t="shared" si="87"/>
        <v>4.3445923825721484E-4</v>
      </c>
      <c r="G217" s="2"/>
      <c r="H217" s="6">
        <v>4453.09</v>
      </c>
      <c r="I217" s="2"/>
      <c r="J217" s="7">
        <f t="shared" si="88"/>
        <v>1.1259200727694258E-2</v>
      </c>
      <c r="K217" s="2"/>
      <c r="L217" s="6">
        <f t="shared" si="89"/>
        <v>-3668.32</v>
      </c>
      <c r="M217" s="2"/>
      <c r="N217" s="7">
        <f t="shared" si="90"/>
        <v>-0.82376956225901565</v>
      </c>
      <c r="O217" s="11"/>
      <c r="P217" s="6">
        <v>4492.91</v>
      </c>
      <c r="Q217" s="2"/>
      <c r="R217" s="7">
        <f t="shared" si="91"/>
        <v>4.6425827019129908E-4</v>
      </c>
      <c r="S217" s="2"/>
      <c r="T217" s="6">
        <v>10158.290000000001</v>
      </c>
      <c r="U217" s="2"/>
      <c r="V217" s="7">
        <f t="shared" si="92"/>
        <v>2.1801786503024218E-3</v>
      </c>
      <c r="W217" s="2"/>
      <c r="X217" s="6">
        <f t="shared" si="93"/>
        <v>-5665.380000000001</v>
      </c>
      <c r="Y217" s="2"/>
      <c r="Z217" s="7">
        <f t="shared" si="94"/>
        <v>-0.55771000827895256</v>
      </c>
    </row>
    <row r="218" spans="1:26" s="29" customFormat="1" outlineLevel="1" collapsed="1" x14ac:dyDescent="0.3">
      <c r="A218" s="28"/>
      <c r="B218" s="14" t="str">
        <f>CONCATENATE("     ","Services                                          ")</f>
        <v xml:space="preserve">     Services                                          </v>
      </c>
      <c r="C218" s="14"/>
      <c r="D218" s="1">
        <f>SUM(OSRRefD22_20x_0)</f>
        <v>28531.78</v>
      </c>
      <c r="E218" s="1"/>
      <c r="F218" s="5">
        <f t="shared" ref="F218:F223" si="95">IF(D$12=0,0,D218/D$12)</f>
        <v>1.5795577564028235E-2</v>
      </c>
      <c r="G218" s="1"/>
      <c r="H218" s="1">
        <f>SUM(OSRRefH22_20x_0)</f>
        <v>22028.5</v>
      </c>
      <c r="I218" s="1"/>
      <c r="J218" s="5">
        <f t="shared" ref="J218:J223" si="96">IF(H$12=0,0,H218/H$12)</f>
        <v>5.5696898834295502E-2</v>
      </c>
      <c r="K218" s="1"/>
      <c r="L218" s="1">
        <f t="shared" ref="L218:L223" si="97">+D218-H218</f>
        <v>6503.2799999999988</v>
      </c>
      <c r="M218" s="1"/>
      <c r="N218" s="5">
        <f t="shared" ref="N218:N223" si="98">IF(H218=0,0,L218/H218)</f>
        <v>0.29522119073019037</v>
      </c>
      <c r="O218" s="14"/>
      <c r="P218" s="1">
        <f>SUM(OSRRefP22_20x_0)</f>
        <v>161978.1</v>
      </c>
      <c r="Q218" s="1"/>
      <c r="R218" s="5">
        <f t="shared" ref="R218:R223" si="99">IF(P$12=0,0,P218/P$12)</f>
        <v>1.6737409054459862E-2</v>
      </c>
      <c r="S218" s="1"/>
      <c r="T218" s="1">
        <f>SUM(OSRRefT22_20x_0)</f>
        <v>94490.069999999992</v>
      </c>
      <c r="U218" s="1"/>
      <c r="V218" s="5">
        <f t="shared" ref="V218:V223" si="100">IF(T$12=0,0,T218/T$12)</f>
        <v>2.0279518824485351E-2</v>
      </c>
      <c r="W218" s="1"/>
      <c r="X218" s="1">
        <f t="shared" ref="X218:X223" si="101">+P218-T218</f>
        <v>67488.030000000013</v>
      </c>
      <c r="Y218" s="1"/>
      <c r="Z218" s="5">
        <f t="shared" ref="Z218:Z223" si="102">IF(T218=0,0,X218/T218)</f>
        <v>0.7142340988846767</v>
      </c>
    </row>
    <row r="219" spans="1:26" s="24" customFormat="1" hidden="1" outlineLevel="2" x14ac:dyDescent="0.3">
      <c r="A219" s="27"/>
      <c r="B219" s="11" t="str">
        <f>CONCATENATE("          ", "6282", " - ", "JANITORIAL/EXTERMINATOR EXPENS")</f>
        <v xml:space="preserve">          6282 - JANITORIAL/EXTERMINATOR EXPENS</v>
      </c>
      <c r="C219" s="11"/>
      <c r="D219" s="6">
        <v>3176.63</v>
      </c>
      <c r="E219" s="2"/>
      <c r="F219" s="7">
        <f t="shared" si="95"/>
        <v>1.7586251386075111E-3</v>
      </c>
      <c r="G219" s="2"/>
      <c r="H219" s="6">
        <v>438.2</v>
      </c>
      <c r="I219" s="2"/>
      <c r="J219" s="7">
        <f t="shared" si="96"/>
        <v>1.1079456644432571E-3</v>
      </c>
      <c r="K219" s="2"/>
      <c r="L219" s="6">
        <f t="shared" si="97"/>
        <v>2738.4300000000003</v>
      </c>
      <c r="M219" s="2"/>
      <c r="N219" s="7">
        <f t="shared" si="98"/>
        <v>6.2492697398448209</v>
      </c>
      <c r="O219" s="11"/>
      <c r="P219" s="6">
        <v>18023.61</v>
      </c>
      <c r="Q219" s="2"/>
      <c r="R219" s="7">
        <f t="shared" si="99"/>
        <v>1.8624032088785665E-3</v>
      </c>
      <c r="S219" s="2"/>
      <c r="T219" s="6">
        <v>10852.32</v>
      </c>
      <c r="U219" s="2"/>
      <c r="V219" s="7">
        <f t="shared" si="100"/>
        <v>2.3291318096106701E-3</v>
      </c>
      <c r="W219" s="2"/>
      <c r="X219" s="6">
        <f t="shared" si="101"/>
        <v>7171.2900000000009</v>
      </c>
      <c r="Y219" s="2"/>
      <c r="Z219" s="7">
        <f t="shared" si="102"/>
        <v>0.66080709009686422</v>
      </c>
    </row>
    <row r="220" spans="1:26" s="24" customFormat="1" hidden="1" outlineLevel="2" x14ac:dyDescent="0.3">
      <c r="A220" s="27"/>
      <c r="B220" s="11" t="str">
        <f>CONCATENATE("          ", "6283", " - ", "PLANT SERVICE")</f>
        <v xml:space="preserve">          6283 - PLANT SERVICE</v>
      </c>
      <c r="C220" s="11"/>
      <c r="D220" s="6"/>
      <c r="E220" s="2"/>
      <c r="F220" s="7">
        <f t="shared" si="95"/>
        <v>0</v>
      </c>
      <c r="G220" s="2"/>
      <c r="H220" s="6">
        <v>41.31</v>
      </c>
      <c r="I220" s="2"/>
      <c r="J220" s="7">
        <f t="shared" si="96"/>
        <v>1.0444827795105192E-4</v>
      </c>
      <c r="K220" s="2"/>
      <c r="L220" s="6">
        <f t="shared" si="97"/>
        <v>-41.31</v>
      </c>
      <c r="M220" s="2"/>
      <c r="N220" s="7">
        <f t="shared" si="98"/>
        <v>-1</v>
      </c>
      <c r="O220" s="11"/>
      <c r="P220" s="6"/>
      <c r="Q220" s="2"/>
      <c r="R220" s="7">
        <f t="shared" si="99"/>
        <v>0</v>
      </c>
      <c r="S220" s="2"/>
      <c r="T220" s="6">
        <v>171.31</v>
      </c>
      <c r="U220" s="2"/>
      <c r="V220" s="7">
        <f t="shared" si="100"/>
        <v>3.6766660981652211E-5</v>
      </c>
      <c r="W220" s="2"/>
      <c r="X220" s="6">
        <f t="shared" si="101"/>
        <v>-171.31</v>
      </c>
      <c r="Y220" s="2"/>
      <c r="Z220" s="7">
        <f t="shared" si="102"/>
        <v>-1</v>
      </c>
    </row>
    <row r="221" spans="1:26" s="24" customFormat="1" hidden="1" outlineLevel="2" x14ac:dyDescent="0.3">
      <c r="A221" s="27"/>
      <c r="B221" s="11" t="str">
        <f>CONCATENATE("          ", "6284", " - ", "TRASH REMOVAL EXPENSE")</f>
        <v xml:space="preserve">          6284 - TRASH REMOVAL EXPENSE</v>
      </c>
      <c r="C221" s="11"/>
      <c r="D221" s="6">
        <v>149.69999999999999</v>
      </c>
      <c r="E221" s="2"/>
      <c r="F221" s="7">
        <f t="shared" si="95"/>
        <v>8.2875935582533817E-5</v>
      </c>
      <c r="G221" s="2"/>
      <c r="H221" s="6">
        <v>5658</v>
      </c>
      <c r="I221" s="2"/>
      <c r="J221" s="7">
        <f t="shared" si="96"/>
        <v>1.4305697328662593E-2</v>
      </c>
      <c r="K221" s="2"/>
      <c r="L221" s="6">
        <f t="shared" si="97"/>
        <v>-5508.3</v>
      </c>
      <c r="M221" s="2"/>
      <c r="N221" s="7">
        <f t="shared" si="98"/>
        <v>-0.97354188759278903</v>
      </c>
      <c r="O221" s="11"/>
      <c r="P221" s="6">
        <v>741.37</v>
      </c>
      <c r="Q221" s="2"/>
      <c r="R221" s="7">
        <f t="shared" si="99"/>
        <v>7.6606732334216223E-5</v>
      </c>
      <c r="S221" s="2"/>
      <c r="T221" s="6">
        <v>14373.3</v>
      </c>
      <c r="U221" s="2"/>
      <c r="V221" s="7">
        <f t="shared" si="100"/>
        <v>3.0848067730289046E-3</v>
      </c>
      <c r="W221" s="2"/>
      <c r="X221" s="6">
        <f t="shared" si="101"/>
        <v>-13631.929999999998</v>
      </c>
      <c r="Y221" s="2"/>
      <c r="Z221" s="7">
        <f t="shared" si="102"/>
        <v>-0.94842033492656519</v>
      </c>
    </row>
    <row r="222" spans="1:26" s="24" customFormat="1" hidden="1" outlineLevel="2" x14ac:dyDescent="0.3">
      <c r="A222" s="27"/>
      <c r="B222" s="11" t="str">
        <f>CONCATENATE("          ", "6285", " - ", "JANITORIAL SERVICES")</f>
        <v xml:space="preserve">          6285 - JANITORIAL SERVICES</v>
      </c>
      <c r="C222" s="11"/>
      <c r="D222" s="6">
        <v>22379.7</v>
      </c>
      <c r="E222" s="2"/>
      <c r="F222" s="7">
        <f t="shared" si="95"/>
        <v>1.2389703243529941E-2</v>
      </c>
      <c r="G222" s="2"/>
      <c r="H222" s="6">
        <v>15121.31</v>
      </c>
      <c r="I222" s="2"/>
      <c r="J222" s="7">
        <f t="shared" si="96"/>
        <v>3.8232747273396775E-2</v>
      </c>
      <c r="K222" s="2"/>
      <c r="L222" s="6">
        <f t="shared" si="97"/>
        <v>7258.3900000000012</v>
      </c>
      <c r="M222" s="2"/>
      <c r="N222" s="7">
        <f t="shared" si="98"/>
        <v>0.48001066045203766</v>
      </c>
      <c r="O222" s="11"/>
      <c r="P222" s="6">
        <v>127884.25</v>
      </c>
      <c r="Q222" s="2"/>
      <c r="R222" s="7">
        <f t="shared" si="99"/>
        <v>1.3214446915186737E-2</v>
      </c>
      <c r="S222" s="2"/>
      <c r="T222" s="6">
        <v>60330.59</v>
      </c>
      <c r="U222" s="2"/>
      <c r="V222" s="7">
        <f t="shared" si="100"/>
        <v>1.2948189535654993E-2</v>
      </c>
      <c r="W222" s="2"/>
      <c r="X222" s="6">
        <f t="shared" si="101"/>
        <v>67553.66</v>
      </c>
      <c r="Y222" s="2"/>
      <c r="Z222" s="7">
        <f t="shared" si="102"/>
        <v>1.1197248361071888</v>
      </c>
    </row>
    <row r="223" spans="1:26" s="24" customFormat="1" hidden="1" outlineLevel="2" x14ac:dyDescent="0.3">
      <c r="A223" s="27"/>
      <c r="B223" s="11" t="str">
        <f>CONCATENATE("          ", "6286", " - ", "LAUNDRY EXPENSE")</f>
        <v xml:space="preserve">          6286 - LAUNDRY EXPENSE</v>
      </c>
      <c r="C223" s="11"/>
      <c r="D223" s="6">
        <v>2825.75</v>
      </c>
      <c r="E223" s="2"/>
      <c r="F223" s="7">
        <f t="shared" si="95"/>
        <v>1.5643732463082494E-3</v>
      </c>
      <c r="G223" s="2"/>
      <c r="H223" s="6">
        <v>769.68</v>
      </c>
      <c r="I223" s="2"/>
      <c r="J223" s="7">
        <f t="shared" si="96"/>
        <v>1.9460602898418212E-3</v>
      </c>
      <c r="K223" s="2"/>
      <c r="L223" s="6">
        <f t="shared" si="97"/>
        <v>2056.0700000000002</v>
      </c>
      <c r="M223" s="2"/>
      <c r="N223" s="7">
        <f t="shared" si="98"/>
        <v>2.6713309427294463</v>
      </c>
      <c r="O223" s="11"/>
      <c r="P223" s="6">
        <v>15328.87</v>
      </c>
      <c r="Q223" s="2"/>
      <c r="R223" s="7">
        <f t="shared" si="99"/>
        <v>1.5839521980603437E-3</v>
      </c>
      <c r="S223" s="2"/>
      <c r="T223" s="6">
        <v>8762.5499999999993</v>
      </c>
      <c r="U223" s="2"/>
      <c r="V223" s="7">
        <f t="shared" si="100"/>
        <v>1.8806240452091327E-3</v>
      </c>
      <c r="W223" s="2"/>
      <c r="X223" s="6">
        <f t="shared" si="101"/>
        <v>6566.3200000000015</v>
      </c>
      <c r="Y223" s="2"/>
      <c r="Z223" s="7">
        <f t="shared" si="102"/>
        <v>0.74936177254338088</v>
      </c>
    </row>
    <row r="224" spans="1:26" s="29" customFormat="1" outlineLevel="1" collapsed="1" x14ac:dyDescent="0.3">
      <c r="A224" s="28"/>
      <c r="B224" s="14" t="str">
        <f>CONCATENATE("     ","Subscriptions &amp; Dues                              ")</f>
        <v xml:space="preserve">     Subscriptions &amp; Dues                              </v>
      </c>
      <c r="C224" s="14"/>
      <c r="D224" s="1">
        <f>SUM(OSRRefD22_21x_0)</f>
        <v>718.16</v>
      </c>
      <c r="E224" s="1"/>
      <c r="F224" s="5">
        <f t="shared" ref="F224:F226" si="103">IF(D$12=0,0,D224/D$12)</f>
        <v>3.9758304541050426E-4</v>
      </c>
      <c r="G224" s="1"/>
      <c r="H224" s="1">
        <f>SUM(OSRRefH22_21x_0)</f>
        <v>520.91999999999996</v>
      </c>
      <c r="I224" s="1"/>
      <c r="J224" s="5">
        <f t="shared" ref="J224:J226" si="104">IF(H$12=0,0,H224/H$12)</f>
        <v>1.3170950605243756E-3</v>
      </c>
      <c r="K224" s="1"/>
      <c r="L224" s="1">
        <f t="shared" ref="L224:L226" si="105">+D224-H224</f>
        <v>197.24</v>
      </c>
      <c r="M224" s="1"/>
      <c r="N224" s="5">
        <f t="shared" ref="N224:N226" si="106">IF(H224=0,0,L224/H224)</f>
        <v>0.37863779467096681</v>
      </c>
      <c r="O224" s="14"/>
      <c r="P224" s="1">
        <f>SUM(OSRRefP22_21x_0)</f>
        <v>3622</v>
      </c>
      <c r="Q224" s="1"/>
      <c r="R224" s="5">
        <f t="shared" ref="R224:R226" si="107">IF(P$12=0,0,P224/P$12)</f>
        <v>3.7426600012750873E-4</v>
      </c>
      <c r="S224" s="1"/>
      <c r="T224" s="1">
        <f>SUM(OSRRefT22_21x_0)</f>
        <v>2441.34</v>
      </c>
      <c r="U224" s="1"/>
      <c r="V224" s="5">
        <f t="shared" ref="V224:V226" si="108">IF(T$12=0,0,T224/T$12)</f>
        <v>5.2396194104808134E-4</v>
      </c>
      <c r="W224" s="1"/>
      <c r="X224" s="1">
        <f t="shared" ref="X224:X226" si="109">+P224-T224</f>
        <v>1180.6599999999999</v>
      </c>
      <c r="Y224" s="1"/>
      <c r="Z224" s="5">
        <f t="shared" ref="Z224:Z226" si="110">IF(T224=0,0,X224/T224)</f>
        <v>0.48361145928055893</v>
      </c>
    </row>
    <row r="225" spans="1:26" s="24" customFormat="1" hidden="1" outlineLevel="2" x14ac:dyDescent="0.3">
      <c r="A225" s="27"/>
      <c r="B225" s="11" t="str">
        <f>CONCATENATE("          ", "6258", " - ", "MEMBERSHIP DUES")</f>
        <v xml:space="preserve">          6258 - MEMBERSHIP DUES</v>
      </c>
      <c r="C225" s="11"/>
      <c r="D225" s="6">
        <v>148.66</v>
      </c>
      <c r="E225" s="2"/>
      <c r="F225" s="7">
        <f t="shared" si="103"/>
        <v>8.230017757982283E-5</v>
      </c>
      <c r="G225" s="2"/>
      <c r="H225" s="6">
        <v>520.91999999999996</v>
      </c>
      <c r="I225" s="2"/>
      <c r="J225" s="7">
        <f t="shared" si="104"/>
        <v>1.3170950605243756E-3</v>
      </c>
      <c r="K225" s="2"/>
      <c r="L225" s="6">
        <f t="shared" si="105"/>
        <v>-372.26</v>
      </c>
      <c r="M225" s="2"/>
      <c r="N225" s="7">
        <f t="shared" si="106"/>
        <v>-0.71462028718421255</v>
      </c>
      <c r="O225" s="11"/>
      <c r="P225" s="6">
        <v>1105.5</v>
      </c>
      <c r="Q225" s="2"/>
      <c r="R225" s="7">
        <f t="shared" si="107"/>
        <v>1.1423276177276668E-4</v>
      </c>
      <c r="S225" s="2"/>
      <c r="T225" s="6">
        <v>1944.28</v>
      </c>
      <c r="U225" s="2"/>
      <c r="V225" s="7">
        <f t="shared" si="108"/>
        <v>4.1728260821555517E-4</v>
      </c>
      <c r="W225" s="2"/>
      <c r="X225" s="6">
        <f t="shared" si="109"/>
        <v>-838.78</v>
      </c>
      <c r="Y225" s="2"/>
      <c r="Z225" s="7">
        <f t="shared" si="110"/>
        <v>-0.43140905630876208</v>
      </c>
    </row>
    <row r="226" spans="1:26" s="24" customFormat="1" hidden="1" outlineLevel="2" x14ac:dyDescent="0.3">
      <c r="A226" s="27"/>
      <c r="B226" s="11" t="str">
        <f>CONCATENATE("          ", "6275", " - ", "SUBSCRIPTIONS")</f>
        <v xml:space="preserve">          6275 - SUBSCRIPTIONS</v>
      </c>
      <c r="C226" s="11"/>
      <c r="D226" s="6">
        <v>569.5</v>
      </c>
      <c r="E226" s="2"/>
      <c r="F226" s="7">
        <f t="shared" si="103"/>
        <v>3.152828678306814E-4</v>
      </c>
      <c r="G226" s="2"/>
      <c r="H226" s="6"/>
      <c r="I226" s="2"/>
      <c r="J226" s="7">
        <f t="shared" si="104"/>
        <v>0</v>
      </c>
      <c r="K226" s="2"/>
      <c r="L226" s="6">
        <f t="shared" si="105"/>
        <v>569.5</v>
      </c>
      <c r="M226" s="2"/>
      <c r="N226" s="7">
        <f t="shared" si="106"/>
        <v>0</v>
      </c>
      <c r="O226" s="11"/>
      <c r="P226" s="6">
        <v>2516.5</v>
      </c>
      <c r="Q226" s="2"/>
      <c r="R226" s="7">
        <f t="shared" si="107"/>
        <v>2.6003323835474204E-4</v>
      </c>
      <c r="S226" s="2"/>
      <c r="T226" s="6">
        <v>497.06</v>
      </c>
      <c r="U226" s="2"/>
      <c r="V226" s="7">
        <f t="shared" si="108"/>
        <v>1.0667933283252611E-4</v>
      </c>
      <c r="W226" s="2"/>
      <c r="X226" s="6">
        <f t="shared" si="109"/>
        <v>2019.44</v>
      </c>
      <c r="Y226" s="2"/>
      <c r="Z226" s="7">
        <f t="shared" si="110"/>
        <v>4.0627690822033555</v>
      </c>
    </row>
    <row r="227" spans="1:26" s="29" customFormat="1" outlineLevel="1" collapsed="1" x14ac:dyDescent="0.3">
      <c r="A227" s="28"/>
      <c r="B227" s="14" t="str">
        <f>CONCATENATE("     ","Supplies                                          ")</f>
        <v xml:space="preserve">     Supplies                                          </v>
      </c>
      <c r="C227" s="14"/>
      <c r="D227" s="1">
        <f>SUM(OSRRefD22_22x_0)</f>
        <v>28990.579999999998</v>
      </c>
      <c r="E227" s="1"/>
      <c r="F227" s="5">
        <f t="shared" ref="F227:F236" si="111">IF(D$12=0,0,D227/D$12)</f>
        <v>1.6049575421378044E-2</v>
      </c>
      <c r="G227" s="1"/>
      <c r="H227" s="1">
        <f>SUM(OSRRefH22_22x_0)</f>
        <v>36435.480000000003</v>
      </c>
      <c r="I227" s="1"/>
      <c r="J227" s="5">
        <f t="shared" ref="J227:J236" si="112">IF(H$12=0,0,H227/H$12)</f>
        <v>9.2123532856935211E-2</v>
      </c>
      <c r="K227" s="1"/>
      <c r="L227" s="1">
        <f t="shared" ref="L227:L236" si="113">+D227-H227</f>
        <v>-7444.9000000000051</v>
      </c>
      <c r="M227" s="1"/>
      <c r="N227" s="5">
        <f t="shared" ref="N227:N236" si="114">IF(H227=0,0,L227/H227)</f>
        <v>-0.20433105313831476</v>
      </c>
      <c r="O227" s="14"/>
      <c r="P227" s="1">
        <f>SUM(OSRRefP22_22x_0)</f>
        <v>264845.39</v>
      </c>
      <c r="Q227" s="1"/>
      <c r="R227" s="5">
        <f t="shared" ref="R227:R236" si="115">IF(P$12=0,0,P227/P$12)</f>
        <v>2.7366820753039787E-2</v>
      </c>
      <c r="S227" s="1"/>
      <c r="T227" s="1">
        <f>SUM(OSRRefT22_22x_0)</f>
        <v>169894.93999999997</v>
      </c>
      <c r="U227" s="1"/>
      <c r="V227" s="5">
        <f t="shared" ref="V227:V236" si="116">IF(T$12=0,0,T227/T$12)</f>
        <v>3.6462959905890734E-2</v>
      </c>
      <c r="W227" s="1"/>
      <c r="X227" s="1">
        <f t="shared" ref="X227:X236" si="117">+P227-T227</f>
        <v>94950.450000000041</v>
      </c>
      <c r="Y227" s="1"/>
      <c r="Z227" s="5">
        <f t="shared" ref="Z227:Z236" si="118">IF(T227=0,0,X227/T227)</f>
        <v>0.55887744508459203</v>
      </c>
    </row>
    <row r="228" spans="1:26" s="24" customFormat="1" hidden="1" outlineLevel="2" x14ac:dyDescent="0.3">
      <c r="A228" s="27"/>
      <c r="B228" s="11" t="str">
        <f>CONCATENATE("          ", "6234", " - ", "EXPENDABLE SUPPLIES &amp; EQUIPMEN")</f>
        <v xml:space="preserve">          6234 - EXPENDABLE SUPPLIES &amp; EQUIPMEN</v>
      </c>
      <c r="C228" s="11"/>
      <c r="D228" s="6">
        <v>2747.16</v>
      </c>
      <c r="E228" s="2"/>
      <c r="F228" s="7">
        <f t="shared" si="111"/>
        <v>1.5208647641610795E-3</v>
      </c>
      <c r="G228" s="2"/>
      <c r="H228" s="6">
        <v>-550.67999999999995</v>
      </c>
      <c r="I228" s="2"/>
      <c r="J228" s="7">
        <f t="shared" si="112"/>
        <v>-1.3923402977992075E-3</v>
      </c>
      <c r="K228" s="2"/>
      <c r="L228" s="6">
        <f t="shared" si="113"/>
        <v>3297.8399999999997</v>
      </c>
      <c r="M228" s="2"/>
      <c r="N228" s="7">
        <f t="shared" si="114"/>
        <v>-5.9886685552407934</v>
      </c>
      <c r="O228" s="11"/>
      <c r="P228" s="6">
        <v>6506.44</v>
      </c>
      <c r="Q228" s="2"/>
      <c r="R228" s="7">
        <f t="shared" si="115"/>
        <v>6.7231896020696514E-4</v>
      </c>
      <c r="S228" s="2"/>
      <c r="T228" s="6">
        <v>178.24</v>
      </c>
      <c r="U228" s="2"/>
      <c r="V228" s="7">
        <f t="shared" si="116"/>
        <v>3.8253981982194209E-5</v>
      </c>
      <c r="W228" s="2"/>
      <c r="X228" s="6">
        <f t="shared" si="117"/>
        <v>6328.2</v>
      </c>
      <c r="Y228" s="2"/>
      <c r="Z228" s="7">
        <f t="shared" si="118"/>
        <v>35.503815080789941</v>
      </c>
    </row>
    <row r="229" spans="1:26" s="24" customFormat="1" hidden="1" outlineLevel="2" x14ac:dyDescent="0.3">
      <c r="A229" s="27"/>
      <c r="B229" s="11" t="str">
        <f>CONCATENATE("          ", "6235", " - ", "COVID-19 EXPENSES")</f>
        <v xml:space="preserve">          6235 - COVID-19 EXPENSES</v>
      </c>
      <c r="C229" s="11"/>
      <c r="D229" s="6"/>
      <c r="E229" s="2"/>
      <c r="F229" s="7">
        <f t="shared" si="111"/>
        <v>0</v>
      </c>
      <c r="G229" s="2"/>
      <c r="H229" s="6">
        <v>14482.36</v>
      </c>
      <c r="I229" s="2"/>
      <c r="J229" s="7">
        <f t="shared" si="112"/>
        <v>3.6617224949581126E-2</v>
      </c>
      <c r="K229" s="2"/>
      <c r="L229" s="6">
        <f t="shared" si="113"/>
        <v>-14482.36</v>
      </c>
      <c r="M229" s="2"/>
      <c r="N229" s="7">
        <f t="shared" si="114"/>
        <v>-1</v>
      </c>
      <c r="O229" s="11"/>
      <c r="P229" s="6">
        <v>3623.82</v>
      </c>
      <c r="Q229" s="2"/>
      <c r="R229" s="7">
        <f t="shared" si="115"/>
        <v>3.7445406310935084E-4</v>
      </c>
      <c r="S229" s="2"/>
      <c r="T229" s="6">
        <v>79226.05</v>
      </c>
      <c r="U229" s="2"/>
      <c r="V229" s="7">
        <f t="shared" si="116"/>
        <v>1.7003545159450278E-2</v>
      </c>
      <c r="W229" s="2"/>
      <c r="X229" s="6">
        <f t="shared" si="117"/>
        <v>-75602.23</v>
      </c>
      <c r="Y229" s="2"/>
      <c r="Z229" s="7">
        <f t="shared" si="118"/>
        <v>-0.95425974158752069</v>
      </c>
    </row>
    <row r="230" spans="1:26" s="24" customFormat="1" hidden="1" outlineLevel="2" x14ac:dyDescent="0.3">
      <c r="A230" s="27"/>
      <c r="B230" s="11" t="str">
        <f>CONCATENATE("          ", "6237", " - ", "JANITORIAL SUPPLIES")</f>
        <v xml:space="preserve">          6237 - JANITORIAL SUPPLIES</v>
      </c>
      <c r="C230" s="11"/>
      <c r="D230" s="6">
        <v>5132.4399999999996</v>
      </c>
      <c r="E230" s="2"/>
      <c r="F230" s="7">
        <f t="shared" si="111"/>
        <v>2.8413878879173004E-3</v>
      </c>
      <c r="G230" s="2"/>
      <c r="H230" s="6">
        <v>709.09</v>
      </c>
      <c r="I230" s="2"/>
      <c r="J230" s="7">
        <f t="shared" si="112"/>
        <v>1.7928644253766982E-3</v>
      </c>
      <c r="K230" s="2"/>
      <c r="L230" s="6">
        <f t="shared" si="113"/>
        <v>4423.3499999999995</v>
      </c>
      <c r="M230" s="2"/>
      <c r="N230" s="7">
        <f t="shared" si="114"/>
        <v>6.2380656898278062</v>
      </c>
      <c r="O230" s="11"/>
      <c r="P230" s="6">
        <v>36487.300000000003</v>
      </c>
      <c r="Q230" s="2"/>
      <c r="R230" s="7">
        <f t="shared" si="115"/>
        <v>3.7702804600917867E-3</v>
      </c>
      <c r="S230" s="2"/>
      <c r="T230" s="6">
        <v>10435.23</v>
      </c>
      <c r="U230" s="2"/>
      <c r="V230" s="7">
        <f t="shared" si="116"/>
        <v>2.2396156889590017E-3</v>
      </c>
      <c r="W230" s="2"/>
      <c r="X230" s="6">
        <f t="shared" si="117"/>
        <v>26052.070000000003</v>
      </c>
      <c r="Y230" s="2"/>
      <c r="Z230" s="7">
        <f t="shared" si="118"/>
        <v>2.4965496687662854</v>
      </c>
    </row>
    <row r="231" spans="1:26" s="24" customFormat="1" hidden="1" outlineLevel="2" x14ac:dyDescent="0.3">
      <c r="A231" s="27"/>
      <c r="B231" s="11" t="str">
        <f>CONCATENATE("          ", "6239", " - ", "KITCHEN SUPPLIES")</f>
        <v xml:space="preserve">          6239 - KITCHEN SUPPLIES</v>
      </c>
      <c r="C231" s="11"/>
      <c r="D231" s="6">
        <v>1163.5</v>
      </c>
      <c r="E231" s="2"/>
      <c r="F231" s="7">
        <f t="shared" si="111"/>
        <v>6.4412926553291977E-4</v>
      </c>
      <c r="G231" s="2"/>
      <c r="H231" s="6">
        <v>1494.83</v>
      </c>
      <c r="I231" s="2"/>
      <c r="J231" s="7">
        <f t="shared" si="112"/>
        <v>3.7795308479683107E-3</v>
      </c>
      <c r="K231" s="2"/>
      <c r="L231" s="6">
        <f t="shared" si="113"/>
        <v>-331.32999999999993</v>
      </c>
      <c r="M231" s="2"/>
      <c r="N231" s="7">
        <f t="shared" si="114"/>
        <v>-0.22165062247881026</v>
      </c>
      <c r="O231" s="11"/>
      <c r="P231" s="6">
        <v>26277.119999999999</v>
      </c>
      <c r="Q231" s="2"/>
      <c r="R231" s="7">
        <f t="shared" si="115"/>
        <v>2.7152491985838107E-3</v>
      </c>
      <c r="S231" s="2"/>
      <c r="T231" s="6">
        <v>5686.34</v>
      </c>
      <c r="U231" s="2"/>
      <c r="V231" s="7">
        <f t="shared" si="116"/>
        <v>1.2204059016193347E-3</v>
      </c>
      <c r="W231" s="2"/>
      <c r="X231" s="6">
        <f t="shared" si="117"/>
        <v>20590.78</v>
      </c>
      <c r="Y231" s="2"/>
      <c r="Z231" s="7">
        <f t="shared" si="118"/>
        <v>3.6210954673832374</v>
      </c>
    </row>
    <row r="232" spans="1:26" s="24" customFormat="1" hidden="1" outlineLevel="2" x14ac:dyDescent="0.3">
      <c r="A232" s="27"/>
      <c r="B232" s="11" t="str">
        <f>CONCATENATE("          ", "6241", " - ", "OFFICE EXPENSE")</f>
        <v xml:space="preserve">          6241 - OFFICE EXPENSE</v>
      </c>
      <c r="C232" s="11"/>
      <c r="D232" s="6">
        <v>1621.89</v>
      </c>
      <c r="E232" s="2"/>
      <c r="F232" s="7">
        <f t="shared" si="111"/>
        <v>8.979001413624301E-4</v>
      </c>
      <c r="G232" s="2"/>
      <c r="H232" s="6">
        <v>2052.44</v>
      </c>
      <c r="I232" s="2"/>
      <c r="J232" s="7">
        <f t="shared" si="112"/>
        <v>5.1893929701732509E-3</v>
      </c>
      <c r="K232" s="2"/>
      <c r="L232" s="6">
        <f t="shared" si="113"/>
        <v>-430.54999999999995</v>
      </c>
      <c r="M232" s="2"/>
      <c r="N232" s="7">
        <f t="shared" si="114"/>
        <v>-0.20977470717779811</v>
      </c>
      <c r="O232" s="11"/>
      <c r="P232" s="6">
        <v>41200.080000000002</v>
      </c>
      <c r="Q232" s="2"/>
      <c r="R232" s="7">
        <f t="shared" si="115"/>
        <v>4.257258185127932E-3</v>
      </c>
      <c r="S232" s="2"/>
      <c r="T232" s="6">
        <v>24353.1</v>
      </c>
      <c r="U232" s="2"/>
      <c r="V232" s="7">
        <f t="shared" si="116"/>
        <v>5.2266777861903818E-3</v>
      </c>
      <c r="W232" s="2"/>
      <c r="X232" s="6">
        <f t="shared" si="117"/>
        <v>16846.980000000003</v>
      </c>
      <c r="Y232" s="2"/>
      <c r="Z232" s="7">
        <f t="shared" si="118"/>
        <v>0.69177969129186856</v>
      </c>
    </row>
    <row r="233" spans="1:26" s="24" customFormat="1" hidden="1" outlineLevel="2" x14ac:dyDescent="0.3">
      <c r="A233" s="27"/>
      <c r="B233" s="11" t="str">
        <f>CONCATENATE("          ", "6243", " - ", "PAPER SUPPLIES")</f>
        <v xml:space="preserve">          6243 - PAPER SUPPLIES</v>
      </c>
      <c r="C233" s="11"/>
      <c r="D233" s="6">
        <v>14963.48</v>
      </c>
      <c r="E233" s="2"/>
      <c r="F233" s="7">
        <f t="shared" si="111"/>
        <v>8.2839839984671544E-3</v>
      </c>
      <c r="G233" s="2"/>
      <c r="H233" s="6">
        <v>6795.48</v>
      </c>
      <c r="I233" s="2"/>
      <c r="J233" s="7">
        <f t="shared" si="112"/>
        <v>1.7181703796921185E-2</v>
      </c>
      <c r="K233" s="2"/>
      <c r="L233" s="6">
        <f t="shared" si="113"/>
        <v>8168</v>
      </c>
      <c r="M233" s="2"/>
      <c r="N233" s="7">
        <f t="shared" si="114"/>
        <v>1.2019754307274837</v>
      </c>
      <c r="O233" s="11"/>
      <c r="P233" s="6">
        <v>116762.95</v>
      </c>
      <c r="Q233" s="2"/>
      <c r="R233" s="7">
        <f t="shared" si="115"/>
        <v>1.2065268431691964E-2</v>
      </c>
      <c r="S233" s="2"/>
      <c r="T233" s="6">
        <v>16661.990000000002</v>
      </c>
      <c r="U233" s="2"/>
      <c r="V233" s="7">
        <f t="shared" si="116"/>
        <v>3.5760068741444127E-3</v>
      </c>
      <c r="W233" s="2"/>
      <c r="X233" s="6">
        <f t="shared" si="117"/>
        <v>100100.95999999999</v>
      </c>
      <c r="Y233" s="2"/>
      <c r="Z233" s="7">
        <f t="shared" si="118"/>
        <v>6.0077433727904035</v>
      </c>
    </row>
    <row r="234" spans="1:26" s="24" customFormat="1" hidden="1" outlineLevel="2" x14ac:dyDescent="0.3">
      <c r="A234" s="27"/>
      <c r="B234" s="11" t="str">
        <f>CONCATENATE("          ", "6245", " - ", "PRINTING")</f>
        <v xml:space="preserve">          6245 - PRINTING</v>
      </c>
      <c r="C234" s="11"/>
      <c r="D234" s="6">
        <v>1092.56</v>
      </c>
      <c r="E234" s="2"/>
      <c r="F234" s="7">
        <f t="shared" si="111"/>
        <v>6.0485592638646055E-4</v>
      </c>
      <c r="G234" s="2"/>
      <c r="H234" s="6">
        <v>93.72</v>
      </c>
      <c r="I234" s="2"/>
      <c r="J234" s="7">
        <f t="shared" si="112"/>
        <v>2.3696181577275685E-4</v>
      </c>
      <c r="K234" s="2"/>
      <c r="L234" s="6">
        <f t="shared" si="113"/>
        <v>998.83999999999992</v>
      </c>
      <c r="M234" s="2"/>
      <c r="N234" s="7">
        <f t="shared" si="114"/>
        <v>10.657703798548868</v>
      </c>
      <c r="O234" s="11"/>
      <c r="P234" s="6">
        <v>2136.4899999999998</v>
      </c>
      <c r="Q234" s="2"/>
      <c r="R234" s="7">
        <f t="shared" si="115"/>
        <v>2.2076630773396494E-4</v>
      </c>
      <c r="S234" s="2"/>
      <c r="T234" s="6">
        <v>508.27</v>
      </c>
      <c r="U234" s="2"/>
      <c r="V234" s="7">
        <f t="shared" si="116"/>
        <v>1.0908523015086316E-4</v>
      </c>
      <c r="W234" s="2"/>
      <c r="X234" s="6">
        <f t="shared" si="117"/>
        <v>1628.2199999999998</v>
      </c>
      <c r="Y234" s="2"/>
      <c r="Z234" s="7">
        <f t="shared" si="118"/>
        <v>3.2034548566706671</v>
      </c>
    </row>
    <row r="235" spans="1:26" s="24" customFormat="1" hidden="1" outlineLevel="2" x14ac:dyDescent="0.3">
      <c r="A235" s="27"/>
      <c r="B235" s="11" t="str">
        <f>CONCATENATE("          ", "6247", " - ", "STORE SUPPLIES")</f>
        <v xml:space="preserve">          6247 - STORE SUPPLIES</v>
      </c>
      <c r="C235" s="11"/>
      <c r="D235" s="6">
        <v>2016.6</v>
      </c>
      <c r="E235" s="2"/>
      <c r="F235" s="7">
        <f t="shared" si="111"/>
        <v>1.116416911795175E-3</v>
      </c>
      <c r="G235" s="2"/>
      <c r="H235" s="6">
        <v>10672.33</v>
      </c>
      <c r="I235" s="2"/>
      <c r="J235" s="7">
        <f t="shared" si="112"/>
        <v>2.698393827706003E-2</v>
      </c>
      <c r="K235" s="2"/>
      <c r="L235" s="6">
        <f t="shared" si="113"/>
        <v>-8655.73</v>
      </c>
      <c r="M235" s="2"/>
      <c r="N235" s="7">
        <f t="shared" si="114"/>
        <v>-0.81104407378707366</v>
      </c>
      <c r="O235" s="11"/>
      <c r="P235" s="6">
        <v>25987.01</v>
      </c>
      <c r="Q235" s="2"/>
      <c r="R235" s="7">
        <f t="shared" si="115"/>
        <v>2.6852717526155631E-3</v>
      </c>
      <c r="S235" s="2"/>
      <c r="T235" s="6">
        <v>28345.13</v>
      </c>
      <c r="U235" s="2"/>
      <c r="V235" s="7">
        <f t="shared" si="116"/>
        <v>6.0834497997248231E-3</v>
      </c>
      <c r="W235" s="2"/>
      <c r="X235" s="6">
        <f t="shared" si="117"/>
        <v>-2358.1200000000026</v>
      </c>
      <c r="Y235" s="2"/>
      <c r="Z235" s="7">
        <f t="shared" si="118"/>
        <v>-8.3193127002769166E-2</v>
      </c>
    </row>
    <row r="236" spans="1:26" s="24" customFormat="1" hidden="1" outlineLevel="2" x14ac:dyDescent="0.3">
      <c r="A236" s="27"/>
      <c r="B236" s="11" t="str">
        <f>CONCATENATE("          ", "6248", " - ", "UNIFORMS")</f>
        <v xml:space="preserve">          6248 - UNIFORMS</v>
      </c>
      <c r="C236" s="11"/>
      <c r="D236" s="6">
        <v>252.95</v>
      </c>
      <c r="E236" s="2"/>
      <c r="F236" s="7">
        <f t="shared" si="111"/>
        <v>1.400365257555239E-4</v>
      </c>
      <c r="G236" s="2"/>
      <c r="H236" s="6">
        <v>685.91</v>
      </c>
      <c r="I236" s="2"/>
      <c r="J236" s="7">
        <f t="shared" si="112"/>
        <v>1.734256071881046E-3</v>
      </c>
      <c r="K236" s="2"/>
      <c r="L236" s="6">
        <f t="shared" si="113"/>
        <v>-432.96</v>
      </c>
      <c r="M236" s="2"/>
      <c r="N236" s="7">
        <f t="shared" si="114"/>
        <v>-0.63121983933752246</v>
      </c>
      <c r="O236" s="11"/>
      <c r="P236" s="6">
        <v>5864.18</v>
      </c>
      <c r="Q236" s="2"/>
      <c r="R236" s="7">
        <f t="shared" si="115"/>
        <v>6.0595339387844679E-4</v>
      </c>
      <c r="S236" s="2"/>
      <c r="T236" s="6">
        <v>4500.59</v>
      </c>
      <c r="U236" s="2"/>
      <c r="V236" s="7">
        <f t="shared" si="116"/>
        <v>9.6591948366945375E-4</v>
      </c>
      <c r="W236" s="2"/>
      <c r="X236" s="6">
        <f t="shared" si="117"/>
        <v>1363.5900000000001</v>
      </c>
      <c r="Y236" s="2"/>
      <c r="Z236" s="7">
        <f t="shared" si="118"/>
        <v>0.30298027591937948</v>
      </c>
    </row>
    <row r="237" spans="1:26" s="29" customFormat="1" outlineLevel="1" collapsed="1" x14ac:dyDescent="0.3">
      <c r="A237" s="28"/>
      <c r="B237" s="14" t="str">
        <f>CONCATENATE("     ","Telephone/Data Lines                              ")</f>
        <v xml:space="preserve">     Telephone/Data Lines                              </v>
      </c>
      <c r="C237" s="14"/>
      <c r="D237" s="1">
        <f>SUM(OSRRefD22_23x_0)</f>
        <v>3576.09</v>
      </c>
      <c r="E237" s="1"/>
      <c r="F237" s="5">
        <f t="shared" ref="F237:F239" si="119">IF(D$12=0,0,D237/D$12)</f>
        <v>1.9797715729949457E-3</v>
      </c>
      <c r="G237" s="1"/>
      <c r="H237" s="1">
        <f>SUM(OSRRefH22_23x_0)</f>
        <v>4365.58</v>
      </c>
      <c r="I237" s="1"/>
      <c r="J237" s="5">
        <f t="shared" ref="J237:J239" si="120">IF(H$12=0,0,H237/H$12)</f>
        <v>1.1037940287038325E-2</v>
      </c>
      <c r="K237" s="1"/>
      <c r="L237" s="1">
        <f t="shared" ref="L237:L239" si="121">+D237-H237</f>
        <v>-789.48999999999978</v>
      </c>
      <c r="M237" s="1"/>
      <c r="N237" s="5">
        <f t="shared" ref="N237:N239" si="122">IF(H237=0,0,L237/H237)</f>
        <v>-0.18084424062782031</v>
      </c>
      <c r="O237" s="14"/>
      <c r="P237" s="1">
        <f>SUM(OSRRefP22_23x_0)</f>
        <v>18583.939999999999</v>
      </c>
      <c r="Q237" s="1"/>
      <c r="R237" s="5">
        <f t="shared" ref="R237:R239" si="123">IF(P$12=0,0,P237/P$12)</f>
        <v>1.9203028410849294E-3</v>
      </c>
      <c r="S237" s="1"/>
      <c r="T237" s="1">
        <f>SUM(OSRRefT22_23x_0)</f>
        <v>25670.91</v>
      </c>
      <c r="U237" s="1"/>
      <c r="V237" s="5">
        <f t="shared" ref="V237:V239" si="124">IF(T$12=0,0,T237/T$12)</f>
        <v>5.5095070051982111E-3</v>
      </c>
      <c r="W237" s="1"/>
      <c r="X237" s="1">
        <f t="shared" ref="X237:X239" si="125">+P237-T237</f>
        <v>-7086.9700000000012</v>
      </c>
      <c r="Y237" s="1"/>
      <c r="Z237" s="5">
        <f t="shared" ref="Z237:Z239" si="126">IF(T237=0,0,X237/T237)</f>
        <v>-0.27607007309051379</v>
      </c>
    </row>
    <row r="238" spans="1:26" s="24" customFormat="1" hidden="1" outlineLevel="2" x14ac:dyDescent="0.3">
      <c r="A238" s="27"/>
      <c r="B238" s="11" t="str">
        <f>CONCATENATE("          ", "6303", " - ", "DATA PHONE LINES")</f>
        <v xml:space="preserve">          6303 - DATA PHONE LINES</v>
      </c>
      <c r="C238" s="11"/>
      <c r="D238" s="6"/>
      <c r="E238" s="2"/>
      <c r="F238" s="7">
        <f t="shared" si="119"/>
        <v>0</v>
      </c>
      <c r="G238" s="2"/>
      <c r="H238" s="6">
        <v>885</v>
      </c>
      <c r="I238" s="2"/>
      <c r="J238" s="7">
        <f t="shared" si="120"/>
        <v>2.2376355842817948E-3</v>
      </c>
      <c r="K238" s="2"/>
      <c r="L238" s="6">
        <f t="shared" si="121"/>
        <v>-885</v>
      </c>
      <c r="M238" s="2"/>
      <c r="N238" s="7">
        <f t="shared" si="122"/>
        <v>-1</v>
      </c>
      <c r="O238" s="11"/>
      <c r="P238" s="6">
        <v>295</v>
      </c>
      <c r="Q238" s="2"/>
      <c r="R238" s="7">
        <f t="shared" si="123"/>
        <v>3.0482736067812005E-5</v>
      </c>
      <c r="S238" s="2"/>
      <c r="T238" s="6">
        <v>2065</v>
      </c>
      <c r="U238" s="2"/>
      <c r="V238" s="7">
        <f t="shared" si="124"/>
        <v>4.4319161127261581E-4</v>
      </c>
      <c r="W238" s="2"/>
      <c r="X238" s="6">
        <f t="shared" si="125"/>
        <v>-1770</v>
      </c>
      <c r="Y238" s="2"/>
      <c r="Z238" s="7">
        <f t="shared" si="126"/>
        <v>-0.8571428571428571</v>
      </c>
    </row>
    <row r="239" spans="1:26" s="24" customFormat="1" hidden="1" outlineLevel="2" x14ac:dyDescent="0.3">
      <c r="A239" s="27"/>
      <c r="B239" s="11" t="str">
        <f>CONCATENATE("          ", "6309", " - ", "TELEPHONE")</f>
        <v xml:space="preserve">          6309 - TELEPHONE</v>
      </c>
      <c r="C239" s="11"/>
      <c r="D239" s="6">
        <v>3576.09</v>
      </c>
      <c r="E239" s="2"/>
      <c r="F239" s="7">
        <f t="shared" si="119"/>
        <v>1.9797715729949457E-3</v>
      </c>
      <c r="G239" s="2"/>
      <c r="H239" s="6">
        <v>3480.58</v>
      </c>
      <c r="I239" s="2"/>
      <c r="J239" s="7">
        <f t="shared" si="120"/>
        <v>8.8003047027565302E-3</v>
      </c>
      <c r="K239" s="2"/>
      <c r="L239" s="6">
        <f t="shared" si="121"/>
        <v>95.510000000000218</v>
      </c>
      <c r="M239" s="2"/>
      <c r="N239" s="7">
        <f t="shared" si="122"/>
        <v>2.7440828827379408E-2</v>
      </c>
      <c r="O239" s="11"/>
      <c r="P239" s="6">
        <v>18288.939999999999</v>
      </c>
      <c r="Q239" s="2"/>
      <c r="R239" s="7">
        <f t="shared" si="123"/>
        <v>1.8898201050171174E-3</v>
      </c>
      <c r="S239" s="2"/>
      <c r="T239" s="6">
        <v>23605.91</v>
      </c>
      <c r="U239" s="2"/>
      <c r="V239" s="7">
        <f t="shared" si="124"/>
        <v>5.0663153939255953E-3</v>
      </c>
      <c r="W239" s="2"/>
      <c r="X239" s="6">
        <f t="shared" si="125"/>
        <v>-5316.9700000000012</v>
      </c>
      <c r="Y239" s="2"/>
      <c r="Z239" s="7">
        <f t="shared" si="126"/>
        <v>-0.22523893380937238</v>
      </c>
    </row>
    <row r="240" spans="1:26" s="29" customFormat="1" outlineLevel="1" collapsed="1" x14ac:dyDescent="0.3">
      <c r="A240" s="28"/>
      <c r="B240" s="14" t="str">
        <f>CONCATENATE("     ","Training                                          ")</f>
        <v xml:space="preserve">     Training                                          </v>
      </c>
      <c r="C240" s="14"/>
      <c r="D240" s="1">
        <f>SUM(OSRRefD22_24x_0)</f>
        <v>245</v>
      </c>
      <c r="E240" s="1"/>
      <c r="F240" s="5">
        <f t="shared" ref="F240:F245" si="127">IF(D$12=0,0,D240/D$12)</f>
        <v>1.3563529871556972E-4</v>
      </c>
      <c r="G240" s="1"/>
      <c r="H240" s="1">
        <f>SUM(OSRRefH22_24x_0)</f>
        <v>400</v>
      </c>
      <c r="I240" s="1"/>
      <c r="J240" s="5">
        <f t="shared" ref="J240:J245" si="128">IF(H$12=0,0,H240/H$12)</f>
        <v>1.0113607160595682E-3</v>
      </c>
      <c r="K240" s="1"/>
      <c r="L240" s="1">
        <f t="shared" ref="L240:L245" si="129">+D240-H240</f>
        <v>-155</v>
      </c>
      <c r="M240" s="1"/>
      <c r="N240" s="5">
        <f t="shared" ref="N240:N245" si="130">IF(H240=0,0,L240/H240)</f>
        <v>-0.38750000000000001</v>
      </c>
      <c r="O240" s="14"/>
      <c r="P240" s="1">
        <f>SUM(OSRRefP22_24x_0)</f>
        <v>2840</v>
      </c>
      <c r="Q240" s="1"/>
      <c r="R240" s="5">
        <f t="shared" ref="R240:R245" si="131">IF(P$12=0,0,P240/P$12)</f>
        <v>2.9346091672063083E-4</v>
      </c>
      <c r="S240" s="1"/>
      <c r="T240" s="1">
        <f>SUM(OSRRefT22_24x_0)</f>
        <v>1380.63</v>
      </c>
      <c r="U240" s="1"/>
      <c r="V240" s="5">
        <f t="shared" ref="V240:V245" si="132">IF(T$12=0,0,T240/T$12)</f>
        <v>2.96311687298456E-4</v>
      </c>
      <c r="W240" s="1"/>
      <c r="X240" s="1">
        <f t="shared" ref="X240:X245" si="133">+P240-T240</f>
        <v>1459.37</v>
      </c>
      <c r="Y240" s="1"/>
      <c r="Z240" s="5">
        <f t="shared" ref="Z240:Z245" si="134">IF(T240=0,0,X240/T240)</f>
        <v>1.0570319346964789</v>
      </c>
    </row>
    <row r="241" spans="1:26" s="24" customFormat="1" hidden="1" outlineLevel="2" x14ac:dyDescent="0.3">
      <c r="A241" s="27"/>
      <c r="B241" s="11" t="str">
        <f>CONCATENATE("          ", "6376", " - ", "TRAINING")</f>
        <v xml:space="preserve">          6376 - TRAINING</v>
      </c>
      <c r="C241" s="11"/>
      <c r="D241" s="6">
        <v>245</v>
      </c>
      <c r="E241" s="2"/>
      <c r="F241" s="7">
        <f t="shared" si="127"/>
        <v>1.3563529871556972E-4</v>
      </c>
      <c r="G241" s="2"/>
      <c r="H241" s="6">
        <v>400</v>
      </c>
      <c r="I241" s="2"/>
      <c r="J241" s="7">
        <f t="shared" si="128"/>
        <v>1.0113607160595682E-3</v>
      </c>
      <c r="K241" s="2"/>
      <c r="L241" s="6">
        <f t="shared" si="129"/>
        <v>-155</v>
      </c>
      <c r="M241" s="2"/>
      <c r="N241" s="7">
        <f t="shared" si="130"/>
        <v>-0.38750000000000001</v>
      </c>
      <c r="O241" s="11"/>
      <c r="P241" s="6">
        <v>2840</v>
      </c>
      <c r="Q241" s="2"/>
      <c r="R241" s="7">
        <f t="shared" si="131"/>
        <v>2.9346091672063083E-4</v>
      </c>
      <c r="S241" s="2"/>
      <c r="T241" s="6">
        <v>1380.63</v>
      </c>
      <c r="U241" s="2"/>
      <c r="V241" s="7">
        <f t="shared" si="132"/>
        <v>2.96311687298456E-4</v>
      </c>
      <c r="W241" s="2"/>
      <c r="X241" s="6">
        <f t="shared" si="133"/>
        <v>1459.37</v>
      </c>
      <c r="Y241" s="2"/>
      <c r="Z241" s="7">
        <f t="shared" si="134"/>
        <v>1.0570319346964789</v>
      </c>
    </row>
    <row r="242" spans="1:26" s="29" customFormat="1" outlineLevel="1" collapsed="1" x14ac:dyDescent="0.3">
      <c r="A242" s="28"/>
      <c r="B242" s="14" t="str">
        <f>CONCATENATE("     ","Travel                                            ")</f>
        <v xml:space="preserve">     Travel                                            </v>
      </c>
      <c r="C242" s="14"/>
      <c r="D242" s="1">
        <f>SUM(OSRRefD22_25x_0)</f>
        <v>115.67</v>
      </c>
      <c r="E242" s="1"/>
      <c r="F242" s="5">
        <f t="shared" si="127"/>
        <v>6.4036469397673259E-5</v>
      </c>
      <c r="G242" s="1"/>
      <c r="H242" s="1">
        <f>SUM(OSRRefH22_25x_0)</f>
        <v>299</v>
      </c>
      <c r="I242" s="1"/>
      <c r="J242" s="5">
        <f t="shared" si="128"/>
        <v>7.5599213525452723E-4</v>
      </c>
      <c r="K242" s="1"/>
      <c r="L242" s="1">
        <f t="shared" si="129"/>
        <v>-183.32999999999998</v>
      </c>
      <c r="M242" s="1"/>
      <c r="N242" s="5">
        <f t="shared" si="130"/>
        <v>-0.61314381270903007</v>
      </c>
      <c r="O242" s="14"/>
      <c r="P242" s="1">
        <f>SUM(OSRRefP22_25x_0)</f>
        <v>1575.2199999999998</v>
      </c>
      <c r="Q242" s="1"/>
      <c r="R242" s="5">
        <f t="shared" si="131"/>
        <v>1.6276954409741973E-4</v>
      </c>
      <c r="S242" s="1"/>
      <c r="T242" s="1">
        <f>SUM(OSRRefT22_25x_0)</f>
        <v>1013.14</v>
      </c>
      <c r="U242" s="1"/>
      <c r="V242" s="5">
        <f t="shared" si="132"/>
        <v>2.1744075014273025E-4</v>
      </c>
      <c r="W242" s="1"/>
      <c r="X242" s="1">
        <f t="shared" si="133"/>
        <v>562.07999999999981</v>
      </c>
      <c r="Y242" s="1"/>
      <c r="Z242" s="5">
        <f t="shared" si="134"/>
        <v>0.55479005862960684</v>
      </c>
    </row>
    <row r="243" spans="1:26" s="24" customFormat="1" hidden="1" outlineLevel="2" x14ac:dyDescent="0.3">
      <c r="A243" s="27"/>
      <c r="B243" s="11" t="str">
        <f>CONCATENATE("          ", "6292", " - ", "TRAVEL/CONFERENCE")</f>
        <v xml:space="preserve">          6292 - TRAVEL/CONFERENCE</v>
      </c>
      <c r="C243" s="11"/>
      <c r="D243" s="6">
        <v>18.59</v>
      </c>
      <c r="E243" s="2"/>
      <c r="F243" s="7">
        <f t="shared" si="127"/>
        <v>1.0291674298458943E-5</v>
      </c>
      <c r="G243" s="2"/>
      <c r="H243" s="6">
        <v>299</v>
      </c>
      <c r="I243" s="2"/>
      <c r="J243" s="7">
        <f t="shared" si="128"/>
        <v>7.5599213525452723E-4</v>
      </c>
      <c r="K243" s="2"/>
      <c r="L243" s="6">
        <f t="shared" si="129"/>
        <v>-280.41000000000003</v>
      </c>
      <c r="M243" s="2"/>
      <c r="N243" s="7">
        <f t="shared" si="130"/>
        <v>-0.93782608695652181</v>
      </c>
      <c r="O243" s="11"/>
      <c r="P243" s="6">
        <v>1108.5899999999999</v>
      </c>
      <c r="Q243" s="2"/>
      <c r="R243" s="7">
        <f t="shared" si="131"/>
        <v>1.1455205551666342E-4</v>
      </c>
      <c r="S243" s="2"/>
      <c r="T243" s="6">
        <v>299.16000000000003</v>
      </c>
      <c r="U243" s="2"/>
      <c r="V243" s="7">
        <f t="shared" si="132"/>
        <v>6.4205909166254596E-5</v>
      </c>
      <c r="W243" s="2"/>
      <c r="X243" s="6">
        <f t="shared" si="133"/>
        <v>809.42999999999984</v>
      </c>
      <c r="Y243" s="2"/>
      <c r="Z243" s="7">
        <f t="shared" si="134"/>
        <v>2.7056758924989963</v>
      </c>
    </row>
    <row r="244" spans="1:26" s="24" customFormat="1" hidden="1" outlineLevel="2" x14ac:dyDescent="0.3">
      <c r="A244" s="27"/>
      <c r="B244" s="11" t="str">
        <f>CONCATENATE("          ", "6294", " - ", "TRAVEL OPERATIONAL")</f>
        <v xml:space="preserve">          6294 - TRAVEL OPERATIONAL</v>
      </c>
      <c r="C244" s="11"/>
      <c r="D244" s="6"/>
      <c r="E244" s="2"/>
      <c r="F244" s="7">
        <f t="shared" si="127"/>
        <v>0</v>
      </c>
      <c r="G244" s="2"/>
      <c r="H244" s="6"/>
      <c r="I244" s="2"/>
      <c r="J244" s="7">
        <f t="shared" si="128"/>
        <v>0</v>
      </c>
      <c r="K244" s="2"/>
      <c r="L244" s="6">
        <f t="shared" si="129"/>
        <v>0</v>
      </c>
      <c r="M244" s="2"/>
      <c r="N244" s="7">
        <f t="shared" si="130"/>
        <v>0</v>
      </c>
      <c r="O244" s="11"/>
      <c r="P244" s="6">
        <v>215.53</v>
      </c>
      <c r="Q244" s="2"/>
      <c r="R244" s="7">
        <f t="shared" si="131"/>
        <v>2.2270996965069563E-5</v>
      </c>
      <c r="S244" s="2"/>
      <c r="T244" s="6">
        <v>321.88</v>
      </c>
      <c r="U244" s="2"/>
      <c r="V244" s="7">
        <f t="shared" si="132"/>
        <v>6.9082089993428359E-5</v>
      </c>
      <c r="W244" s="2"/>
      <c r="X244" s="6">
        <f t="shared" si="133"/>
        <v>-106.35</v>
      </c>
      <c r="Y244" s="2"/>
      <c r="Z244" s="7">
        <f t="shared" si="134"/>
        <v>-0.33040263452218216</v>
      </c>
    </row>
    <row r="245" spans="1:26" s="24" customFormat="1" hidden="1" outlineLevel="2" x14ac:dyDescent="0.3">
      <c r="A245" s="27"/>
      <c r="B245" s="11" t="str">
        <f>CONCATENATE("          ", "6298", " - ", "VEHICLE MILEAGE")</f>
        <v xml:space="preserve">          6298 - VEHICLE MILEAGE</v>
      </c>
      <c r="C245" s="11"/>
      <c r="D245" s="6">
        <v>97.08</v>
      </c>
      <c r="E245" s="2"/>
      <c r="F245" s="7">
        <f t="shared" si="127"/>
        <v>5.3744795099214318E-5</v>
      </c>
      <c r="G245" s="2"/>
      <c r="H245" s="6"/>
      <c r="I245" s="2"/>
      <c r="J245" s="7">
        <f t="shared" si="128"/>
        <v>0</v>
      </c>
      <c r="K245" s="2"/>
      <c r="L245" s="6">
        <f t="shared" si="129"/>
        <v>97.08</v>
      </c>
      <c r="M245" s="2"/>
      <c r="N245" s="7">
        <f t="shared" si="130"/>
        <v>0</v>
      </c>
      <c r="O245" s="11"/>
      <c r="P245" s="6">
        <v>251.1</v>
      </c>
      <c r="Q245" s="2"/>
      <c r="R245" s="7">
        <f t="shared" si="131"/>
        <v>2.594649161568676E-5</v>
      </c>
      <c r="S245" s="2"/>
      <c r="T245" s="6">
        <v>392.1</v>
      </c>
      <c r="U245" s="2"/>
      <c r="V245" s="7">
        <f t="shared" si="132"/>
        <v>8.4152750983047291E-5</v>
      </c>
      <c r="W245" s="2"/>
      <c r="X245" s="6">
        <f t="shared" si="133"/>
        <v>-141.00000000000003</v>
      </c>
      <c r="Y245" s="2"/>
      <c r="Z245" s="7">
        <f t="shared" si="134"/>
        <v>-0.35960214231063509</v>
      </c>
    </row>
    <row r="246" spans="1:26" s="29" customFormat="1" outlineLevel="1" collapsed="1" x14ac:dyDescent="0.3">
      <c r="A246" s="28"/>
      <c r="B246" s="14" t="str">
        <f>CONCATENATE("     ","Utilities                                         ")</f>
        <v xml:space="preserve">     Utilities                                         </v>
      </c>
      <c r="C246" s="14"/>
      <c r="D246" s="1">
        <f>SUM(OSRRefD22_26x_0)</f>
        <v>14283.61</v>
      </c>
      <c r="E246" s="1"/>
      <c r="F246" s="5">
        <f t="shared" ref="F246:F247" si="135">IF(D$12=0,0,D246/D$12)</f>
        <v>7.9075988125987696E-3</v>
      </c>
      <c r="G246" s="1"/>
      <c r="H246" s="1">
        <f>SUM(OSRRefH22_26x_0)</f>
        <v>10946.38</v>
      </c>
      <c r="I246" s="1"/>
      <c r="J246" s="5">
        <f t="shared" ref="J246:J247" si="136">IF(H$12=0,0,H246/H$12)</f>
        <v>2.7676846787650339E-2</v>
      </c>
      <c r="K246" s="1"/>
      <c r="L246" s="1">
        <f t="shared" ref="L246:L247" si="137">+D246-H246</f>
        <v>3337.2300000000014</v>
      </c>
      <c r="M246" s="1"/>
      <c r="N246" s="5">
        <f t="shared" ref="N246:N247" si="138">IF(H246=0,0,L246/H246)</f>
        <v>0.30487065130207447</v>
      </c>
      <c r="O246" s="14"/>
      <c r="P246" s="1">
        <f>SUM(OSRRefP22_26x_0)</f>
        <v>69033.59</v>
      </c>
      <c r="Q246" s="1"/>
      <c r="R246" s="5">
        <f t="shared" ref="R246:R247" si="139">IF(P$12=0,0,P246/P$12)</f>
        <v>7.1333311992662577E-3</v>
      </c>
      <c r="S246" s="1"/>
      <c r="T246" s="1">
        <f>SUM(OSRRefT22_26x_0)</f>
        <v>30339.81</v>
      </c>
      <c r="U246" s="1"/>
      <c r="V246" s="5">
        <f t="shared" ref="V246:V247" si="140">IF(T$12=0,0,T246/T$12)</f>
        <v>6.5115492879443205E-3</v>
      </c>
      <c r="W246" s="1"/>
      <c r="X246" s="1">
        <f t="shared" ref="X246:X247" si="141">+P246-T246</f>
        <v>38693.78</v>
      </c>
      <c r="Y246" s="1"/>
      <c r="Z246" s="5">
        <f t="shared" ref="Z246:Z247" si="142">IF(T246=0,0,X246/T246)</f>
        <v>1.2753468133122785</v>
      </c>
    </row>
    <row r="247" spans="1:26" s="24" customFormat="1" hidden="1" outlineLevel="2" x14ac:dyDescent="0.3">
      <c r="A247" s="27"/>
      <c r="B247" s="11" t="str">
        <f>CONCATENATE("          ", "6274", " - ", "UTILITIES")</f>
        <v xml:space="preserve">          6274 - UTILITIES</v>
      </c>
      <c r="C247" s="11"/>
      <c r="D247" s="6">
        <v>14283.61</v>
      </c>
      <c r="E247" s="2"/>
      <c r="F247" s="7">
        <f t="shared" si="135"/>
        <v>7.9075988125987696E-3</v>
      </c>
      <c r="G247" s="2"/>
      <c r="H247" s="6">
        <v>10946.38</v>
      </c>
      <c r="I247" s="2"/>
      <c r="J247" s="7">
        <f t="shared" si="136"/>
        <v>2.7676846787650339E-2</v>
      </c>
      <c r="K247" s="2"/>
      <c r="L247" s="6">
        <f t="shared" si="137"/>
        <v>3337.2300000000014</v>
      </c>
      <c r="M247" s="2"/>
      <c r="N247" s="7">
        <f t="shared" si="138"/>
        <v>0.30487065130207447</v>
      </c>
      <c r="O247" s="11"/>
      <c r="P247" s="6">
        <v>69033.59</v>
      </c>
      <c r="Q247" s="2"/>
      <c r="R247" s="7">
        <f t="shared" si="139"/>
        <v>7.1333311992662577E-3</v>
      </c>
      <c r="S247" s="2"/>
      <c r="T247" s="6">
        <v>30339.81</v>
      </c>
      <c r="U247" s="2"/>
      <c r="V247" s="7">
        <f t="shared" si="140"/>
        <v>6.5115492879443205E-3</v>
      </c>
      <c r="W247" s="2"/>
      <c r="X247" s="6">
        <f t="shared" si="141"/>
        <v>38693.78</v>
      </c>
      <c r="Y247" s="2"/>
      <c r="Z247" s="7">
        <f t="shared" si="142"/>
        <v>1.2753468133122785</v>
      </c>
    </row>
    <row r="248" spans="1:26" s="62" customFormat="1" x14ac:dyDescent="0.3">
      <c r="A248" s="37"/>
      <c r="B248" s="37"/>
      <c r="C248" s="37"/>
      <c r="D248" s="1"/>
      <c r="E248" s="1"/>
      <c r="F248" s="5"/>
      <c r="G248" s="1"/>
      <c r="H248" s="1"/>
      <c r="I248" s="1"/>
      <c r="J248" s="5"/>
      <c r="K248" s="1"/>
      <c r="L248" s="1"/>
      <c r="M248" s="1"/>
      <c r="N248" s="5"/>
      <c r="O248" s="37"/>
      <c r="P248" s="1"/>
      <c r="Q248" s="1"/>
      <c r="R248" s="5"/>
      <c r="S248" s="1"/>
      <c r="T248" s="1"/>
      <c r="U248" s="1"/>
      <c r="V248" s="5"/>
      <c r="W248" s="1"/>
      <c r="X248" s="1"/>
      <c r="Y248" s="1"/>
      <c r="Z248" s="5"/>
    </row>
    <row r="249" spans="1:26" s="23" customFormat="1" collapsed="1" x14ac:dyDescent="0.3">
      <c r="A249" s="10"/>
      <c r="B249" s="26" t="s">
        <v>292</v>
      </c>
      <c r="C249" s="10"/>
      <c r="D249" s="4">
        <f>SUM(OSRRefD25x_0)</f>
        <v>61142.060000000005</v>
      </c>
      <c r="E249" s="4"/>
      <c r="F249" s="12">
        <f t="shared" ref="F249:F257" si="143">IF(D$12=0,0,D249/D$12)</f>
        <v>3.3849067641572597E-2</v>
      </c>
      <c r="G249" s="4"/>
      <c r="H249" s="4">
        <f>SUM(OSRRefH25x_0)</f>
        <v>72335.209999999992</v>
      </c>
      <c r="I249" s="4"/>
      <c r="J249" s="12">
        <f t="shared" ref="J249:J257" si="144">IF(H$12=0,0,H249/H$12)</f>
        <v>0.18289247445479809</v>
      </c>
      <c r="K249" s="4"/>
      <c r="L249" s="4">
        <f t="shared" ref="L249:L257" si="145">+D249-H249</f>
        <v>-11193.149999999987</v>
      </c>
      <c r="M249" s="4"/>
      <c r="N249" s="12">
        <f t="shared" ref="N249:N257" si="146">IF(H249=0,0,L249/H249)</f>
        <v>-0.1547399945337822</v>
      </c>
      <c r="O249" s="10"/>
      <c r="P249" s="4">
        <f>SUM(OSRRefP25x_0)</f>
        <v>492991.88</v>
      </c>
      <c r="Q249" s="4"/>
      <c r="R249" s="12">
        <f t="shared" ref="R249:R257" si="147">IF(P$12=0,0,P249/P$12)</f>
        <v>5.0941496141065926E-2</v>
      </c>
      <c r="S249" s="4"/>
      <c r="T249" s="4">
        <f>SUM(OSRRefT25x_0)</f>
        <v>530506.23</v>
      </c>
      <c r="U249" s="4"/>
      <c r="V249" s="12">
        <f t="shared" ref="V249:V257" si="148">IF(T$12=0,0,T249/T$12)</f>
        <v>0.11385758395344353</v>
      </c>
      <c r="W249" s="4"/>
      <c r="X249" s="4">
        <f t="shared" ref="X249:X257" si="149">+P249-T249</f>
        <v>-37514.349999999977</v>
      </c>
      <c r="Y249" s="4"/>
      <c r="Z249" s="12">
        <f t="shared" ref="Z249:Z257" si="150">IF(T249=0,0,X249/T249)</f>
        <v>-7.0714249670545765E-2</v>
      </c>
    </row>
    <row r="250" spans="1:26" s="24" customFormat="1" hidden="1" outlineLevel="1" x14ac:dyDescent="0.3">
      <c r="A250" s="44"/>
      <c r="B250" s="11" t="str">
        <f>CONCATENATE("          ", "4187", " - ", "NON-TAXABLE SALES-COMPUTER REP")</f>
        <v xml:space="preserve">          4187 - NON-TAXABLE SALES-COMPUTER REP</v>
      </c>
      <c r="C250" s="11"/>
      <c r="D250" s="2">
        <f>0</f>
        <v>0</v>
      </c>
      <c r="E250" s="2"/>
      <c r="F250" s="19">
        <f t="shared" si="143"/>
        <v>0</v>
      </c>
      <c r="G250" s="2"/>
      <c r="H250" s="2">
        <f>-374.75</f>
        <v>-374.75</v>
      </c>
      <c r="I250" s="2"/>
      <c r="J250" s="19">
        <f t="shared" si="144"/>
        <v>-9.4751857085830806E-4</v>
      </c>
      <c r="K250" s="2"/>
      <c r="L250" s="2">
        <f t="shared" si="145"/>
        <v>374.75</v>
      </c>
      <c r="M250" s="2"/>
      <c r="N250" s="19">
        <f t="shared" si="146"/>
        <v>-1</v>
      </c>
      <c r="O250" s="11"/>
      <c r="P250" s="2">
        <f>0</f>
        <v>0</v>
      </c>
      <c r="Q250" s="2"/>
      <c r="R250" s="19">
        <f t="shared" si="147"/>
        <v>0</v>
      </c>
      <c r="S250" s="2"/>
      <c r="T250" s="2">
        <f>--563.21</f>
        <v>563.21</v>
      </c>
      <c r="U250" s="2"/>
      <c r="V250" s="19">
        <f t="shared" si="148"/>
        <v>1.2087648783769973E-4</v>
      </c>
      <c r="W250" s="2"/>
      <c r="X250" s="2">
        <f t="shared" si="149"/>
        <v>-563.21</v>
      </c>
      <c r="Y250" s="2"/>
      <c r="Z250" s="19">
        <f t="shared" si="150"/>
        <v>-1</v>
      </c>
    </row>
    <row r="251" spans="1:26" s="24" customFormat="1" hidden="1" outlineLevel="1" x14ac:dyDescent="0.3">
      <c r="A251" s="44"/>
      <c r="B251" s="11" t="str">
        <f>CONCATENATE("          ", "9087", " - ", "")</f>
        <v xml:space="preserve">          9087 - </v>
      </c>
      <c r="C251" s="11"/>
      <c r="D251" s="2">
        <f>--74.01</f>
        <v>74.010000000000005</v>
      </c>
      <c r="E251" s="2"/>
      <c r="F251" s="19">
        <f t="shared" si="143"/>
        <v>4.0972932481384961E-5</v>
      </c>
      <c r="G251" s="2"/>
      <c r="H251" s="2">
        <f>0</f>
        <v>0</v>
      </c>
      <c r="I251" s="2"/>
      <c r="J251" s="19">
        <f t="shared" si="144"/>
        <v>0</v>
      </c>
      <c r="K251" s="2"/>
      <c r="L251" s="2">
        <f t="shared" si="145"/>
        <v>74.010000000000005</v>
      </c>
      <c r="M251" s="2"/>
      <c r="N251" s="19">
        <f t="shared" si="146"/>
        <v>0</v>
      </c>
      <c r="O251" s="11"/>
      <c r="P251" s="2">
        <f>-392.38</f>
        <v>-392.38</v>
      </c>
      <c r="Q251" s="2"/>
      <c r="R251" s="19">
        <f t="shared" si="147"/>
        <v>-4.05451389094511E-5</v>
      </c>
      <c r="S251" s="2"/>
      <c r="T251" s="2">
        <f>0</f>
        <v>0</v>
      </c>
      <c r="U251" s="2"/>
      <c r="V251" s="19">
        <f t="shared" si="148"/>
        <v>0</v>
      </c>
      <c r="W251" s="2"/>
      <c r="X251" s="2">
        <f t="shared" si="149"/>
        <v>-392.38</v>
      </c>
      <c r="Y251" s="2"/>
      <c r="Z251" s="19">
        <f t="shared" si="150"/>
        <v>0</v>
      </c>
    </row>
    <row r="252" spans="1:26" s="24" customFormat="1" hidden="1" outlineLevel="1" x14ac:dyDescent="0.3">
      <c r="A252" s="44"/>
      <c r="B252" s="11" t="str">
        <f>CONCATENATE("          ", "9150", " - ", "MISC. INCOME")</f>
        <v xml:space="preserve">          9150 - MISC. INCOME</v>
      </c>
      <c r="C252" s="11"/>
      <c r="D252" s="2">
        <f>--61068.05</f>
        <v>61068.05</v>
      </c>
      <c r="E252" s="2"/>
      <c r="F252" s="19">
        <f t="shared" si="143"/>
        <v>3.3808094709091213E-2</v>
      </c>
      <c r="G252" s="2"/>
      <c r="H252" s="2">
        <f>--57539.34</f>
        <v>57539.34</v>
      </c>
      <c r="I252" s="2"/>
      <c r="J252" s="19">
        <f t="shared" si="144"/>
        <v>0.1454825702599874</v>
      </c>
      <c r="K252" s="2"/>
      <c r="L252" s="2">
        <f t="shared" si="145"/>
        <v>3528.7100000000064</v>
      </c>
      <c r="M252" s="2"/>
      <c r="N252" s="19">
        <f t="shared" si="146"/>
        <v>6.1326911292343751E-2</v>
      </c>
      <c r="O252" s="11"/>
      <c r="P252" s="2">
        <f>--249977.29</f>
        <v>249977.29</v>
      </c>
      <c r="Q252" s="2"/>
      <c r="R252" s="19">
        <f t="shared" si="147"/>
        <v>2.5830480522091189E-2</v>
      </c>
      <c r="S252" s="2"/>
      <c r="T252" s="2">
        <f>--201318.66</f>
        <v>201318.66</v>
      </c>
      <c r="U252" s="2"/>
      <c r="V252" s="19">
        <f t="shared" si="148"/>
        <v>4.3207138646316659E-2</v>
      </c>
      <c r="W252" s="2"/>
      <c r="X252" s="2">
        <f t="shared" si="149"/>
        <v>48658.630000000005</v>
      </c>
      <c r="Y252" s="2"/>
      <c r="Z252" s="19">
        <f t="shared" si="150"/>
        <v>0.2416995523415465</v>
      </c>
    </row>
    <row r="253" spans="1:26" s="24" customFormat="1" hidden="1" outlineLevel="1" x14ac:dyDescent="0.3">
      <c r="A253" s="44"/>
      <c r="B253" s="11" t="str">
        <f>CONCATENATE("          ", "9151", " - ", "MISC. INCOME")</f>
        <v xml:space="preserve">          9151 - MISC. INCOME</v>
      </c>
      <c r="C253" s="11"/>
      <c r="D253" s="2">
        <f t="shared" ref="D253:D257" si="151">0</f>
        <v>0</v>
      </c>
      <c r="E253" s="2"/>
      <c r="F253" s="19">
        <f t="shared" si="143"/>
        <v>0</v>
      </c>
      <c r="G253" s="2"/>
      <c r="H253" s="2">
        <f>0</f>
        <v>0</v>
      </c>
      <c r="I253" s="2"/>
      <c r="J253" s="19">
        <f t="shared" si="144"/>
        <v>0</v>
      </c>
      <c r="K253" s="2"/>
      <c r="L253" s="2">
        <f t="shared" si="145"/>
        <v>0</v>
      </c>
      <c r="M253" s="2"/>
      <c r="N253" s="19">
        <f t="shared" si="146"/>
        <v>0</v>
      </c>
      <c r="O253" s="11"/>
      <c r="P253" s="2">
        <f>--168463.36</f>
        <v>168463.35999999999</v>
      </c>
      <c r="Q253" s="2"/>
      <c r="R253" s="19">
        <f t="shared" si="147"/>
        <v>1.7407539457548468E-2</v>
      </c>
      <c r="S253" s="2"/>
      <c r="T253" s="2">
        <f>--147285.39</f>
        <v>147285.39000000001</v>
      </c>
      <c r="U253" s="2"/>
      <c r="V253" s="19">
        <f t="shared" si="148"/>
        <v>3.1610483927852602E-2</v>
      </c>
      <c r="W253" s="2"/>
      <c r="X253" s="2">
        <f t="shared" si="149"/>
        <v>21177.969999999972</v>
      </c>
      <c r="Y253" s="2"/>
      <c r="Z253" s="19">
        <f t="shared" si="150"/>
        <v>0.14378866770152809</v>
      </c>
    </row>
    <row r="254" spans="1:26" s="24" customFormat="1" hidden="1" outlineLevel="1" x14ac:dyDescent="0.3">
      <c r="A254" s="44"/>
      <c r="B254" s="11" t="str">
        <f>CONCATENATE("          ", "9152", " - ", "MISC. INCOME")</f>
        <v xml:space="preserve">          9152 - MISC. INCOME</v>
      </c>
      <c r="C254" s="11"/>
      <c r="D254" s="2">
        <f t="shared" si="151"/>
        <v>0</v>
      </c>
      <c r="E254" s="2"/>
      <c r="F254" s="19">
        <f t="shared" si="143"/>
        <v>0</v>
      </c>
      <c r="G254" s="2"/>
      <c r="H254" s="2">
        <f>--255.21</f>
        <v>255.21</v>
      </c>
      <c r="I254" s="2"/>
      <c r="J254" s="19">
        <f t="shared" si="144"/>
        <v>6.4527342086390604E-4</v>
      </c>
      <c r="K254" s="2"/>
      <c r="L254" s="2">
        <f t="shared" si="145"/>
        <v>-255.21</v>
      </c>
      <c r="M254" s="2"/>
      <c r="N254" s="19">
        <f t="shared" si="146"/>
        <v>-1</v>
      </c>
      <c r="O254" s="11"/>
      <c r="P254" s="2">
        <f>--2195.41</f>
        <v>2195.41</v>
      </c>
      <c r="Q254" s="2"/>
      <c r="R254" s="19">
        <f t="shared" si="147"/>
        <v>2.26854588442831E-4</v>
      </c>
      <c r="S254" s="2"/>
      <c r="T254" s="2">
        <f>--2606.23</f>
        <v>2606.23</v>
      </c>
      <c r="U254" s="2"/>
      <c r="V254" s="19">
        <f t="shared" si="148"/>
        <v>5.593507375530409E-4</v>
      </c>
      <c r="W254" s="2"/>
      <c r="X254" s="2">
        <f t="shared" si="149"/>
        <v>-410.82000000000016</v>
      </c>
      <c r="Y254" s="2"/>
      <c r="Z254" s="19">
        <f t="shared" si="150"/>
        <v>-0.15762998660901001</v>
      </c>
    </row>
    <row r="255" spans="1:26" s="24" customFormat="1" hidden="1" outlineLevel="1" x14ac:dyDescent="0.3">
      <c r="A255" s="44"/>
      <c r="B255" s="11" t="str">
        <f>CONCATENATE("          ", "9160", " - ", "MISC. INCOME")</f>
        <v xml:space="preserve">          9160 - MISC. INCOME</v>
      </c>
      <c r="C255" s="11"/>
      <c r="D255" s="2">
        <f t="shared" si="151"/>
        <v>0</v>
      </c>
      <c r="E255" s="2"/>
      <c r="F255" s="19">
        <f t="shared" si="143"/>
        <v>0</v>
      </c>
      <c r="G255" s="2"/>
      <c r="H255" s="2">
        <f>0</f>
        <v>0</v>
      </c>
      <c r="I255" s="2"/>
      <c r="J255" s="19">
        <f t="shared" si="144"/>
        <v>0</v>
      </c>
      <c r="K255" s="2"/>
      <c r="L255" s="2">
        <f t="shared" si="145"/>
        <v>0</v>
      </c>
      <c r="M255" s="2"/>
      <c r="N255" s="19">
        <f t="shared" si="146"/>
        <v>0</v>
      </c>
      <c r="O255" s="11"/>
      <c r="P255" s="2">
        <f>0</f>
        <v>0</v>
      </c>
      <c r="Q255" s="2"/>
      <c r="R255" s="19">
        <f t="shared" si="147"/>
        <v>0</v>
      </c>
      <c r="S255" s="2"/>
      <c r="T255" s="2">
        <f>--2328.25</f>
        <v>2328.25</v>
      </c>
      <c r="U255" s="2"/>
      <c r="V255" s="19">
        <f t="shared" si="148"/>
        <v>4.9969049343606188E-4</v>
      </c>
      <c r="W255" s="2"/>
      <c r="X255" s="2">
        <f t="shared" si="149"/>
        <v>-2328.25</v>
      </c>
      <c r="Y255" s="2"/>
      <c r="Z255" s="19">
        <f t="shared" si="150"/>
        <v>-1</v>
      </c>
    </row>
    <row r="256" spans="1:26" s="24" customFormat="1" hidden="1" outlineLevel="1" x14ac:dyDescent="0.3">
      <c r="A256" s="44"/>
      <c r="B256" s="11" t="str">
        <f>CONCATENATE("          ", "9163", " - ", "MISC. INCOME")</f>
        <v xml:space="preserve">          9163 - MISC. INCOME</v>
      </c>
      <c r="C256" s="11"/>
      <c r="D256" s="2">
        <f t="shared" si="151"/>
        <v>0</v>
      </c>
      <c r="E256" s="2"/>
      <c r="F256" s="19">
        <f t="shared" si="143"/>
        <v>0</v>
      </c>
      <c r="G256" s="2"/>
      <c r="H256" s="2">
        <f>--14741.94</f>
        <v>14741.94</v>
      </c>
      <c r="I256" s="2"/>
      <c r="J256" s="19">
        <f t="shared" si="144"/>
        <v>3.7273547486267981E-2</v>
      </c>
      <c r="K256" s="2"/>
      <c r="L256" s="2">
        <f t="shared" si="145"/>
        <v>-14741.94</v>
      </c>
      <c r="M256" s="2"/>
      <c r="N256" s="19">
        <f t="shared" si="146"/>
        <v>-1</v>
      </c>
      <c r="O256" s="11"/>
      <c r="P256" s="2">
        <f>--72748.2</f>
        <v>72748.2</v>
      </c>
      <c r="Q256" s="2"/>
      <c r="R256" s="19">
        <f t="shared" si="147"/>
        <v>7.5171667118928854E-3</v>
      </c>
      <c r="S256" s="2"/>
      <c r="T256" s="2">
        <f>--175405.84</f>
        <v>175405.84</v>
      </c>
      <c r="U256" s="2"/>
      <c r="V256" s="19">
        <f t="shared" si="148"/>
        <v>3.7645712763305882E-2</v>
      </c>
      <c r="W256" s="2"/>
      <c r="X256" s="2">
        <f t="shared" si="149"/>
        <v>-102657.64</v>
      </c>
      <c r="Y256" s="2"/>
      <c r="Z256" s="19">
        <f t="shared" si="150"/>
        <v>-0.58525782265858428</v>
      </c>
    </row>
    <row r="257" spans="1:26" s="24" customFormat="1" hidden="1" outlineLevel="1" x14ac:dyDescent="0.3">
      <c r="A257" s="44"/>
      <c r="B257" s="11" t="str">
        <f>CONCATENATE("          ", "9165", " - ", "OTHER INCOME")</f>
        <v xml:space="preserve">          9165 - OTHER INCOME</v>
      </c>
      <c r="C257" s="11"/>
      <c r="D257" s="2">
        <f t="shared" si="151"/>
        <v>0</v>
      </c>
      <c r="E257" s="2"/>
      <c r="F257" s="19">
        <f t="shared" si="143"/>
        <v>0</v>
      </c>
      <c r="G257" s="2"/>
      <c r="H257" s="2">
        <f>--173.47</f>
        <v>173.47</v>
      </c>
      <c r="I257" s="2"/>
      <c r="J257" s="19">
        <f t="shared" si="144"/>
        <v>4.3860185853713326E-4</v>
      </c>
      <c r="K257" s="2"/>
      <c r="L257" s="2">
        <f t="shared" si="145"/>
        <v>-173.47</v>
      </c>
      <c r="M257" s="2"/>
      <c r="N257" s="19">
        <f t="shared" si="146"/>
        <v>-1</v>
      </c>
      <c r="O257" s="11"/>
      <c r="P257" s="2">
        <f>0</f>
        <v>0</v>
      </c>
      <c r="Q257" s="2"/>
      <c r="R257" s="19">
        <f t="shared" si="147"/>
        <v>0</v>
      </c>
      <c r="S257" s="2"/>
      <c r="T257" s="2">
        <f>--998.65</f>
        <v>998.65</v>
      </c>
      <c r="U257" s="2"/>
      <c r="V257" s="19">
        <f t="shared" si="148"/>
        <v>2.1433089714159698E-4</v>
      </c>
      <c r="W257" s="2"/>
      <c r="X257" s="2">
        <f t="shared" si="149"/>
        <v>-998.65</v>
      </c>
      <c r="Y257" s="2"/>
      <c r="Z257" s="19">
        <f t="shared" si="150"/>
        <v>-1</v>
      </c>
    </row>
    <row r="258" spans="1:26" x14ac:dyDescent="0.3">
      <c r="A258" s="9"/>
      <c r="B258" s="10"/>
      <c r="C258" s="10"/>
      <c r="D258" s="3"/>
      <c r="E258" s="3"/>
      <c r="F258" s="8"/>
      <c r="G258" s="3"/>
      <c r="H258" s="3"/>
      <c r="I258" s="3"/>
      <c r="J258" s="8"/>
      <c r="K258" s="3"/>
      <c r="L258" s="3"/>
      <c r="M258" s="3"/>
      <c r="N258" s="8"/>
      <c r="O258" s="10"/>
      <c r="P258" s="3"/>
      <c r="Q258" s="3"/>
      <c r="R258" s="8"/>
      <c r="S258" s="3"/>
      <c r="T258" s="3"/>
      <c r="U258" s="3"/>
      <c r="V258" s="8"/>
      <c r="W258" s="3"/>
      <c r="X258" s="3"/>
      <c r="Y258" s="3"/>
      <c r="Z258" s="8"/>
    </row>
    <row r="259" spans="1:26" s="23" customFormat="1" x14ac:dyDescent="0.3">
      <c r="A259" s="10"/>
      <c r="B259" s="25" t="s">
        <v>276</v>
      </c>
      <c r="C259" s="25"/>
      <c r="D259" s="21">
        <f>+D151-D153+D249</f>
        <v>346656.13000000041</v>
      </c>
      <c r="E259" s="13"/>
      <c r="F259" s="22">
        <f>IF(D$12=0,0,D259/D$12)</f>
        <v>0.19191350099646295</v>
      </c>
      <c r="G259" s="13"/>
      <c r="H259" s="21">
        <f>+H151-H153+H249</f>
        <v>-341238.00999999943</v>
      </c>
      <c r="I259" s="13"/>
      <c r="J259" s="22">
        <f>IF(H$12=0,0,H259/H$12)</f>
        <v>-0.8627867953508539</v>
      </c>
      <c r="K259" s="16"/>
      <c r="L259" s="21">
        <f>+D259-H259</f>
        <v>687894.1399999999</v>
      </c>
      <c r="M259" s="16"/>
      <c r="N259" s="22">
        <f>IF(H259=0,0,L259/H259)</f>
        <v>-2.0158778326013596</v>
      </c>
      <c r="O259" s="26"/>
      <c r="P259" s="21">
        <f>+P151-P153+P249</f>
        <v>866368.17999999889</v>
      </c>
      <c r="Q259" s="13"/>
      <c r="R259" s="22">
        <f>IF(P$12=0,0,P259/P$12)</f>
        <v>8.9522957859290195E-2</v>
      </c>
      <c r="S259" s="13"/>
      <c r="T259" s="21">
        <f>+T151-T153+T249</f>
        <v>-1349428.3900000001</v>
      </c>
      <c r="U259" s="13"/>
      <c r="V259" s="22">
        <f>IF(T$12=0,0,T259/T$12)</f>
        <v>-0.28961517794726965</v>
      </c>
      <c r="W259" s="16"/>
      <c r="X259" s="21">
        <f>+P259-T259</f>
        <v>2215796.5699999989</v>
      </c>
      <c r="Y259" s="16"/>
      <c r="Z259" s="22">
        <f>IF(T259=0,0,X259/T259)</f>
        <v>-1.6420260507487905</v>
      </c>
    </row>
    <row r="260" spans="1:26" x14ac:dyDescent="0.3">
      <c r="A260" s="9"/>
      <c r="B260" s="10"/>
      <c r="C260" s="9"/>
      <c r="D260" s="3"/>
      <c r="E260" s="3"/>
      <c r="F260" s="8"/>
      <c r="G260" s="3"/>
      <c r="H260" s="3"/>
      <c r="I260" s="3"/>
      <c r="J260" s="8"/>
      <c r="K260" s="3"/>
      <c r="L260" s="3"/>
      <c r="M260" s="3"/>
      <c r="N260" s="8"/>
      <c r="P260" s="3"/>
      <c r="Q260" s="3"/>
      <c r="R260" s="8"/>
      <c r="S260" s="3"/>
      <c r="T260" s="3"/>
      <c r="U260" s="3"/>
      <c r="V260" s="8"/>
      <c r="W260" s="3"/>
      <c r="X260" s="3"/>
      <c r="Y260" s="3"/>
      <c r="Z260" s="8"/>
    </row>
    <row r="261" spans="1:26" s="23" customFormat="1" x14ac:dyDescent="0.3">
      <c r="A261" s="51"/>
      <c r="B261" s="10" t="s">
        <v>127</v>
      </c>
      <c r="C261" s="10"/>
      <c r="D261" s="4">
        <v>242860.23</v>
      </c>
      <c r="E261" s="4"/>
      <c r="F261" s="12">
        <f>IF(D$12=0,0,D261/D$12)</f>
        <v>0.13445069323339578</v>
      </c>
      <c r="G261" s="4"/>
      <c r="H261" s="4">
        <v>-183271.43</v>
      </c>
      <c r="I261" s="4"/>
      <c r="J261" s="12">
        <f>IF(H$12=0,0,H261/H$12)</f>
        <v>-0.46338381169515258</v>
      </c>
      <c r="K261" s="4"/>
      <c r="L261" s="4">
        <f>+D261-H261</f>
        <v>426131.66000000003</v>
      </c>
      <c r="M261" s="4"/>
      <c r="N261" s="12">
        <f>IF(H261=0,0,L261/H261)</f>
        <v>-2.3251396030466944</v>
      </c>
      <c r="O261" s="10"/>
      <c r="P261" s="4">
        <v>1152716.8500000001</v>
      </c>
      <c r="Q261" s="4"/>
      <c r="R261" s="12">
        <f>IF(P$12=0,0,P261/P$12)</f>
        <v>0.11911174067616828</v>
      </c>
      <c r="S261" s="4"/>
      <c r="T261" s="4">
        <v>740376.26</v>
      </c>
      <c r="U261" s="4"/>
      <c r="V261" s="12">
        <f>IF(T$12=0,0,T261/T$12)</f>
        <v>0.15890002305927028</v>
      </c>
      <c r="W261" s="4"/>
      <c r="X261" s="4">
        <f>+P261-T261</f>
        <v>412340.59000000008</v>
      </c>
      <c r="Y261" s="4"/>
      <c r="Z261" s="12">
        <f>IF(T261=0,0,X261/T261)</f>
        <v>0.55693383523669449</v>
      </c>
    </row>
    <row r="262" spans="1:26" x14ac:dyDescent="0.3">
      <c r="A262" s="9"/>
      <c r="B262" s="10"/>
      <c r="C262" s="10"/>
      <c r="D262" s="3"/>
      <c r="E262" s="3"/>
      <c r="F262" s="8"/>
      <c r="G262" s="3"/>
      <c r="H262" s="3"/>
      <c r="I262" s="3"/>
      <c r="J262" s="8"/>
      <c r="K262" s="3"/>
      <c r="L262" s="3"/>
      <c r="M262" s="3"/>
      <c r="N262" s="8"/>
      <c r="O262" s="10"/>
      <c r="P262" s="3"/>
      <c r="Q262" s="3"/>
      <c r="R262" s="8"/>
      <c r="S262" s="3"/>
      <c r="T262" s="3"/>
      <c r="U262" s="3"/>
      <c r="V262" s="8"/>
      <c r="W262" s="3"/>
      <c r="X262" s="3"/>
      <c r="Y262" s="3"/>
      <c r="Z262" s="8"/>
    </row>
    <row r="263" spans="1:26" s="23" customFormat="1" ht="15" thickBot="1" x14ac:dyDescent="0.35">
      <c r="A263" s="10"/>
      <c r="B263" s="25" t="s">
        <v>125</v>
      </c>
      <c r="C263" s="25"/>
      <c r="D263" s="35">
        <f>+D259-D261</f>
        <v>103795.9000000004</v>
      </c>
      <c r="E263" s="13"/>
      <c r="F263" s="31">
        <f>IF(D$12=0,0,D263/D$12)</f>
        <v>5.746280776306717E-2</v>
      </c>
      <c r="G263" s="13"/>
      <c r="H263" s="35">
        <f>+H259-H261</f>
        <v>-157966.57999999943</v>
      </c>
      <c r="I263" s="13"/>
      <c r="J263" s="31">
        <f>IF(H$12=0,0,H263/H$12)</f>
        <v>-0.39940298365570126</v>
      </c>
      <c r="K263" s="16"/>
      <c r="L263" s="35">
        <f>D263-H263</f>
        <v>261762.47999999984</v>
      </c>
      <c r="M263" s="16"/>
      <c r="N263" s="31">
        <f>IF(H263=0,0,L263/H263)</f>
        <v>-1.6570750598006285</v>
      </c>
      <c r="O263" s="26"/>
      <c r="P263" s="35">
        <f>+P259-P261</f>
        <v>-286348.67000000121</v>
      </c>
      <c r="Q263" s="13"/>
      <c r="R263" s="31">
        <f>IF(P$12=0,0,P263/P$12)</f>
        <v>-2.958878281687808E-2</v>
      </c>
      <c r="S263" s="13"/>
      <c r="T263" s="35">
        <f>+T259-T261</f>
        <v>-2089804.6500000001</v>
      </c>
      <c r="U263" s="13"/>
      <c r="V263" s="31">
        <f>IF(T$12=0,0,T263/T$12)</f>
        <v>-0.44851520100653991</v>
      </c>
      <c r="W263" s="16"/>
      <c r="X263" s="35">
        <f>P263-T263</f>
        <v>1803455.9799999991</v>
      </c>
      <c r="Y263" s="16"/>
      <c r="Z263" s="31">
        <f>IF(T263=0,0,X263/T263)</f>
        <v>-0.86297825971437037</v>
      </c>
    </row>
    <row r="264" spans="1:26" ht="15" thickTop="1" x14ac:dyDescent="0.3">
      <c r="A264" s="9"/>
      <c r="B264" s="9"/>
      <c r="C264" s="9"/>
      <c r="D264" s="3"/>
      <c r="E264" s="3"/>
      <c r="F264" s="8"/>
      <c r="G264" s="3"/>
      <c r="H264" s="3"/>
      <c r="I264" s="3"/>
      <c r="J264" s="8"/>
      <c r="K264" s="3"/>
      <c r="L264" s="3"/>
      <c r="M264" s="3"/>
      <c r="N264" s="8"/>
      <c r="P264" s="3"/>
      <c r="Q264" s="3"/>
      <c r="R264" s="8"/>
      <c r="S264" s="3"/>
      <c r="T264" s="3"/>
      <c r="U264" s="3"/>
      <c r="V264" s="8"/>
      <c r="W264" s="3"/>
      <c r="X264" s="3"/>
      <c r="Y264" s="3"/>
      <c r="Z264" s="8"/>
    </row>
    <row r="265" spans="1:26" s="23" customFormat="1" x14ac:dyDescent="0.3">
      <c r="A265" s="51"/>
      <c r="B265" s="10" t="s">
        <v>183</v>
      </c>
      <c r="C265" s="10"/>
      <c r="D265" s="4">
        <f>-342698.96</f>
        <v>-342698.96</v>
      </c>
      <c r="E265" s="4"/>
      <c r="F265" s="12">
        <f t="shared" ref="F265:F266" si="152">IF(D$12=0,0,D265/D$12)</f>
        <v>-0.18972275840455133</v>
      </c>
      <c r="G265" s="4"/>
      <c r="H265" s="4">
        <f>--1068713.4</f>
        <v>1068713.3999999999</v>
      </c>
      <c r="I265" s="4"/>
      <c r="J265" s="12">
        <f t="shared" ref="J265:J266" si="153">IF(H$12=0,0,H265/H$12)</f>
        <v>2.7021368737161393</v>
      </c>
      <c r="K265" s="4"/>
      <c r="L265" s="4">
        <f t="shared" ref="L265:L266" si="154">+D265-H265</f>
        <v>-1411412.3599999999</v>
      </c>
      <c r="M265" s="4"/>
      <c r="N265" s="12">
        <f t="shared" ref="N265:N266" si="155">IF(H265=0,0,L265/H265)</f>
        <v>-1.3206649790299252</v>
      </c>
      <c r="O265" s="10"/>
      <c r="P265" s="4">
        <f>-224717.18</f>
        <v>-224717.18</v>
      </c>
      <c r="Q265" s="4"/>
      <c r="R265" s="12">
        <f t="shared" ref="R265:R266" si="156">IF(P$12=0,0,P265/P$12)</f>
        <v>-2.3220320297772889E-2</v>
      </c>
      <c r="S265" s="4"/>
      <c r="T265" s="4">
        <f>--1649406.18</f>
        <v>1649406.18</v>
      </c>
      <c r="U265" s="4"/>
      <c r="V265" s="12">
        <f t="shared" ref="V265:V266" si="157">IF(T$12=0,0,T265/T$12)</f>
        <v>0.35399660172261993</v>
      </c>
      <c r="W265" s="4"/>
      <c r="X265" s="4">
        <f t="shared" ref="X265:X266" si="158">+P265-T265</f>
        <v>-1874123.3599999999</v>
      </c>
      <c r="Y265" s="4"/>
      <c r="Z265" s="12">
        <f t="shared" ref="Z265:Z266" si="159">IF(T265=0,0,X265/T265)</f>
        <v>-1.1362412622947733</v>
      </c>
    </row>
    <row r="266" spans="1:26" s="23" customFormat="1" x14ac:dyDescent="0.3">
      <c r="A266" s="51"/>
      <c r="B266" s="10" t="s">
        <v>81</v>
      </c>
      <c r="C266" s="10"/>
      <c r="D266" s="4">
        <f>--9933.84</f>
        <v>9933.84</v>
      </c>
      <c r="E266" s="4"/>
      <c r="F266" s="12">
        <f t="shared" si="152"/>
        <v>5.4995075746639794E-3</v>
      </c>
      <c r="G266" s="4"/>
      <c r="H266" s="4">
        <f>--16697.28</f>
        <v>16697.28</v>
      </c>
      <c r="I266" s="4"/>
      <c r="J266" s="12">
        <f t="shared" si="153"/>
        <v>4.2217432642617771E-2</v>
      </c>
      <c r="K266" s="4"/>
      <c r="L266" s="4">
        <f t="shared" si="154"/>
        <v>-6763.4399999999987</v>
      </c>
      <c r="M266" s="4"/>
      <c r="N266" s="12">
        <f t="shared" si="155"/>
        <v>-0.4050623814178117</v>
      </c>
      <c r="O266" s="10"/>
      <c r="P266" s="4">
        <f>--57789.87</f>
        <v>57789.87</v>
      </c>
      <c r="Q266" s="4"/>
      <c r="R266" s="12">
        <f t="shared" si="156"/>
        <v>5.9715028969598884E-3</v>
      </c>
      <c r="S266" s="4"/>
      <c r="T266" s="4">
        <f>-6422.54</f>
        <v>-6422.54</v>
      </c>
      <c r="U266" s="4"/>
      <c r="V266" s="12">
        <f t="shared" si="157"/>
        <v>-1.3784096131054847E-3</v>
      </c>
      <c r="W266" s="4"/>
      <c r="X266" s="4">
        <f t="shared" si="158"/>
        <v>64212.41</v>
      </c>
      <c r="Y266" s="4"/>
      <c r="Z266" s="12">
        <f t="shared" si="159"/>
        <v>-9.99797743571858</v>
      </c>
    </row>
    <row r="267" spans="1:26" x14ac:dyDescent="0.3">
      <c r="A267" s="9"/>
      <c r="B267" s="9"/>
      <c r="C267" s="9"/>
      <c r="D267" s="3"/>
      <c r="E267" s="3"/>
      <c r="F267" s="8"/>
      <c r="G267" s="3"/>
      <c r="H267" s="3"/>
      <c r="I267" s="3"/>
      <c r="J267" s="8"/>
      <c r="K267" s="3"/>
      <c r="L267" s="3"/>
      <c r="M267" s="3"/>
      <c r="N267" s="8"/>
      <c r="P267" s="3"/>
      <c r="Q267" s="3"/>
      <c r="R267" s="8"/>
      <c r="S267" s="3"/>
      <c r="T267" s="3"/>
      <c r="U267" s="3"/>
      <c r="V267" s="8"/>
      <c r="W267" s="3"/>
      <c r="X267" s="3"/>
      <c r="Y267" s="3"/>
      <c r="Z267" s="8"/>
    </row>
    <row r="268" spans="1:26" s="23" customFormat="1" ht="15" thickBot="1" x14ac:dyDescent="0.35">
      <c r="A268" s="10"/>
      <c r="B268" s="25" t="s">
        <v>293</v>
      </c>
      <c r="C268" s="25"/>
      <c r="D268" s="36">
        <f>SUM(D263:D267)</f>
        <v>-228969.21999999962</v>
      </c>
      <c r="E268" s="13"/>
      <c r="F268" s="33">
        <f>IF(D$12=0,0,D268/D$12)</f>
        <v>-0.12676044306682019</v>
      </c>
      <c r="G268" s="13"/>
      <c r="H268" s="36">
        <f>SUM(H263:H267)</f>
        <v>927444.10000000056</v>
      </c>
      <c r="I268" s="13"/>
      <c r="J268" s="33">
        <f>IF(H$12=0,0,H268/H$12)</f>
        <v>2.3449513227030558</v>
      </c>
      <c r="K268" s="16"/>
      <c r="L268" s="36">
        <f>+D268-H268</f>
        <v>-1156413.3200000003</v>
      </c>
      <c r="M268" s="16"/>
      <c r="N268" s="33">
        <f>IF(H268=0,0,L268/H268)</f>
        <v>-1.2468819630207357</v>
      </c>
      <c r="O268" s="26"/>
      <c r="P268" s="36">
        <f>SUM(P263:P267)</f>
        <v>-453275.9800000012</v>
      </c>
      <c r="Q268" s="13"/>
      <c r="R268" s="33">
        <f>IF(P$12=0,0,P268/P$12)</f>
        <v>-4.6837600217691081E-2</v>
      </c>
      <c r="S268" s="13"/>
      <c r="T268" s="36">
        <f>SUM(T263:T267)</f>
        <v>-446821.01000000018</v>
      </c>
      <c r="U268" s="13"/>
      <c r="V268" s="33">
        <f>IF(T$12=0,0,T268/T$12)</f>
        <v>-9.5897008897025501E-2</v>
      </c>
      <c r="W268" s="16"/>
      <c r="X268" s="36">
        <f>+P268-T268</f>
        <v>-6454.9700000010198</v>
      </c>
      <c r="Y268" s="16"/>
      <c r="Z268" s="33">
        <f>IF(T268=0,0,X268/T268)</f>
        <v>1.4446433483512822E-2</v>
      </c>
    </row>
    <row r="269" spans="1:26" ht="15" thickTop="1" x14ac:dyDescent="0.3">
      <c r="A269" s="9"/>
      <c r="C269" s="9"/>
      <c r="D269" s="17"/>
      <c r="E269" s="17"/>
      <c r="G269" s="17"/>
      <c r="H269" s="17"/>
      <c r="I269" s="17"/>
      <c r="J269" s="42"/>
      <c r="K269" s="17"/>
      <c r="L269" s="17"/>
      <c r="M269" s="17"/>
      <c r="P269" s="17"/>
      <c r="Q269" s="17"/>
      <c r="R269" s="42"/>
      <c r="S269" s="17"/>
      <c r="T269" s="17"/>
      <c r="U269" s="17"/>
      <c r="V269" s="42"/>
      <c r="W269" s="17"/>
      <c r="X269" s="17"/>
    </row>
    <row r="270" spans="1:26" x14ac:dyDescent="0.3">
      <c r="A270" s="9"/>
      <c r="B270" s="52">
        <v>44543.765546643517</v>
      </c>
      <c r="D270" s="17"/>
      <c r="E270" s="17"/>
      <c r="G270" s="17"/>
      <c r="H270" s="17"/>
      <c r="I270" s="17"/>
      <c r="J270" s="42"/>
      <c r="K270" s="17"/>
      <c r="L270" s="17"/>
      <c r="M270" s="17"/>
      <c r="P270" s="17"/>
      <c r="Q270" s="17"/>
      <c r="R270" s="42"/>
      <c r="S270" s="17"/>
      <c r="T270" s="17"/>
      <c r="U270" s="17"/>
      <c r="V270" s="42"/>
      <c r="W270" s="17"/>
      <c r="X270" s="17"/>
    </row>
    <row r="271" spans="1:26" x14ac:dyDescent="0.3">
      <c r="A271" s="9"/>
      <c r="B271" s="59" t="s">
        <v>56</v>
      </c>
      <c r="D271" s="17"/>
      <c r="E271" s="17"/>
      <c r="G271" s="17"/>
      <c r="H271" s="17"/>
      <c r="I271" s="17"/>
      <c r="J271" s="42"/>
      <c r="K271" s="17"/>
      <c r="L271" s="17"/>
      <c r="M271" s="17"/>
      <c r="P271" s="17"/>
      <c r="Q271" s="17"/>
      <c r="R271" s="42"/>
      <c r="S271" s="17"/>
      <c r="T271" s="17"/>
      <c r="U271" s="17"/>
      <c r="V271" s="42"/>
      <c r="W271" s="17"/>
      <c r="X271" s="17"/>
    </row>
    <row r="272" spans="1:26" x14ac:dyDescent="0.3">
      <c r="A272" s="9"/>
      <c r="B272" s="61"/>
      <c r="D272" s="17"/>
      <c r="E272" s="17"/>
      <c r="G272" s="17"/>
      <c r="H272" s="17"/>
      <c r="I272" s="17"/>
      <c r="J272" s="42"/>
      <c r="K272" s="17"/>
      <c r="L272" s="17"/>
      <c r="M272" s="17"/>
      <c r="P272" s="17"/>
      <c r="Q272" s="17"/>
      <c r="R272" s="42"/>
      <c r="S272" s="17"/>
      <c r="T272" s="17"/>
      <c r="U272" s="17"/>
      <c r="V272" s="42"/>
      <c r="W272" s="17"/>
      <c r="X272" s="17"/>
    </row>
    <row r="273" spans="4:24" x14ac:dyDescent="0.3">
      <c r="D273" s="17"/>
      <c r="E273" s="17"/>
      <c r="G273" s="17"/>
      <c r="H273" s="17"/>
      <c r="I273" s="17"/>
      <c r="J273" s="42"/>
      <c r="K273" s="17"/>
      <c r="L273" s="17"/>
      <c r="M273" s="17"/>
      <c r="P273" s="17"/>
      <c r="Q273" s="17"/>
      <c r="R273" s="42"/>
      <c r="S273" s="17"/>
      <c r="T273" s="17"/>
      <c r="U273" s="17"/>
      <c r="V273" s="42"/>
      <c r="W273" s="17"/>
      <c r="X273" s="17"/>
    </row>
  </sheetData>
  <pageMargins left="0.25" right="0.25" top="0.75" bottom="0.75" header="0.3" footer="0.3"/>
  <pageSetup scale="55" fitToWidth="2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FFFF00"/>
    <outlinePr summaryBelow="0" summaryRight="0"/>
  </sheetPr>
  <dimension ref="A2:Z41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5" t="s">
        <v>125</v>
      </c>
      <c r="C26" s="25"/>
      <c r="D26" s="35">
        <f>+D22-D24</f>
        <v>0</v>
      </c>
      <c r="E26" s="13"/>
      <c r="F26" s="31">
        <f>IF(D$12=0,0,D26/D$12)</f>
        <v>0</v>
      </c>
      <c r="G26" s="13"/>
      <c r="H26" s="35">
        <f>+H22-H24</f>
        <v>0</v>
      </c>
      <c r="I26" s="13"/>
      <c r="J26" s="31">
        <f>IF(H$12=0,0,H26/H$12)</f>
        <v>0</v>
      </c>
      <c r="K26" s="16"/>
      <c r="L26" s="35">
        <f>D26-H26</f>
        <v>0</v>
      </c>
      <c r="M26" s="16"/>
      <c r="N26" s="31">
        <f>IF(H26=0,0,L26/H26)</f>
        <v>0</v>
      </c>
      <c r="O26" s="26"/>
      <c r="P26" s="35">
        <f>+P22-P24</f>
        <v>0</v>
      </c>
      <c r="Q26" s="13"/>
      <c r="R26" s="31">
        <f>IF(P$12=0,0,P26/P$12)</f>
        <v>0</v>
      </c>
      <c r="S26" s="13"/>
      <c r="T26" s="35">
        <f>+T22-T24</f>
        <v>0</v>
      </c>
      <c r="U26" s="13"/>
      <c r="V26" s="31">
        <f>IF(T$12=0,0,T26/T$12)</f>
        <v>0</v>
      </c>
      <c r="W26" s="16"/>
      <c r="X26" s="35">
        <f>P26-T26</f>
        <v>0</v>
      </c>
      <c r="Y26" s="16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-342698.96</f>
        <v>-342698.96</v>
      </c>
      <c r="E28" s="4"/>
      <c r="F28" s="12">
        <f t="shared" ref="F28:F29" si="0">IF(D$12=0,0,D28/D$12)</f>
        <v>0</v>
      </c>
      <c r="G28" s="4"/>
      <c r="H28" s="4">
        <f>--1068713.4</f>
        <v>1068713.3999999999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-1411412.3599999999</v>
      </c>
      <c r="M28" s="4"/>
      <c r="N28" s="12">
        <f t="shared" ref="N28:N29" si="3">IF(H28=0,0,L28/H28)</f>
        <v>-1.3206649790299252</v>
      </c>
      <c r="O28" s="10"/>
      <c r="P28" s="4">
        <f>-224717.18</f>
        <v>-224717.18</v>
      </c>
      <c r="Q28" s="4"/>
      <c r="R28" s="12">
        <f t="shared" ref="R28:R29" si="4">IF(P$12=0,0,P28/P$12)</f>
        <v>0</v>
      </c>
      <c r="S28" s="4"/>
      <c r="T28" s="4">
        <f>--1649406.18</f>
        <v>1649406.18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-1874123.3599999999</v>
      </c>
      <c r="Y28" s="4"/>
      <c r="Z28" s="12">
        <f t="shared" ref="Z28:Z29" si="7">IF(T28=0,0,X28/T28)</f>
        <v>-1.1362412622947733</v>
      </c>
    </row>
    <row r="29" spans="1:26" s="23" customFormat="1" x14ac:dyDescent="0.3">
      <c r="A29" s="51"/>
      <c r="B29" s="10" t="s">
        <v>81</v>
      </c>
      <c r="C29" s="10"/>
      <c r="D29" s="4">
        <f>--9933.84</f>
        <v>9933.84</v>
      </c>
      <c r="E29" s="4"/>
      <c r="F29" s="12">
        <f t="shared" si="0"/>
        <v>0</v>
      </c>
      <c r="G29" s="4"/>
      <c r="H29" s="4">
        <f>--16697.28</f>
        <v>16697.28</v>
      </c>
      <c r="I29" s="4"/>
      <c r="J29" s="12">
        <f t="shared" si="1"/>
        <v>0</v>
      </c>
      <c r="K29" s="4"/>
      <c r="L29" s="4">
        <f t="shared" si="2"/>
        <v>-6763.4399999999987</v>
      </c>
      <c r="M29" s="4"/>
      <c r="N29" s="12">
        <f t="shared" si="3"/>
        <v>-0.4050623814178117</v>
      </c>
      <c r="O29" s="10"/>
      <c r="P29" s="4">
        <f>--57789.87</f>
        <v>57789.87</v>
      </c>
      <c r="Q29" s="4"/>
      <c r="R29" s="12">
        <f t="shared" si="4"/>
        <v>0</v>
      </c>
      <c r="S29" s="4"/>
      <c r="T29" s="4">
        <f>-6422.54</f>
        <v>-6422.54</v>
      </c>
      <c r="U29" s="4"/>
      <c r="V29" s="12">
        <f t="shared" si="5"/>
        <v>0</v>
      </c>
      <c r="W29" s="4"/>
      <c r="X29" s="4">
        <f t="shared" si="6"/>
        <v>64212.41</v>
      </c>
      <c r="Y29" s="4"/>
      <c r="Z29" s="12">
        <f t="shared" si="7"/>
        <v>-9.99797743571858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6">
        <f>SUM(D26:D30)</f>
        <v>-332765.12</v>
      </c>
      <c r="E31" s="13"/>
      <c r="F31" s="33">
        <f>IF(D$12=0,0,D31/D$12)</f>
        <v>0</v>
      </c>
      <c r="G31" s="13"/>
      <c r="H31" s="36">
        <f>SUM(H26:H30)</f>
        <v>1085410.68</v>
      </c>
      <c r="I31" s="13"/>
      <c r="J31" s="33">
        <f>IF(H$12=0,0,H31/H$12)</f>
        <v>0</v>
      </c>
      <c r="K31" s="16"/>
      <c r="L31" s="36">
        <f>+D31-H31</f>
        <v>-1418175.7999999998</v>
      </c>
      <c r="M31" s="16"/>
      <c r="N31" s="33">
        <f>IF(H31=0,0,L31/H31)</f>
        <v>-1.3065799205145097</v>
      </c>
      <c r="O31" s="26"/>
      <c r="P31" s="36">
        <f>SUM(P26:P30)</f>
        <v>-166927.31</v>
      </c>
      <c r="Q31" s="13"/>
      <c r="R31" s="33">
        <f>IF(P$12=0,0,P31/P$12)</f>
        <v>0</v>
      </c>
      <c r="S31" s="13"/>
      <c r="T31" s="36">
        <f>SUM(T26:T30)</f>
        <v>1642983.64</v>
      </c>
      <c r="U31" s="13"/>
      <c r="V31" s="33">
        <f>IF(T$12=0,0,T31/T$12)</f>
        <v>0</v>
      </c>
      <c r="W31" s="16"/>
      <c r="X31" s="36">
        <f>+P31-T31</f>
        <v>-1809910.95</v>
      </c>
      <c r="Y31" s="16"/>
      <c r="Z31" s="33">
        <f>IF(T31=0,0,X31/T31)</f>
        <v>-1.1016001047947137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2">
        <v>44543.765578784725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9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61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","100", " - ", "Corporate")</f>
        <v>Department 100 - Corporate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292</v>
      </c>
      <c r="C20" s="10"/>
      <c r="D20" s="4">
        <f>SUM(0)</f>
        <v>0</v>
      </c>
      <c r="E20" s="4"/>
      <c r="F20" s="12">
        <f>IF(D$12=0,0,D20/D$12)</f>
        <v>0</v>
      </c>
      <c r="G20" s="4"/>
      <c r="H20" s="4">
        <f>SUM(0)</f>
        <v>0</v>
      </c>
      <c r="I20" s="4"/>
      <c r="J20" s="12">
        <f>IF(H$12=0,0,H20/H$12)</f>
        <v>0</v>
      </c>
      <c r="K20" s="4"/>
      <c r="L20" s="4">
        <f>+D20-H20</f>
        <v>0</v>
      </c>
      <c r="M20" s="4"/>
      <c r="N20" s="12">
        <f>IF(H20=0,0,L20/H20)</f>
        <v>0</v>
      </c>
      <c r="O20" s="10"/>
      <c r="P20" s="4">
        <f>SUM(0)</f>
        <v>0</v>
      </c>
      <c r="Q20" s="4"/>
      <c r="R20" s="12">
        <f>IF(P$12=0,0,P20/P$12)</f>
        <v>0</v>
      </c>
      <c r="S20" s="4"/>
      <c r="T20" s="4">
        <f>SUM(0)</f>
        <v>0</v>
      </c>
      <c r="U20" s="4"/>
      <c r="V20" s="12">
        <f>IF(T$12=0,0,T20/T$12)</f>
        <v>0</v>
      </c>
      <c r="W20" s="4"/>
      <c r="X20" s="4">
        <f>+P20-T20</f>
        <v>0</v>
      </c>
      <c r="Y20" s="4"/>
      <c r="Z20" s="12">
        <f>IF(T20=0,0,X20/T20)</f>
        <v>0</v>
      </c>
    </row>
    <row r="21" spans="1:26" x14ac:dyDescent="0.3">
      <c r="A21" s="9"/>
      <c r="B21" s="10"/>
      <c r="C21" s="10"/>
      <c r="D21" s="3"/>
      <c r="E21" s="3"/>
      <c r="F21" s="8"/>
      <c r="G21" s="3"/>
      <c r="H21" s="3"/>
      <c r="I21" s="3"/>
      <c r="J21" s="8"/>
      <c r="K21" s="3"/>
      <c r="L21" s="3"/>
      <c r="M21" s="3"/>
      <c r="N21" s="8"/>
      <c r="O21" s="10"/>
      <c r="P21" s="3"/>
      <c r="Q21" s="3"/>
      <c r="R21" s="8"/>
      <c r="S21" s="3"/>
      <c r="T21" s="3"/>
      <c r="U21" s="3"/>
      <c r="V21" s="8"/>
      <c r="W21" s="3"/>
      <c r="X21" s="3"/>
      <c r="Y21" s="3"/>
      <c r="Z21" s="8"/>
    </row>
    <row r="22" spans="1:26" s="23" customFormat="1" x14ac:dyDescent="0.3">
      <c r="A22" s="10"/>
      <c r="B22" s="25" t="s">
        <v>276</v>
      </c>
      <c r="C22" s="25"/>
      <c r="D22" s="21">
        <f>+D16-D18+D20</f>
        <v>0</v>
      </c>
      <c r="E22" s="13"/>
      <c r="F22" s="22">
        <f>IF(D$12=0,0,D22/D$12)</f>
        <v>0</v>
      </c>
      <c r="G22" s="13"/>
      <c r="H22" s="21">
        <f>+H16-H18+H20</f>
        <v>0</v>
      </c>
      <c r="I22" s="13"/>
      <c r="J22" s="22">
        <f>IF(H$12=0,0,H22/H$12)</f>
        <v>0</v>
      </c>
      <c r="K22" s="16"/>
      <c r="L22" s="21">
        <f>+D22-H22</f>
        <v>0</v>
      </c>
      <c r="M22" s="16"/>
      <c r="N22" s="22">
        <f>IF(H22=0,0,L22/H22)</f>
        <v>0</v>
      </c>
      <c r="O22" s="26"/>
      <c r="P22" s="21">
        <f>+P16-P18+P20</f>
        <v>0</v>
      </c>
      <c r="Q22" s="13"/>
      <c r="R22" s="22">
        <f>IF(P$12=0,0,P22/P$12)</f>
        <v>0</v>
      </c>
      <c r="S22" s="13"/>
      <c r="T22" s="21">
        <f>+T16-T18+T20</f>
        <v>0</v>
      </c>
      <c r="U22" s="13"/>
      <c r="V22" s="22">
        <f>IF(T$12=0,0,T22/T$12)</f>
        <v>0</v>
      </c>
      <c r="W22" s="16"/>
      <c r="X22" s="21">
        <f>+P22-T22</f>
        <v>0</v>
      </c>
      <c r="Y22" s="16"/>
      <c r="Z22" s="22">
        <f>IF(T22=0,0,X22/T22)</f>
        <v>0</v>
      </c>
    </row>
    <row r="23" spans="1:26" x14ac:dyDescent="0.3">
      <c r="A23" s="9"/>
      <c r="B23" s="10"/>
      <c r="C23" s="9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51"/>
      <c r="B24" s="10" t="s">
        <v>127</v>
      </c>
      <c r="C24" s="10"/>
      <c r="D24" s="4"/>
      <c r="E24" s="4"/>
      <c r="F24" s="12">
        <f>IF(D$12=0,0,D24/D$12)</f>
        <v>0</v>
      </c>
      <c r="G24" s="4"/>
      <c r="H24" s="4"/>
      <c r="I24" s="4"/>
      <c r="J24" s="12">
        <f>IF(H$12=0,0,H24/H$12)</f>
        <v>0</v>
      </c>
      <c r="K24" s="4"/>
      <c r="L24" s="4">
        <f>+D24-H24</f>
        <v>0</v>
      </c>
      <c r="M24" s="4"/>
      <c r="N24" s="12">
        <f>IF(H24=0,0,L24/H24)</f>
        <v>0</v>
      </c>
      <c r="O24" s="10"/>
      <c r="P24" s="4"/>
      <c r="Q24" s="4"/>
      <c r="R24" s="12">
        <f>IF(P$12=0,0,P24/P$12)</f>
        <v>0</v>
      </c>
      <c r="S24" s="4"/>
      <c r="T24" s="4"/>
      <c r="U24" s="4"/>
      <c r="V24" s="12">
        <f>IF(T$12=0,0,T24/T$12)</f>
        <v>0</v>
      </c>
      <c r="W24" s="4"/>
      <c r="X24" s="4">
        <f>+P24-T24</f>
        <v>0</v>
      </c>
      <c r="Y24" s="4"/>
      <c r="Z24" s="12">
        <f>IF(T24=0,0,X24/T24)</f>
        <v>0</v>
      </c>
    </row>
    <row r="25" spans="1:26" x14ac:dyDescent="0.3">
      <c r="A25" s="9"/>
      <c r="B25" s="10"/>
      <c r="C25" s="10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O25" s="10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ht="15" thickBot="1" x14ac:dyDescent="0.35">
      <c r="A26" s="10"/>
      <c r="B26" s="25" t="s">
        <v>125</v>
      </c>
      <c r="C26" s="25"/>
      <c r="D26" s="35">
        <f>+D22-D24</f>
        <v>0</v>
      </c>
      <c r="E26" s="13"/>
      <c r="F26" s="31">
        <f>IF(D$12=0,0,D26/D$12)</f>
        <v>0</v>
      </c>
      <c r="G26" s="13"/>
      <c r="H26" s="35">
        <f>+H22-H24</f>
        <v>0</v>
      </c>
      <c r="I26" s="13"/>
      <c r="J26" s="31">
        <f>IF(H$12=0,0,H26/H$12)</f>
        <v>0</v>
      </c>
      <c r="K26" s="16"/>
      <c r="L26" s="35">
        <f>D26-H26</f>
        <v>0</v>
      </c>
      <c r="M26" s="16"/>
      <c r="N26" s="31">
        <f>IF(H26=0,0,L26/H26)</f>
        <v>0</v>
      </c>
      <c r="O26" s="26"/>
      <c r="P26" s="35">
        <f>+P22-P24</f>
        <v>0</v>
      </c>
      <c r="Q26" s="13"/>
      <c r="R26" s="31">
        <f>IF(P$12=0,0,P26/P$12)</f>
        <v>0</v>
      </c>
      <c r="S26" s="13"/>
      <c r="T26" s="35">
        <f>+T22-T24</f>
        <v>0</v>
      </c>
      <c r="U26" s="13"/>
      <c r="V26" s="31">
        <f>IF(T$12=0,0,T26/T$12)</f>
        <v>0</v>
      </c>
      <c r="W26" s="16"/>
      <c r="X26" s="35">
        <f>P26-T26</f>
        <v>0</v>
      </c>
      <c r="Y26" s="16"/>
      <c r="Z26" s="31">
        <f>IF(T26=0,0,X26/T26)</f>
        <v>0</v>
      </c>
    </row>
    <row r="27" spans="1:26" ht="15" thickTop="1" x14ac:dyDescent="0.3">
      <c r="A27" s="9"/>
      <c r="B27" s="9"/>
      <c r="C27" s="9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51"/>
      <c r="B28" s="10" t="s">
        <v>183</v>
      </c>
      <c r="C28" s="10"/>
      <c r="D28" s="4">
        <f>-342698.96</f>
        <v>-342698.96</v>
      </c>
      <c r="E28" s="4"/>
      <c r="F28" s="12">
        <f t="shared" ref="F28:F29" si="0">IF(D$12=0,0,D28/D$12)</f>
        <v>0</v>
      </c>
      <c r="G28" s="4"/>
      <c r="H28" s="4">
        <f>--1068713.4</f>
        <v>1068713.3999999999</v>
      </c>
      <c r="I28" s="4"/>
      <c r="J28" s="12">
        <f t="shared" ref="J28:J29" si="1">IF(H$12=0,0,H28/H$12)</f>
        <v>0</v>
      </c>
      <c r="K28" s="4"/>
      <c r="L28" s="4">
        <f t="shared" ref="L28:L29" si="2">+D28-H28</f>
        <v>-1411412.3599999999</v>
      </c>
      <c r="M28" s="4"/>
      <c r="N28" s="12">
        <f t="shared" ref="N28:N29" si="3">IF(H28=0,0,L28/H28)</f>
        <v>-1.3206649790299252</v>
      </c>
      <c r="O28" s="10"/>
      <c r="P28" s="4">
        <f>-224717.18</f>
        <v>-224717.18</v>
      </c>
      <c r="Q28" s="4"/>
      <c r="R28" s="12">
        <f t="shared" ref="R28:R29" si="4">IF(P$12=0,0,P28/P$12)</f>
        <v>0</v>
      </c>
      <c r="S28" s="4"/>
      <c r="T28" s="4">
        <f>--1649406.18</f>
        <v>1649406.18</v>
      </c>
      <c r="U28" s="4"/>
      <c r="V28" s="12">
        <f t="shared" ref="V28:V29" si="5">IF(T$12=0,0,T28/T$12)</f>
        <v>0</v>
      </c>
      <c r="W28" s="4"/>
      <c r="X28" s="4">
        <f t="shared" ref="X28:X29" si="6">+P28-T28</f>
        <v>-1874123.3599999999</v>
      </c>
      <c r="Y28" s="4"/>
      <c r="Z28" s="12">
        <f t="shared" ref="Z28:Z29" si="7">IF(T28=0,0,X28/T28)</f>
        <v>-1.1362412622947733</v>
      </c>
    </row>
    <row r="29" spans="1:26" s="23" customFormat="1" x14ac:dyDescent="0.3">
      <c r="A29" s="51"/>
      <c r="B29" s="10" t="s">
        <v>81</v>
      </c>
      <c r="C29" s="10"/>
      <c r="D29" s="4">
        <f>--9933.84</f>
        <v>9933.84</v>
      </c>
      <c r="E29" s="4"/>
      <c r="F29" s="12">
        <f t="shared" si="0"/>
        <v>0</v>
      </c>
      <c r="G29" s="4"/>
      <c r="H29" s="4">
        <f>--16697.28</f>
        <v>16697.28</v>
      </c>
      <c r="I29" s="4"/>
      <c r="J29" s="12">
        <f t="shared" si="1"/>
        <v>0</v>
      </c>
      <c r="K29" s="4"/>
      <c r="L29" s="4">
        <f t="shared" si="2"/>
        <v>-6763.4399999999987</v>
      </c>
      <c r="M29" s="4"/>
      <c r="N29" s="12">
        <f t="shared" si="3"/>
        <v>-0.4050623814178117</v>
      </c>
      <c r="O29" s="10"/>
      <c r="P29" s="4">
        <f>--57789.87</f>
        <v>57789.87</v>
      </c>
      <c r="Q29" s="4"/>
      <c r="R29" s="12">
        <f t="shared" si="4"/>
        <v>0</v>
      </c>
      <c r="S29" s="4"/>
      <c r="T29" s="4">
        <f>-6422.54</f>
        <v>-6422.54</v>
      </c>
      <c r="U29" s="4"/>
      <c r="V29" s="12">
        <f t="shared" si="5"/>
        <v>0</v>
      </c>
      <c r="W29" s="4"/>
      <c r="X29" s="4">
        <f t="shared" si="6"/>
        <v>64212.41</v>
      </c>
      <c r="Y29" s="4"/>
      <c r="Z29" s="12">
        <f t="shared" si="7"/>
        <v>-9.99797743571858</v>
      </c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6">
        <f>SUM(D26:D30)</f>
        <v>-332765.12</v>
      </c>
      <c r="E31" s="13"/>
      <c r="F31" s="33">
        <f>IF(D$12=0,0,D31/D$12)</f>
        <v>0</v>
      </c>
      <c r="G31" s="13"/>
      <c r="H31" s="36">
        <f>SUM(H26:H30)</f>
        <v>1085410.68</v>
      </c>
      <c r="I31" s="13"/>
      <c r="J31" s="33">
        <f>IF(H$12=0,0,H31/H$12)</f>
        <v>0</v>
      </c>
      <c r="K31" s="16"/>
      <c r="L31" s="36">
        <f>+D31-H31</f>
        <v>-1418175.7999999998</v>
      </c>
      <c r="M31" s="16"/>
      <c r="N31" s="33">
        <f>IF(H31=0,0,L31/H31)</f>
        <v>-1.3065799205145097</v>
      </c>
      <c r="O31" s="26"/>
      <c r="P31" s="36">
        <f>SUM(P26:P30)</f>
        <v>-166927.31</v>
      </c>
      <c r="Q31" s="13"/>
      <c r="R31" s="33">
        <f>IF(P$12=0,0,P31/P$12)</f>
        <v>0</v>
      </c>
      <c r="S31" s="13"/>
      <c r="T31" s="36">
        <f>SUM(T26:T30)</f>
        <v>1642983.64</v>
      </c>
      <c r="U31" s="13"/>
      <c r="V31" s="33">
        <f>IF(T$12=0,0,T31/T$12)</f>
        <v>0</v>
      </c>
      <c r="W31" s="16"/>
      <c r="X31" s="36">
        <f>+P31-T31</f>
        <v>-1809910.95</v>
      </c>
      <c r="Y31" s="16"/>
      <c r="Z31" s="33">
        <f>IF(T31=0,0,X31/T31)</f>
        <v>-1.1016001047947137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2">
        <v>44543.765594675926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9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61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outlinePr summaryBelow="0" summaryRight="0"/>
  </sheetPr>
  <dimension ref="A2:Z10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242860.23000000007</v>
      </c>
      <c r="E18" s="20"/>
      <c r="F18" s="32">
        <f t="shared" ref="F18:F29" si="0">IF(D$12=0,0,D18/D$12)</f>
        <v>0</v>
      </c>
      <c r="G18" s="20"/>
      <c r="H18" s="20">
        <f>SUM(OSRRefH22x_0)</f>
        <v>-183271.43000000002</v>
      </c>
      <c r="I18" s="20"/>
      <c r="J18" s="32">
        <f t="shared" ref="J18:J29" si="1">IF(H$12=0,0,H18/H$12)</f>
        <v>0</v>
      </c>
      <c r="K18" s="4"/>
      <c r="L18" s="20">
        <f t="shared" ref="L18:L29" si="2">+D18-H18</f>
        <v>426131.66000000009</v>
      </c>
      <c r="M18" s="4"/>
      <c r="N18" s="32">
        <f t="shared" ref="N18:N29" si="3">IF(H18=0,0,L18/H18)</f>
        <v>-2.3251396030466944</v>
      </c>
      <c r="O18" s="10"/>
      <c r="P18" s="20">
        <f>SUM(OSRRefP22x_0)</f>
        <v>1152716.8499999999</v>
      </c>
      <c r="Q18" s="20"/>
      <c r="R18" s="32">
        <f t="shared" ref="R18:R29" si="4">IF(P$12=0,0,P18/P$12)</f>
        <v>0</v>
      </c>
      <c r="S18" s="20"/>
      <c r="T18" s="20">
        <f>SUM(OSRRefT22x_0)</f>
        <v>740376.26000000024</v>
      </c>
      <c r="U18" s="20"/>
      <c r="V18" s="32">
        <f t="shared" ref="V18:V29" si="5">IF(T$12=0,0,T18/T$12)</f>
        <v>0</v>
      </c>
      <c r="W18" s="4"/>
      <c r="X18" s="20">
        <f t="shared" ref="X18:X29" si="6">+P18-T18</f>
        <v>412340.58999999962</v>
      </c>
      <c r="Y18" s="4"/>
      <c r="Z18" s="32">
        <f t="shared" ref="Z18:Z29" si="7">IF(T18=0,0,X18/T18)</f>
        <v>0.55693383523669371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79537.320000000007</v>
      </c>
      <c r="E19" s="1"/>
      <c r="F19" s="5">
        <f t="shared" si="0"/>
        <v>0</v>
      </c>
      <c r="G19" s="1"/>
      <c r="H19" s="1">
        <f>SUM(OSRRefH22_0x_0)</f>
        <v>-312624.37000000005</v>
      </c>
      <c r="I19" s="1"/>
      <c r="J19" s="5">
        <f t="shared" si="1"/>
        <v>0</v>
      </c>
      <c r="K19" s="1"/>
      <c r="L19" s="1">
        <f t="shared" si="2"/>
        <v>392161.69000000006</v>
      </c>
      <c r="M19" s="1"/>
      <c r="N19" s="5">
        <f t="shared" si="3"/>
        <v>-1.2544181696391743</v>
      </c>
      <c r="O19" s="14"/>
      <c r="P19" s="1">
        <f>SUM(OSRRefP22_0x_0)</f>
        <v>408357.15</v>
      </c>
      <c r="Q19" s="1"/>
      <c r="R19" s="5">
        <f t="shared" si="4"/>
        <v>0</v>
      </c>
      <c r="S19" s="1"/>
      <c r="T19" s="1">
        <f>SUM(OSRRefT22_0x_0)</f>
        <v>26954.540000000023</v>
      </c>
      <c r="U19" s="1"/>
      <c r="V19" s="5">
        <f t="shared" si="5"/>
        <v>0</v>
      </c>
      <c r="W19" s="1"/>
      <c r="X19" s="1">
        <f t="shared" si="6"/>
        <v>381402.61</v>
      </c>
      <c r="Y19" s="1"/>
      <c r="Z19" s="5">
        <f t="shared" si="7"/>
        <v>14.149846741958855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6697.1</v>
      </c>
      <c r="E20" s="2"/>
      <c r="F20" s="7">
        <f t="shared" si="0"/>
        <v>0</v>
      </c>
      <c r="G20" s="2"/>
      <c r="H20" s="6">
        <v>6381.52</v>
      </c>
      <c r="I20" s="2"/>
      <c r="J20" s="7">
        <f t="shared" si="1"/>
        <v>0</v>
      </c>
      <c r="K20" s="2"/>
      <c r="L20" s="6">
        <f t="shared" si="2"/>
        <v>315.57999999999993</v>
      </c>
      <c r="M20" s="2"/>
      <c r="N20" s="7">
        <f t="shared" si="3"/>
        <v>4.9452168135491213E-2</v>
      </c>
      <c r="O20" s="11"/>
      <c r="P20" s="6">
        <v>39042.379999999997</v>
      </c>
      <c r="Q20" s="2"/>
      <c r="R20" s="7">
        <f t="shared" si="4"/>
        <v>0</v>
      </c>
      <c r="S20" s="2"/>
      <c r="T20" s="6">
        <v>41858.07</v>
      </c>
      <c r="U20" s="2"/>
      <c r="V20" s="7">
        <f t="shared" si="5"/>
        <v>0</v>
      </c>
      <c r="W20" s="2"/>
      <c r="X20" s="6">
        <f t="shared" si="6"/>
        <v>-2815.6900000000023</v>
      </c>
      <c r="Y20" s="2"/>
      <c r="Z20" s="7">
        <f t="shared" si="7"/>
        <v>-6.7267554380792099E-2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1492.82</v>
      </c>
      <c r="E21" s="2"/>
      <c r="F21" s="7">
        <f t="shared" si="0"/>
        <v>0</v>
      </c>
      <c r="G21" s="2"/>
      <c r="H21" s="6">
        <v>1162.5899999999999</v>
      </c>
      <c r="I21" s="2"/>
      <c r="J21" s="7">
        <f t="shared" si="1"/>
        <v>0</v>
      </c>
      <c r="K21" s="2"/>
      <c r="L21" s="6">
        <f t="shared" si="2"/>
        <v>330.23</v>
      </c>
      <c r="M21" s="2"/>
      <c r="N21" s="7">
        <f t="shared" si="3"/>
        <v>0.28404682648225088</v>
      </c>
      <c r="O21" s="11"/>
      <c r="P21" s="6">
        <v>7952.2</v>
      </c>
      <c r="Q21" s="2"/>
      <c r="R21" s="7">
        <f t="shared" si="4"/>
        <v>0</v>
      </c>
      <c r="S21" s="2"/>
      <c r="T21" s="6">
        <v>3544.43</v>
      </c>
      <c r="U21" s="2"/>
      <c r="V21" s="7">
        <f t="shared" si="5"/>
        <v>0</v>
      </c>
      <c r="W21" s="2"/>
      <c r="X21" s="6">
        <f t="shared" si="6"/>
        <v>4407.7700000000004</v>
      </c>
      <c r="Y21" s="2"/>
      <c r="Z21" s="7">
        <f t="shared" si="7"/>
        <v>1.2435765412210145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22410.55</v>
      </c>
      <c r="E22" s="2"/>
      <c r="F22" s="7">
        <f t="shared" si="0"/>
        <v>0</v>
      </c>
      <c r="G22" s="2"/>
      <c r="H22" s="6">
        <v>23374.05</v>
      </c>
      <c r="I22" s="2"/>
      <c r="J22" s="7">
        <f t="shared" si="1"/>
        <v>0</v>
      </c>
      <c r="K22" s="2"/>
      <c r="L22" s="6">
        <f t="shared" si="2"/>
        <v>-963.5</v>
      </c>
      <c r="M22" s="2"/>
      <c r="N22" s="7">
        <f t="shared" si="3"/>
        <v>-4.1220926625894959E-2</v>
      </c>
      <c r="O22" s="11"/>
      <c r="P22" s="6">
        <v>112386.19</v>
      </c>
      <c r="Q22" s="2"/>
      <c r="R22" s="7">
        <f t="shared" si="4"/>
        <v>0</v>
      </c>
      <c r="S22" s="2"/>
      <c r="T22" s="6">
        <v>114725.89</v>
      </c>
      <c r="U22" s="2"/>
      <c r="V22" s="7">
        <f t="shared" si="5"/>
        <v>0</v>
      </c>
      <c r="W22" s="2"/>
      <c r="X22" s="6">
        <f t="shared" si="6"/>
        <v>-2339.6999999999971</v>
      </c>
      <c r="Y22" s="2"/>
      <c r="Z22" s="7">
        <f t="shared" si="7"/>
        <v>-2.0393827408965816E-2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263.44</v>
      </c>
      <c r="E23" s="2"/>
      <c r="F23" s="7">
        <f t="shared" si="0"/>
        <v>0</v>
      </c>
      <c r="G23" s="2"/>
      <c r="H23" s="6">
        <v>554.75</v>
      </c>
      <c r="I23" s="2"/>
      <c r="J23" s="7">
        <f t="shared" si="1"/>
        <v>0</v>
      </c>
      <c r="K23" s="2"/>
      <c r="L23" s="6">
        <f t="shared" si="2"/>
        <v>-291.31</v>
      </c>
      <c r="M23" s="2"/>
      <c r="N23" s="7">
        <f t="shared" si="3"/>
        <v>-0.52511942316358717</v>
      </c>
      <c r="O23" s="11"/>
      <c r="P23" s="6">
        <v>1401.24</v>
      </c>
      <c r="Q23" s="2"/>
      <c r="R23" s="7">
        <f t="shared" si="4"/>
        <v>0</v>
      </c>
      <c r="S23" s="2"/>
      <c r="T23" s="6">
        <v>1570.72</v>
      </c>
      <c r="U23" s="2"/>
      <c r="V23" s="7">
        <f t="shared" si="5"/>
        <v>0</v>
      </c>
      <c r="W23" s="2"/>
      <c r="X23" s="6">
        <f t="shared" si="6"/>
        <v>-169.48000000000002</v>
      </c>
      <c r="Y23" s="2"/>
      <c r="Z23" s="7">
        <f t="shared" si="7"/>
        <v>-0.10789956198431294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7738.29</v>
      </c>
      <c r="E24" s="2"/>
      <c r="F24" s="7">
        <f t="shared" si="0"/>
        <v>0</v>
      </c>
      <c r="G24" s="2"/>
      <c r="H24" s="6">
        <v>14364.64</v>
      </c>
      <c r="I24" s="2"/>
      <c r="J24" s="7">
        <f t="shared" si="1"/>
        <v>0</v>
      </c>
      <c r="K24" s="2"/>
      <c r="L24" s="6">
        <f t="shared" si="2"/>
        <v>-6626.3499999999995</v>
      </c>
      <c r="M24" s="2"/>
      <c r="N24" s="7">
        <f t="shared" si="3"/>
        <v>-0.46129593223359583</v>
      </c>
      <c r="O24" s="11"/>
      <c r="P24" s="6">
        <v>41479.07</v>
      </c>
      <c r="Q24" s="2"/>
      <c r="R24" s="7">
        <f t="shared" si="4"/>
        <v>0</v>
      </c>
      <c r="S24" s="2"/>
      <c r="T24" s="6">
        <v>47861.53</v>
      </c>
      <c r="U24" s="2"/>
      <c r="V24" s="7">
        <f t="shared" si="5"/>
        <v>0</v>
      </c>
      <c r="W24" s="2"/>
      <c r="X24" s="6">
        <f t="shared" si="6"/>
        <v>-6382.4599999999991</v>
      </c>
      <c r="Y24" s="2"/>
      <c r="Z24" s="7">
        <f t="shared" si="7"/>
        <v>-0.13335261116809261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6">
        <v>644.66999999999996</v>
      </c>
      <c r="E25" s="2"/>
      <c r="F25" s="7">
        <f t="shared" si="0"/>
        <v>0</v>
      </c>
      <c r="G25" s="2"/>
      <c r="H25" s="6">
        <v>749.92</v>
      </c>
      <c r="I25" s="2"/>
      <c r="J25" s="7">
        <f t="shared" si="1"/>
        <v>0</v>
      </c>
      <c r="K25" s="2"/>
      <c r="L25" s="6">
        <f t="shared" si="2"/>
        <v>-105.25</v>
      </c>
      <c r="M25" s="2"/>
      <c r="N25" s="7">
        <f t="shared" si="3"/>
        <v>-0.14034830381907404</v>
      </c>
      <c r="O25" s="11"/>
      <c r="P25" s="6">
        <v>3127</v>
      </c>
      <c r="Q25" s="2"/>
      <c r="R25" s="7">
        <f t="shared" si="4"/>
        <v>0</v>
      </c>
      <c r="S25" s="2"/>
      <c r="T25" s="6">
        <v>4167.4399999999996</v>
      </c>
      <c r="U25" s="2"/>
      <c r="V25" s="7">
        <f t="shared" si="5"/>
        <v>0</v>
      </c>
      <c r="W25" s="2"/>
      <c r="X25" s="6">
        <f t="shared" si="6"/>
        <v>-1040.4399999999996</v>
      </c>
      <c r="Y25" s="2"/>
      <c r="Z25" s="7">
        <f t="shared" si="7"/>
        <v>-0.24965926324074245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6911.02</v>
      </c>
      <c r="E26" s="2"/>
      <c r="F26" s="7">
        <f t="shared" si="0"/>
        <v>0</v>
      </c>
      <c r="G26" s="2"/>
      <c r="H26" s="6">
        <v>5868.44</v>
      </c>
      <c r="I26" s="2"/>
      <c r="J26" s="7">
        <f t="shared" si="1"/>
        <v>0</v>
      </c>
      <c r="K26" s="2"/>
      <c r="L26" s="6">
        <f t="shared" si="2"/>
        <v>1042.5800000000008</v>
      </c>
      <c r="M26" s="2"/>
      <c r="N26" s="7">
        <f t="shared" si="3"/>
        <v>0.17765879859042624</v>
      </c>
      <c r="O26" s="11"/>
      <c r="P26" s="6">
        <v>35025.85</v>
      </c>
      <c r="Q26" s="2"/>
      <c r="R26" s="7">
        <f t="shared" si="4"/>
        <v>0</v>
      </c>
      <c r="S26" s="2"/>
      <c r="T26" s="6">
        <v>33854.68</v>
      </c>
      <c r="U26" s="2"/>
      <c r="V26" s="7">
        <f t="shared" si="5"/>
        <v>0</v>
      </c>
      <c r="W26" s="2"/>
      <c r="X26" s="6">
        <f t="shared" si="6"/>
        <v>1171.1699999999983</v>
      </c>
      <c r="Y26" s="2"/>
      <c r="Z26" s="7">
        <f t="shared" si="7"/>
        <v>3.4594035447979371E-2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4401.4799999999996</v>
      </c>
      <c r="E27" s="2"/>
      <c r="F27" s="7">
        <f t="shared" si="0"/>
        <v>0</v>
      </c>
      <c r="G27" s="2"/>
      <c r="H27" s="6">
        <v>4081.01</v>
      </c>
      <c r="I27" s="2"/>
      <c r="J27" s="7">
        <f t="shared" si="1"/>
        <v>0</v>
      </c>
      <c r="K27" s="2"/>
      <c r="L27" s="6">
        <f t="shared" si="2"/>
        <v>320.46999999999935</v>
      </c>
      <c r="M27" s="2"/>
      <c r="N27" s="7">
        <f t="shared" si="3"/>
        <v>7.8527129313576624E-2</v>
      </c>
      <c r="O27" s="11"/>
      <c r="P27" s="6">
        <v>23555.64</v>
      </c>
      <c r="Q27" s="2"/>
      <c r="R27" s="7">
        <f t="shared" si="4"/>
        <v>0</v>
      </c>
      <c r="S27" s="2"/>
      <c r="T27" s="6">
        <v>22794.26</v>
      </c>
      <c r="U27" s="2"/>
      <c r="V27" s="7">
        <f t="shared" si="5"/>
        <v>0</v>
      </c>
      <c r="W27" s="2"/>
      <c r="X27" s="6">
        <f t="shared" si="6"/>
        <v>761.38000000000102</v>
      </c>
      <c r="Y27" s="2"/>
      <c r="Z27" s="7">
        <f t="shared" si="7"/>
        <v>3.3402268816798662E-2</v>
      </c>
    </row>
    <row r="28" spans="1:26" s="24" customFormat="1" hidden="1" outlineLevel="2" x14ac:dyDescent="0.3">
      <c r="A28" s="27"/>
      <c r="B28" s="11" t="str">
        <f>CONCATENATE("          ", "6120", " - ", "RETIREES HEALTH INSURANCE")</f>
        <v xml:space="preserve">          6120 - RETIREES HEALTH INSURANCE</v>
      </c>
      <c r="C28" s="11"/>
      <c r="D28" s="6">
        <v>27384.04</v>
      </c>
      <c r="E28" s="2"/>
      <c r="F28" s="7">
        <f t="shared" si="0"/>
        <v>0</v>
      </c>
      <c r="G28" s="2"/>
      <c r="H28" s="6">
        <v>-369662.33</v>
      </c>
      <c r="I28" s="2"/>
      <c r="J28" s="7">
        <f t="shared" si="1"/>
        <v>0</v>
      </c>
      <c r="K28" s="2"/>
      <c r="L28" s="6">
        <f t="shared" si="2"/>
        <v>397046.37</v>
      </c>
      <c r="M28" s="2"/>
      <c r="N28" s="7">
        <f t="shared" si="3"/>
        <v>-1.0740785245821503</v>
      </c>
      <c r="O28" s="11"/>
      <c r="P28" s="6">
        <v>137041.29999999999</v>
      </c>
      <c r="Q28" s="2"/>
      <c r="R28" s="7">
        <f t="shared" si="4"/>
        <v>0</v>
      </c>
      <c r="S28" s="2"/>
      <c r="T28" s="6">
        <v>-247256.65</v>
      </c>
      <c r="U28" s="2"/>
      <c r="V28" s="7">
        <f t="shared" si="5"/>
        <v>0</v>
      </c>
      <c r="W28" s="2"/>
      <c r="X28" s="6">
        <f t="shared" si="6"/>
        <v>384297.94999999995</v>
      </c>
      <c r="Y28" s="2"/>
      <c r="Z28" s="7">
        <f t="shared" si="7"/>
        <v>-1.5542471759606868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1593.91</v>
      </c>
      <c r="E29" s="2"/>
      <c r="F29" s="7">
        <f t="shared" si="0"/>
        <v>0</v>
      </c>
      <c r="G29" s="2"/>
      <c r="H29" s="6">
        <v>501.04</v>
      </c>
      <c r="I29" s="2"/>
      <c r="J29" s="7">
        <f t="shared" si="1"/>
        <v>0</v>
      </c>
      <c r="K29" s="2"/>
      <c r="L29" s="6">
        <f t="shared" si="2"/>
        <v>1092.8700000000001</v>
      </c>
      <c r="M29" s="2"/>
      <c r="N29" s="7">
        <f t="shared" si="3"/>
        <v>2.1812030975570815</v>
      </c>
      <c r="O29" s="11"/>
      <c r="P29" s="6">
        <v>7346.28</v>
      </c>
      <c r="Q29" s="2"/>
      <c r="R29" s="7">
        <f t="shared" si="4"/>
        <v>0</v>
      </c>
      <c r="S29" s="2"/>
      <c r="T29" s="6">
        <v>3834.17</v>
      </c>
      <c r="U29" s="2"/>
      <c r="V29" s="7">
        <f t="shared" si="5"/>
        <v>0</v>
      </c>
      <c r="W29" s="2"/>
      <c r="X29" s="6">
        <f t="shared" si="6"/>
        <v>3512.1099999999997</v>
      </c>
      <c r="Y29" s="2"/>
      <c r="Z29" s="7">
        <f t="shared" si="7"/>
        <v>0.91600268115393935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90428.12</v>
      </c>
      <c r="E30" s="1"/>
      <c r="F30" s="5">
        <f t="shared" ref="F30:F36" si="8">IF(D$12=0,0,D30/D$12)</f>
        <v>0</v>
      </c>
      <c r="G30" s="1"/>
      <c r="H30" s="1">
        <f>SUM(OSRRefH22_1x_0)</f>
        <v>84394.29</v>
      </c>
      <c r="I30" s="1"/>
      <c r="J30" s="5">
        <f t="shared" ref="J30:J36" si="9">IF(H$12=0,0,H30/H$12)</f>
        <v>0</v>
      </c>
      <c r="K30" s="1"/>
      <c r="L30" s="1">
        <f t="shared" ref="L30:L36" si="10">+D30-H30</f>
        <v>6033.8300000000017</v>
      </c>
      <c r="M30" s="1"/>
      <c r="N30" s="5">
        <f t="shared" ref="N30:N36" si="11">IF(H30=0,0,L30/H30)</f>
        <v>7.1495713750302323E-2</v>
      </c>
      <c r="O30" s="14"/>
      <c r="P30" s="1">
        <f>SUM(OSRRefP22_1x_0)</f>
        <v>467666.51</v>
      </c>
      <c r="Q30" s="1"/>
      <c r="R30" s="5">
        <f t="shared" ref="R30:R36" si="12">IF(P$12=0,0,P30/P$12)</f>
        <v>0</v>
      </c>
      <c r="S30" s="1"/>
      <c r="T30" s="1">
        <f>SUM(OSRRefT22_1x_0)</f>
        <v>455946.59</v>
      </c>
      <c r="U30" s="1"/>
      <c r="V30" s="5">
        <f t="shared" ref="V30:V36" si="13">IF(T$12=0,0,T30/T$12)</f>
        <v>0</v>
      </c>
      <c r="W30" s="1"/>
      <c r="X30" s="1">
        <f t="shared" ref="X30:X36" si="14">+P30-T30</f>
        <v>11719.919999999984</v>
      </c>
      <c r="Y30" s="1"/>
      <c r="Z30" s="5">
        <f t="shared" ref="Z30:Z36" si="15">IF(T30=0,0,X30/T30)</f>
        <v>2.5704589653801301E-2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20464.53</v>
      </c>
      <c r="E31" s="2"/>
      <c r="F31" s="7">
        <f t="shared" si="8"/>
        <v>0</v>
      </c>
      <c r="G31" s="2"/>
      <c r="H31" s="6">
        <v>22667.08</v>
      </c>
      <c r="I31" s="2"/>
      <c r="J31" s="7">
        <f t="shared" si="9"/>
        <v>0</v>
      </c>
      <c r="K31" s="2"/>
      <c r="L31" s="6">
        <f t="shared" si="10"/>
        <v>-2202.5500000000029</v>
      </c>
      <c r="M31" s="2"/>
      <c r="N31" s="7">
        <f t="shared" si="11"/>
        <v>-9.7169551614058922E-2</v>
      </c>
      <c r="O31" s="11"/>
      <c r="P31" s="6">
        <v>91901.39</v>
      </c>
      <c r="Q31" s="2"/>
      <c r="R31" s="7">
        <f t="shared" si="12"/>
        <v>0</v>
      </c>
      <c r="S31" s="2"/>
      <c r="T31" s="6">
        <v>123941.59</v>
      </c>
      <c r="U31" s="2"/>
      <c r="V31" s="7">
        <f t="shared" si="13"/>
        <v>0</v>
      </c>
      <c r="W31" s="2"/>
      <c r="X31" s="6">
        <f t="shared" si="14"/>
        <v>-32040.199999999997</v>
      </c>
      <c r="Y31" s="2"/>
      <c r="Z31" s="7">
        <f t="shared" si="15"/>
        <v>-0.25851048062236409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45658.44</v>
      </c>
      <c r="E32" s="2"/>
      <c r="F32" s="7">
        <f t="shared" si="8"/>
        <v>0</v>
      </c>
      <c r="G32" s="2"/>
      <c r="H32" s="6">
        <v>41615.5</v>
      </c>
      <c r="I32" s="2"/>
      <c r="J32" s="7">
        <f t="shared" si="9"/>
        <v>0</v>
      </c>
      <c r="K32" s="2"/>
      <c r="L32" s="6">
        <f t="shared" si="10"/>
        <v>4042.9400000000023</v>
      </c>
      <c r="M32" s="2"/>
      <c r="N32" s="7">
        <f t="shared" si="11"/>
        <v>9.7149860028114585E-2</v>
      </c>
      <c r="O32" s="11"/>
      <c r="P32" s="6">
        <v>252454.62</v>
      </c>
      <c r="Q32" s="2"/>
      <c r="R32" s="7">
        <f t="shared" si="12"/>
        <v>0</v>
      </c>
      <c r="S32" s="2"/>
      <c r="T32" s="6">
        <v>244034.55</v>
      </c>
      <c r="U32" s="2"/>
      <c r="V32" s="7">
        <f t="shared" si="13"/>
        <v>0</v>
      </c>
      <c r="W32" s="2"/>
      <c r="X32" s="6">
        <f t="shared" si="14"/>
        <v>8420.070000000007</v>
      </c>
      <c r="Y32" s="2"/>
      <c r="Z32" s="7">
        <f t="shared" si="15"/>
        <v>3.4503597953650447E-2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19753.900000000001</v>
      </c>
      <c r="E33" s="2"/>
      <c r="F33" s="7">
        <f t="shared" si="8"/>
        <v>0</v>
      </c>
      <c r="G33" s="2"/>
      <c r="H33" s="6">
        <v>14290.33</v>
      </c>
      <c r="I33" s="2"/>
      <c r="J33" s="7">
        <f t="shared" si="9"/>
        <v>0</v>
      </c>
      <c r="K33" s="2"/>
      <c r="L33" s="6">
        <f t="shared" si="10"/>
        <v>5463.5700000000015</v>
      </c>
      <c r="M33" s="2"/>
      <c r="N33" s="7">
        <f t="shared" si="11"/>
        <v>0.3823263703497401</v>
      </c>
      <c r="O33" s="11"/>
      <c r="P33" s="6">
        <v>101638.37</v>
      </c>
      <c r="Q33" s="2"/>
      <c r="R33" s="7">
        <f t="shared" si="12"/>
        <v>0</v>
      </c>
      <c r="S33" s="2"/>
      <c r="T33" s="6">
        <v>94373.63</v>
      </c>
      <c r="U33" s="2"/>
      <c r="V33" s="7">
        <f t="shared" si="13"/>
        <v>0</v>
      </c>
      <c r="W33" s="2"/>
      <c r="X33" s="6">
        <f t="shared" si="14"/>
        <v>7264.7399999999907</v>
      </c>
      <c r="Y33" s="2"/>
      <c r="Z33" s="7">
        <f t="shared" si="15"/>
        <v>7.6978494946098722E-2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2025.39</v>
      </c>
      <c r="E34" s="2"/>
      <c r="F34" s="7">
        <f t="shared" si="8"/>
        <v>0</v>
      </c>
      <c r="G34" s="2"/>
      <c r="H34" s="6">
        <v>4658.76</v>
      </c>
      <c r="I34" s="2"/>
      <c r="J34" s="7">
        <f t="shared" si="9"/>
        <v>0</v>
      </c>
      <c r="K34" s="2"/>
      <c r="L34" s="6">
        <f t="shared" si="10"/>
        <v>-2633.37</v>
      </c>
      <c r="M34" s="2"/>
      <c r="N34" s="7">
        <f t="shared" si="11"/>
        <v>-0.56525126857790475</v>
      </c>
      <c r="O34" s="11"/>
      <c r="P34" s="6">
        <v>9907.14</v>
      </c>
      <c r="Q34" s="2"/>
      <c r="R34" s="7">
        <f t="shared" si="12"/>
        <v>0</v>
      </c>
      <c r="S34" s="2"/>
      <c r="T34" s="6">
        <v>31314.25</v>
      </c>
      <c r="U34" s="2"/>
      <c r="V34" s="7">
        <f t="shared" si="13"/>
        <v>0</v>
      </c>
      <c r="W34" s="2"/>
      <c r="X34" s="6">
        <f t="shared" si="14"/>
        <v>-21407.11</v>
      </c>
      <c r="Y34" s="2"/>
      <c r="Z34" s="7">
        <f t="shared" si="15"/>
        <v>-0.68362199318201777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>
        <v>468.48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468.48</v>
      </c>
      <c r="M35" s="2"/>
      <c r="N35" s="7">
        <f t="shared" si="11"/>
        <v>0</v>
      </c>
      <c r="O35" s="11"/>
      <c r="P35" s="6">
        <v>2499.36</v>
      </c>
      <c r="Q35" s="2"/>
      <c r="R35" s="7">
        <f t="shared" si="12"/>
        <v>0</v>
      </c>
      <c r="S35" s="2"/>
      <c r="T35" s="6">
        <v>-44841.01</v>
      </c>
      <c r="U35" s="2"/>
      <c r="V35" s="7">
        <f t="shared" si="13"/>
        <v>0</v>
      </c>
      <c r="W35" s="2"/>
      <c r="X35" s="6">
        <f t="shared" si="14"/>
        <v>47340.37</v>
      </c>
      <c r="Y35" s="2"/>
      <c r="Z35" s="7">
        <f t="shared" si="15"/>
        <v>-1.0557382628089778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>
        <v>2057.38</v>
      </c>
      <c r="E36" s="2"/>
      <c r="F36" s="7">
        <f t="shared" si="8"/>
        <v>0</v>
      </c>
      <c r="G36" s="2"/>
      <c r="H36" s="6">
        <v>1162.6199999999999</v>
      </c>
      <c r="I36" s="2"/>
      <c r="J36" s="7">
        <f t="shared" si="9"/>
        <v>0</v>
      </c>
      <c r="K36" s="2"/>
      <c r="L36" s="6">
        <f t="shared" si="10"/>
        <v>894.76000000000022</v>
      </c>
      <c r="M36" s="2"/>
      <c r="N36" s="7">
        <f t="shared" si="11"/>
        <v>0.76960657824568668</v>
      </c>
      <c r="O36" s="11"/>
      <c r="P36" s="6">
        <v>9265.6299999999992</v>
      </c>
      <c r="Q36" s="2"/>
      <c r="R36" s="7">
        <f t="shared" si="12"/>
        <v>0</v>
      </c>
      <c r="S36" s="2"/>
      <c r="T36" s="6">
        <v>7123.58</v>
      </c>
      <c r="U36" s="2"/>
      <c r="V36" s="7">
        <f t="shared" si="13"/>
        <v>0</v>
      </c>
      <c r="W36" s="2"/>
      <c r="X36" s="6">
        <f t="shared" si="14"/>
        <v>2142.0499999999993</v>
      </c>
      <c r="Y36" s="2"/>
      <c r="Z36" s="7">
        <f t="shared" si="15"/>
        <v>0.30069852517975504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601.91999999999996</v>
      </c>
      <c r="E37" s="1"/>
      <c r="F37" s="5">
        <f t="shared" ref="F37:F53" si="16">IF(D$12=0,0,D37/D$12)</f>
        <v>0</v>
      </c>
      <c r="G37" s="1"/>
      <c r="H37" s="1">
        <f>SUM(OSRRefH22_2x_0)</f>
        <v>173.21</v>
      </c>
      <c r="I37" s="1"/>
      <c r="J37" s="5">
        <f t="shared" ref="J37:J53" si="17">IF(H$12=0,0,H37/H$12)</f>
        <v>0</v>
      </c>
      <c r="K37" s="1"/>
      <c r="L37" s="1">
        <f t="shared" ref="L37:L53" si="18">+D37-H37</f>
        <v>428.70999999999992</v>
      </c>
      <c r="M37" s="1"/>
      <c r="N37" s="5">
        <f t="shared" ref="N37:N53" si="19">IF(H37=0,0,L37/H37)</f>
        <v>2.4750880434155067</v>
      </c>
      <c r="O37" s="14"/>
      <c r="P37" s="1">
        <f>SUM(OSRRefP22_2x_0)</f>
        <v>1622.54</v>
      </c>
      <c r="Q37" s="1"/>
      <c r="R37" s="5">
        <f t="shared" ref="R37:R53" si="20">IF(P$12=0,0,P37/P$12)</f>
        <v>0</v>
      </c>
      <c r="S37" s="1"/>
      <c r="T37" s="1">
        <f>SUM(OSRRefT22_2x_0)</f>
        <v>759.64</v>
      </c>
      <c r="U37" s="1"/>
      <c r="V37" s="5">
        <f t="shared" ref="V37:V53" si="21">IF(T$12=0,0,T37/T$12)</f>
        <v>0</v>
      </c>
      <c r="W37" s="1"/>
      <c r="X37" s="1">
        <f t="shared" ref="X37:X53" si="22">+P37-T37</f>
        <v>862.9</v>
      </c>
      <c r="Y37" s="1"/>
      <c r="Z37" s="5">
        <f t="shared" ref="Z37:Z53" si="23">IF(T37=0,0,X37/T37)</f>
        <v>1.1359328102785531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6">
        <v>601.91999999999996</v>
      </c>
      <c r="E38" s="2"/>
      <c r="F38" s="7">
        <f t="shared" si="16"/>
        <v>0</v>
      </c>
      <c r="G38" s="2"/>
      <c r="H38" s="6">
        <v>173.21</v>
      </c>
      <c r="I38" s="2"/>
      <c r="J38" s="7">
        <f t="shared" si="17"/>
        <v>0</v>
      </c>
      <c r="K38" s="2"/>
      <c r="L38" s="6">
        <f t="shared" si="18"/>
        <v>428.70999999999992</v>
      </c>
      <c r="M38" s="2"/>
      <c r="N38" s="7">
        <f t="shared" si="19"/>
        <v>2.4750880434155067</v>
      </c>
      <c r="O38" s="11"/>
      <c r="P38" s="6">
        <v>1622.54</v>
      </c>
      <c r="Q38" s="2"/>
      <c r="R38" s="7">
        <f t="shared" si="20"/>
        <v>0</v>
      </c>
      <c r="S38" s="2"/>
      <c r="T38" s="6">
        <v>759.64</v>
      </c>
      <c r="U38" s="2"/>
      <c r="V38" s="7">
        <f t="shared" si="21"/>
        <v>0</v>
      </c>
      <c r="W38" s="2"/>
      <c r="X38" s="6">
        <f t="shared" si="22"/>
        <v>862.9</v>
      </c>
      <c r="Y38" s="2"/>
      <c r="Z38" s="7">
        <f t="shared" si="23"/>
        <v>1.1359328102785531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3.42</v>
      </c>
      <c r="E39" s="1"/>
      <c r="F39" s="5">
        <f t="shared" si="16"/>
        <v>0</v>
      </c>
      <c r="G39" s="1"/>
      <c r="H39" s="1">
        <f>SUM(OSRRefH22_3x_0)</f>
        <v>-13.34</v>
      </c>
      <c r="I39" s="1"/>
      <c r="J39" s="5">
        <f t="shared" si="17"/>
        <v>0</v>
      </c>
      <c r="K39" s="1"/>
      <c r="L39" s="1">
        <f t="shared" si="18"/>
        <v>16.759999999999998</v>
      </c>
      <c r="M39" s="1"/>
      <c r="N39" s="5">
        <f t="shared" si="19"/>
        <v>-1.2563718140929534</v>
      </c>
      <c r="O39" s="14"/>
      <c r="P39" s="1">
        <f>SUM(OSRRefP22_3x_0)</f>
        <v>5479.22</v>
      </c>
      <c r="Q39" s="1"/>
      <c r="R39" s="5">
        <f t="shared" si="20"/>
        <v>0</v>
      </c>
      <c r="S39" s="1"/>
      <c r="T39" s="1">
        <f>SUM(OSRRefT22_3x_0)</f>
        <v>2897.58</v>
      </c>
      <c r="U39" s="1"/>
      <c r="V39" s="5">
        <f t="shared" si="21"/>
        <v>0</v>
      </c>
      <c r="W39" s="1"/>
      <c r="X39" s="1">
        <f t="shared" si="22"/>
        <v>2581.6400000000003</v>
      </c>
      <c r="Y39" s="1"/>
      <c r="Z39" s="5">
        <f t="shared" si="23"/>
        <v>0.89096418390518994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6">
        <v>3.42</v>
      </c>
      <c r="E40" s="2"/>
      <c r="F40" s="7">
        <f t="shared" si="16"/>
        <v>0</v>
      </c>
      <c r="G40" s="2"/>
      <c r="H40" s="6">
        <v>-13.34</v>
      </c>
      <c r="I40" s="2"/>
      <c r="J40" s="7">
        <f t="shared" si="17"/>
        <v>0</v>
      </c>
      <c r="K40" s="2"/>
      <c r="L40" s="6">
        <f t="shared" si="18"/>
        <v>16.759999999999998</v>
      </c>
      <c r="M40" s="2"/>
      <c r="N40" s="7">
        <f t="shared" si="19"/>
        <v>-1.2563718140929534</v>
      </c>
      <c r="O40" s="11"/>
      <c r="P40" s="6">
        <v>5479.22</v>
      </c>
      <c r="Q40" s="2"/>
      <c r="R40" s="7">
        <f t="shared" si="20"/>
        <v>0</v>
      </c>
      <c r="S40" s="2"/>
      <c r="T40" s="6">
        <v>2897.58</v>
      </c>
      <c r="U40" s="2"/>
      <c r="V40" s="7">
        <f t="shared" si="21"/>
        <v>0</v>
      </c>
      <c r="W40" s="2"/>
      <c r="X40" s="6">
        <f t="shared" si="22"/>
        <v>2581.6400000000003</v>
      </c>
      <c r="Y40" s="2"/>
      <c r="Z40" s="7">
        <f t="shared" si="23"/>
        <v>0.89096418390518994</v>
      </c>
    </row>
    <row r="41" spans="1:26" s="29" customFormat="1" outlineLevel="1" collapsed="1" x14ac:dyDescent="0.3">
      <c r="A41" s="28"/>
      <c r="B41" s="14" t="str">
        <f>CONCATENATE("     ","Board                                             ")</f>
        <v xml:space="preserve">     Board                                             </v>
      </c>
      <c r="C41" s="14"/>
      <c r="D41" s="1">
        <f>SUM(OSRRefD22_4x_0)</f>
        <v>1560.09</v>
      </c>
      <c r="E41" s="1"/>
      <c r="F41" s="5">
        <f t="shared" si="16"/>
        <v>0</v>
      </c>
      <c r="G41" s="1"/>
      <c r="H41" s="1">
        <f>SUM(OSRRefH22_4x_0)</f>
        <v>601.16</v>
      </c>
      <c r="I41" s="1"/>
      <c r="J41" s="5">
        <f t="shared" si="17"/>
        <v>0</v>
      </c>
      <c r="K41" s="1"/>
      <c r="L41" s="1">
        <f t="shared" si="18"/>
        <v>958.93</v>
      </c>
      <c r="M41" s="1"/>
      <c r="N41" s="5">
        <f t="shared" si="19"/>
        <v>1.595132743362832</v>
      </c>
      <c r="O41" s="14"/>
      <c r="P41" s="1">
        <f>SUM(OSRRefP22_4x_0)</f>
        <v>6319.83</v>
      </c>
      <c r="Q41" s="1"/>
      <c r="R41" s="5">
        <f t="shared" si="20"/>
        <v>0</v>
      </c>
      <c r="S41" s="1"/>
      <c r="T41" s="1">
        <f>SUM(OSRRefT22_4x_0)</f>
        <v>7122.17</v>
      </c>
      <c r="U41" s="1"/>
      <c r="V41" s="5">
        <f t="shared" si="21"/>
        <v>0</v>
      </c>
      <c r="W41" s="1"/>
      <c r="X41" s="1">
        <f t="shared" si="22"/>
        <v>-802.34000000000015</v>
      </c>
      <c r="Y41" s="1"/>
      <c r="Z41" s="5">
        <f t="shared" si="23"/>
        <v>-0.11265386813288648</v>
      </c>
    </row>
    <row r="42" spans="1:26" s="24" customFormat="1" hidden="1" outlineLevel="2" x14ac:dyDescent="0.3">
      <c r="A42" s="27"/>
      <c r="B42" s="11" t="str">
        <f>CONCATENATE("          ", "6397", " - ", "BOARD EXPENSES")</f>
        <v xml:space="preserve">          6397 - BOARD EXPENSES</v>
      </c>
      <c r="C42" s="11"/>
      <c r="D42" s="6">
        <v>1560.09</v>
      </c>
      <c r="E42" s="2"/>
      <c r="F42" s="7">
        <f t="shared" si="16"/>
        <v>0</v>
      </c>
      <c r="G42" s="2"/>
      <c r="H42" s="6">
        <v>601.16</v>
      </c>
      <c r="I42" s="2"/>
      <c r="J42" s="7">
        <f t="shared" si="17"/>
        <v>0</v>
      </c>
      <c r="K42" s="2"/>
      <c r="L42" s="6">
        <f t="shared" si="18"/>
        <v>958.93</v>
      </c>
      <c r="M42" s="2"/>
      <c r="N42" s="7">
        <f t="shared" si="19"/>
        <v>1.595132743362832</v>
      </c>
      <c r="O42" s="11"/>
      <c r="P42" s="6">
        <v>6319.83</v>
      </c>
      <c r="Q42" s="2"/>
      <c r="R42" s="7">
        <f t="shared" si="20"/>
        <v>0</v>
      </c>
      <c r="S42" s="2"/>
      <c r="T42" s="6">
        <v>7122.17</v>
      </c>
      <c r="U42" s="2"/>
      <c r="V42" s="7">
        <f t="shared" si="21"/>
        <v>0</v>
      </c>
      <c r="W42" s="2"/>
      <c r="X42" s="6">
        <f t="shared" si="22"/>
        <v>-802.34000000000015</v>
      </c>
      <c r="Y42" s="2"/>
      <c r="Z42" s="7">
        <f t="shared" si="23"/>
        <v>-0.11265386813288648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4014.64</v>
      </c>
      <c r="E43" s="1"/>
      <c r="F43" s="5">
        <f t="shared" si="16"/>
        <v>0</v>
      </c>
      <c r="G43" s="1"/>
      <c r="H43" s="1">
        <f>SUM(OSRRefH22_5x_0)</f>
        <v>7222.15</v>
      </c>
      <c r="I43" s="1"/>
      <c r="J43" s="5">
        <f t="shared" si="17"/>
        <v>0</v>
      </c>
      <c r="K43" s="1"/>
      <c r="L43" s="1">
        <f t="shared" si="18"/>
        <v>-3207.5099999999998</v>
      </c>
      <c r="M43" s="1"/>
      <c r="N43" s="5">
        <f t="shared" si="19"/>
        <v>-0.44412121044287367</v>
      </c>
      <c r="O43" s="14"/>
      <c r="P43" s="1">
        <f>SUM(OSRRefP22_5x_0)</f>
        <v>28945.64</v>
      </c>
      <c r="Q43" s="1"/>
      <c r="R43" s="5">
        <f t="shared" si="20"/>
        <v>0</v>
      </c>
      <c r="S43" s="1"/>
      <c r="T43" s="1">
        <f>SUM(OSRRefT22_5x_0)</f>
        <v>37265.769999999997</v>
      </c>
      <c r="U43" s="1"/>
      <c r="V43" s="5">
        <f t="shared" si="21"/>
        <v>0</v>
      </c>
      <c r="W43" s="1"/>
      <c r="X43" s="1">
        <f t="shared" si="22"/>
        <v>-8320.1299999999974</v>
      </c>
      <c r="Y43" s="1"/>
      <c r="Z43" s="5">
        <f t="shared" si="23"/>
        <v>-0.22326467425736804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4014.64</v>
      </c>
      <c r="E44" s="2"/>
      <c r="F44" s="7">
        <f t="shared" si="16"/>
        <v>0</v>
      </c>
      <c r="G44" s="2"/>
      <c r="H44" s="6">
        <v>7222.15</v>
      </c>
      <c r="I44" s="2"/>
      <c r="J44" s="7">
        <f t="shared" si="17"/>
        <v>0</v>
      </c>
      <c r="K44" s="2"/>
      <c r="L44" s="6">
        <f t="shared" si="18"/>
        <v>-3207.5099999999998</v>
      </c>
      <c r="M44" s="2"/>
      <c r="N44" s="7">
        <f t="shared" si="19"/>
        <v>-0.44412121044287367</v>
      </c>
      <c r="O44" s="11"/>
      <c r="P44" s="6">
        <v>28945.64</v>
      </c>
      <c r="Q44" s="2"/>
      <c r="R44" s="7">
        <f t="shared" si="20"/>
        <v>0</v>
      </c>
      <c r="S44" s="2"/>
      <c r="T44" s="6">
        <v>37265.769999999997</v>
      </c>
      <c r="U44" s="2"/>
      <c r="V44" s="7">
        <f t="shared" si="21"/>
        <v>0</v>
      </c>
      <c r="W44" s="2"/>
      <c r="X44" s="6">
        <f t="shared" si="22"/>
        <v>-8320.1299999999974</v>
      </c>
      <c r="Y44" s="2"/>
      <c r="Z44" s="7">
        <f t="shared" si="23"/>
        <v>-0.22326467425736804</v>
      </c>
    </row>
    <row r="45" spans="1:26" s="29" customFormat="1" outlineLevel="1" collapsed="1" x14ac:dyDescent="0.3">
      <c r="A45" s="28"/>
      <c r="B45" s="14" t="str">
        <f>CONCATENATE("     ","Donations                                         ")</f>
        <v xml:space="preserve">     Donations                                         </v>
      </c>
      <c r="C45" s="14"/>
      <c r="D45" s="1">
        <f>SUM(OSRRefD22_6x_0)</f>
        <v>25000</v>
      </c>
      <c r="E45" s="1"/>
      <c r="F45" s="5">
        <f t="shared" si="16"/>
        <v>0</v>
      </c>
      <c r="G45" s="1"/>
      <c r="H45" s="1">
        <f>SUM(OSRRefH22_6x_0)</f>
        <v>0</v>
      </c>
      <c r="I45" s="1"/>
      <c r="J45" s="5">
        <f t="shared" si="17"/>
        <v>0</v>
      </c>
      <c r="K45" s="1"/>
      <c r="L45" s="1">
        <f t="shared" si="18"/>
        <v>25000</v>
      </c>
      <c r="M45" s="1"/>
      <c r="N45" s="5">
        <f t="shared" si="19"/>
        <v>0</v>
      </c>
      <c r="O45" s="14"/>
      <c r="P45" s="1">
        <f>SUM(OSRRefP22_6x_0)</f>
        <v>25000</v>
      </c>
      <c r="Q45" s="1"/>
      <c r="R45" s="5">
        <f t="shared" si="20"/>
        <v>0</v>
      </c>
      <c r="S45" s="1"/>
      <c r="T45" s="1">
        <f>SUM(OSRRefT22_6x_0)</f>
        <v>25000</v>
      </c>
      <c r="U45" s="1"/>
      <c r="V45" s="5">
        <f t="shared" si="21"/>
        <v>0</v>
      </c>
      <c r="W45" s="1"/>
      <c r="X45" s="1">
        <f t="shared" si="22"/>
        <v>0</v>
      </c>
      <c r="Y45" s="1"/>
      <c r="Z45" s="5">
        <f t="shared" si="23"/>
        <v>0</v>
      </c>
    </row>
    <row r="46" spans="1:26" s="24" customFormat="1" hidden="1" outlineLevel="2" x14ac:dyDescent="0.3">
      <c r="A46" s="27"/>
      <c r="B46" s="11" t="str">
        <f>CONCATENATE("          ", "6399", " - ", "DONATION-ON CAMPUS")</f>
        <v xml:space="preserve">          6399 - DONATION-ON CAMPUS</v>
      </c>
      <c r="C46" s="11"/>
      <c r="D46" s="6">
        <v>25000</v>
      </c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25000</v>
      </c>
      <c r="M46" s="2"/>
      <c r="N46" s="7">
        <f t="shared" si="19"/>
        <v>0</v>
      </c>
      <c r="O46" s="11"/>
      <c r="P46" s="6">
        <v>25000</v>
      </c>
      <c r="Q46" s="2"/>
      <c r="R46" s="7">
        <f t="shared" si="20"/>
        <v>0</v>
      </c>
      <c r="S46" s="2"/>
      <c r="T46" s="6">
        <v>25000</v>
      </c>
      <c r="U46" s="2"/>
      <c r="V46" s="7">
        <f t="shared" si="21"/>
        <v>0</v>
      </c>
      <c r="W46" s="2"/>
      <c r="X46" s="6">
        <f t="shared" si="22"/>
        <v>0</v>
      </c>
      <c r="Y46" s="2"/>
      <c r="Z46" s="7">
        <f t="shared" si="23"/>
        <v>0</v>
      </c>
    </row>
    <row r="47" spans="1:26" s="29" customFormat="1" outlineLevel="1" collapsed="1" x14ac:dyDescent="0.3">
      <c r="A47" s="28"/>
      <c r="B47" s="14" t="str">
        <f>CONCATENATE("     ","Employees' Appreciation                           ")</f>
        <v xml:space="preserve">     Employees' Appreciation                           </v>
      </c>
      <c r="C47" s="14"/>
      <c r="D47" s="1">
        <f>SUM(OSRRefD22_7x_0)</f>
        <v>0</v>
      </c>
      <c r="E47" s="1"/>
      <c r="F47" s="5">
        <f t="shared" si="16"/>
        <v>0</v>
      </c>
      <c r="G47" s="1"/>
      <c r="H47" s="1">
        <f>SUM(OSRRefH22_7x_0)</f>
        <v>0</v>
      </c>
      <c r="I47" s="1"/>
      <c r="J47" s="5">
        <f t="shared" si="17"/>
        <v>0</v>
      </c>
      <c r="K47" s="1"/>
      <c r="L47" s="1">
        <f t="shared" si="18"/>
        <v>0</v>
      </c>
      <c r="M47" s="1"/>
      <c r="N47" s="5">
        <f t="shared" si="19"/>
        <v>0</v>
      </c>
      <c r="O47" s="14"/>
      <c r="P47" s="1">
        <f>SUM(OSRRefP22_7x_0)</f>
        <v>0</v>
      </c>
      <c r="Q47" s="1"/>
      <c r="R47" s="5">
        <f t="shared" si="20"/>
        <v>0</v>
      </c>
      <c r="S47" s="1"/>
      <c r="T47" s="1">
        <f>SUM(OSRRefT22_7x_0)</f>
        <v>81.56</v>
      </c>
      <c r="U47" s="1"/>
      <c r="V47" s="5">
        <f t="shared" si="21"/>
        <v>0</v>
      </c>
      <c r="W47" s="1"/>
      <c r="X47" s="1">
        <f t="shared" si="22"/>
        <v>-81.56</v>
      </c>
      <c r="Y47" s="1"/>
      <c r="Z47" s="5">
        <f t="shared" si="23"/>
        <v>-1</v>
      </c>
    </row>
    <row r="48" spans="1:26" s="24" customFormat="1" hidden="1" outlineLevel="2" x14ac:dyDescent="0.3">
      <c r="A48" s="27"/>
      <c r="B48" s="11" t="str">
        <f>CONCATENATE("          ", "6277", " - ", "EMPLOYEE APPRECIATION")</f>
        <v xml:space="preserve">          6277 - EMPLOYEE APPRECIATION</v>
      </c>
      <c r="C48" s="11"/>
      <c r="D48" s="6"/>
      <c r="E48" s="2"/>
      <c r="F48" s="7">
        <f t="shared" si="16"/>
        <v>0</v>
      </c>
      <c r="G48" s="2"/>
      <c r="H48" s="6"/>
      <c r="I48" s="2"/>
      <c r="J48" s="7">
        <f t="shared" si="17"/>
        <v>0</v>
      </c>
      <c r="K48" s="2"/>
      <c r="L48" s="6">
        <f t="shared" si="18"/>
        <v>0</v>
      </c>
      <c r="M48" s="2"/>
      <c r="N48" s="7">
        <f t="shared" si="19"/>
        <v>0</v>
      </c>
      <c r="O48" s="11"/>
      <c r="P48" s="6"/>
      <c r="Q48" s="2"/>
      <c r="R48" s="7">
        <f t="shared" si="20"/>
        <v>0</v>
      </c>
      <c r="S48" s="2"/>
      <c r="T48" s="6">
        <v>81.56</v>
      </c>
      <c r="U48" s="2"/>
      <c r="V48" s="7">
        <f t="shared" si="21"/>
        <v>0</v>
      </c>
      <c r="W48" s="2"/>
      <c r="X48" s="6">
        <f t="shared" si="22"/>
        <v>-81.56</v>
      </c>
      <c r="Y48" s="2"/>
      <c r="Z48" s="7">
        <f t="shared" si="23"/>
        <v>-1</v>
      </c>
    </row>
    <row r="49" spans="1:26" s="29" customFormat="1" outlineLevel="1" collapsed="1" x14ac:dyDescent="0.3">
      <c r="A49" s="28"/>
      <c r="B49" s="14" t="str">
        <f>CONCATENATE("     ","Equipment Rental                                  ")</f>
        <v xml:space="preserve">     Equipment Rental                                  </v>
      </c>
      <c r="C49" s="14"/>
      <c r="D49" s="1">
        <f>SUM(OSRRefD22_8x_0)</f>
        <v>208.97</v>
      </c>
      <c r="E49" s="1"/>
      <c r="F49" s="5">
        <f t="shared" si="16"/>
        <v>0</v>
      </c>
      <c r="G49" s="1"/>
      <c r="H49" s="1">
        <f>SUM(OSRRefH22_8x_0)</f>
        <v>208.97</v>
      </c>
      <c r="I49" s="1"/>
      <c r="J49" s="5">
        <f t="shared" si="17"/>
        <v>0</v>
      </c>
      <c r="K49" s="1"/>
      <c r="L49" s="1">
        <f t="shared" si="18"/>
        <v>0</v>
      </c>
      <c r="M49" s="1"/>
      <c r="N49" s="5">
        <f t="shared" si="19"/>
        <v>0</v>
      </c>
      <c r="O49" s="14"/>
      <c r="P49" s="1">
        <f>SUM(OSRRefP22_8x_0)</f>
        <v>1044.8499999999999</v>
      </c>
      <c r="Q49" s="1"/>
      <c r="R49" s="5">
        <f t="shared" si="20"/>
        <v>0</v>
      </c>
      <c r="S49" s="1"/>
      <c r="T49" s="1">
        <f>SUM(OSRRefT22_8x_0)</f>
        <v>1044.8499999999999</v>
      </c>
      <c r="U49" s="1"/>
      <c r="V49" s="5">
        <f t="shared" si="21"/>
        <v>0</v>
      </c>
      <c r="W49" s="1"/>
      <c r="X49" s="1">
        <f t="shared" si="22"/>
        <v>0</v>
      </c>
      <c r="Y49" s="1"/>
      <c r="Z49" s="5">
        <f t="shared" si="23"/>
        <v>0</v>
      </c>
    </row>
    <row r="50" spans="1:26" s="24" customFormat="1" hidden="1" outlineLevel="2" x14ac:dyDescent="0.3">
      <c r="A50" s="27"/>
      <c r="B50" s="11" t="str">
        <f>CONCATENATE("          ", "6351", " - ", "EQUIPMENT RENTAL")</f>
        <v xml:space="preserve">          6351 - EQUIPMENT RENTAL</v>
      </c>
      <c r="C50" s="11"/>
      <c r="D50" s="6">
        <v>208.97</v>
      </c>
      <c r="E50" s="2"/>
      <c r="F50" s="7">
        <f t="shared" si="16"/>
        <v>0</v>
      </c>
      <c r="G50" s="2"/>
      <c r="H50" s="6">
        <v>208.97</v>
      </c>
      <c r="I50" s="2"/>
      <c r="J50" s="7">
        <f t="shared" si="17"/>
        <v>0</v>
      </c>
      <c r="K50" s="2"/>
      <c r="L50" s="6">
        <f t="shared" si="18"/>
        <v>0</v>
      </c>
      <c r="M50" s="2"/>
      <c r="N50" s="7">
        <f t="shared" si="19"/>
        <v>0</v>
      </c>
      <c r="O50" s="11"/>
      <c r="P50" s="6">
        <v>1044.8499999999999</v>
      </c>
      <c r="Q50" s="2"/>
      <c r="R50" s="7">
        <f t="shared" si="20"/>
        <v>0</v>
      </c>
      <c r="S50" s="2"/>
      <c r="T50" s="6">
        <v>1044.8499999999999</v>
      </c>
      <c r="U50" s="2"/>
      <c r="V50" s="7">
        <f t="shared" si="21"/>
        <v>0</v>
      </c>
      <c r="W50" s="2"/>
      <c r="X50" s="6">
        <f t="shared" si="22"/>
        <v>0</v>
      </c>
      <c r="Y50" s="2"/>
      <c r="Z50" s="7">
        <f t="shared" si="23"/>
        <v>0</v>
      </c>
    </row>
    <row r="51" spans="1:26" s="29" customFormat="1" outlineLevel="1" collapsed="1" x14ac:dyDescent="0.3">
      <c r="A51" s="28"/>
      <c r="B51" s="14" t="str">
        <f>CONCATENATE("     ","Freight out/Postage                               ")</f>
        <v xml:space="preserve">     Freight out/Postage                               </v>
      </c>
      <c r="C51" s="14"/>
      <c r="D51" s="1">
        <f>SUM(OSRRefD22_9x_0)</f>
        <v>134.22</v>
      </c>
      <c r="E51" s="1"/>
      <c r="F51" s="5">
        <f t="shared" si="16"/>
        <v>0</v>
      </c>
      <c r="G51" s="1"/>
      <c r="H51" s="1">
        <f>SUM(OSRRefH22_9x_0)</f>
        <v>86.7</v>
      </c>
      <c r="I51" s="1"/>
      <c r="J51" s="5">
        <f t="shared" si="17"/>
        <v>0</v>
      </c>
      <c r="K51" s="1"/>
      <c r="L51" s="1">
        <f t="shared" si="18"/>
        <v>47.519999999999996</v>
      </c>
      <c r="M51" s="1"/>
      <c r="N51" s="5">
        <f t="shared" si="19"/>
        <v>0.54809688581314875</v>
      </c>
      <c r="O51" s="14"/>
      <c r="P51" s="1">
        <f>SUM(OSRRefP22_9x_0)</f>
        <v>863.12</v>
      </c>
      <c r="Q51" s="1"/>
      <c r="R51" s="5">
        <f t="shared" si="20"/>
        <v>0</v>
      </c>
      <c r="S51" s="1"/>
      <c r="T51" s="1">
        <f>SUM(OSRRefT22_9x_0)</f>
        <v>683.67</v>
      </c>
      <c r="U51" s="1"/>
      <c r="V51" s="5">
        <f t="shared" si="21"/>
        <v>0</v>
      </c>
      <c r="W51" s="1"/>
      <c r="X51" s="1">
        <f t="shared" si="22"/>
        <v>179.45000000000005</v>
      </c>
      <c r="Y51" s="1"/>
      <c r="Z51" s="5">
        <f t="shared" si="23"/>
        <v>0.26248043646788666</v>
      </c>
    </row>
    <row r="52" spans="1:26" s="24" customFormat="1" hidden="1" outlineLevel="2" x14ac:dyDescent="0.3">
      <c r="A52" s="27"/>
      <c r="B52" s="11" t="str">
        <f>CONCATENATE("          ", "6305", " - ", "FREIGHT OUT")</f>
        <v xml:space="preserve">          6305 - FREIGHT OUT</v>
      </c>
      <c r="C52" s="11"/>
      <c r="D52" s="6"/>
      <c r="E52" s="2"/>
      <c r="F52" s="7">
        <f t="shared" si="16"/>
        <v>0</v>
      </c>
      <c r="G52" s="2"/>
      <c r="H52" s="6"/>
      <c r="I52" s="2"/>
      <c r="J52" s="7">
        <f t="shared" si="17"/>
        <v>0</v>
      </c>
      <c r="K52" s="2"/>
      <c r="L52" s="6">
        <f t="shared" si="18"/>
        <v>0</v>
      </c>
      <c r="M52" s="2"/>
      <c r="N52" s="7">
        <f t="shared" si="19"/>
        <v>0</v>
      </c>
      <c r="O52" s="11"/>
      <c r="P52" s="6"/>
      <c r="Q52" s="2"/>
      <c r="R52" s="7">
        <f t="shared" si="20"/>
        <v>0</v>
      </c>
      <c r="S52" s="2"/>
      <c r="T52" s="6">
        <v>5.41</v>
      </c>
      <c r="U52" s="2"/>
      <c r="V52" s="7">
        <f t="shared" si="21"/>
        <v>0</v>
      </c>
      <c r="W52" s="2"/>
      <c r="X52" s="6">
        <f t="shared" si="22"/>
        <v>-5.41</v>
      </c>
      <c r="Y52" s="2"/>
      <c r="Z52" s="7">
        <f t="shared" si="23"/>
        <v>-1</v>
      </c>
    </row>
    <row r="53" spans="1:26" s="24" customFormat="1" hidden="1" outlineLevel="2" x14ac:dyDescent="0.3">
      <c r="A53" s="27"/>
      <c r="B53" s="11" t="str">
        <f>CONCATENATE("          ", "6307", " - ", "POSTAGE")</f>
        <v xml:space="preserve">          6307 - POSTAGE</v>
      </c>
      <c r="C53" s="11"/>
      <c r="D53" s="6">
        <v>134.22</v>
      </c>
      <c r="E53" s="2"/>
      <c r="F53" s="7">
        <f t="shared" si="16"/>
        <v>0</v>
      </c>
      <c r="G53" s="2"/>
      <c r="H53" s="6">
        <v>86.7</v>
      </c>
      <c r="I53" s="2"/>
      <c r="J53" s="7">
        <f t="shared" si="17"/>
        <v>0</v>
      </c>
      <c r="K53" s="2"/>
      <c r="L53" s="6">
        <f t="shared" si="18"/>
        <v>47.519999999999996</v>
      </c>
      <c r="M53" s="2"/>
      <c r="N53" s="7">
        <f t="shared" si="19"/>
        <v>0.54809688581314875</v>
      </c>
      <c r="O53" s="11"/>
      <c r="P53" s="6">
        <v>863.12</v>
      </c>
      <c r="Q53" s="2"/>
      <c r="R53" s="7">
        <f t="shared" si="20"/>
        <v>0</v>
      </c>
      <c r="S53" s="2"/>
      <c r="T53" s="6">
        <v>678.26</v>
      </c>
      <c r="U53" s="2"/>
      <c r="V53" s="7">
        <f t="shared" si="21"/>
        <v>0</v>
      </c>
      <c r="W53" s="2"/>
      <c r="X53" s="6">
        <f t="shared" si="22"/>
        <v>184.86</v>
      </c>
      <c r="Y53" s="2"/>
      <c r="Z53" s="7">
        <f t="shared" si="23"/>
        <v>0.27255034942352491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SUM(OSRRefD22_10x_0)</f>
        <v>182</v>
      </c>
      <c r="E54" s="1"/>
      <c r="F54" s="5">
        <f t="shared" ref="F54:F61" si="24">IF(D$12=0,0,D54/D$12)</f>
        <v>0</v>
      </c>
      <c r="G54" s="1"/>
      <c r="H54" s="1">
        <f>SUM(OSRRefH22_10x_0)</f>
        <v>0</v>
      </c>
      <c r="I54" s="1"/>
      <c r="J54" s="5">
        <f t="shared" ref="J54:J61" si="25">IF(H$12=0,0,H54/H$12)</f>
        <v>0</v>
      </c>
      <c r="K54" s="1"/>
      <c r="L54" s="1">
        <f t="shared" ref="L54:L61" si="26">+D54-H54</f>
        <v>182</v>
      </c>
      <c r="M54" s="1"/>
      <c r="N54" s="5">
        <f t="shared" ref="N54:N61" si="27">IF(H54=0,0,L54/H54)</f>
        <v>0</v>
      </c>
      <c r="O54" s="14"/>
      <c r="P54" s="1">
        <f>SUM(OSRRefP22_10x_0)</f>
        <v>1584.18</v>
      </c>
      <c r="Q54" s="1"/>
      <c r="R54" s="5">
        <f t="shared" ref="R54:R61" si="28">IF(P$12=0,0,P54/P$12)</f>
        <v>0</v>
      </c>
      <c r="S54" s="1"/>
      <c r="T54" s="1">
        <f>SUM(OSRRefT22_10x_0)</f>
        <v>166.54</v>
      </c>
      <c r="U54" s="1"/>
      <c r="V54" s="5">
        <f t="shared" ref="V54:V61" si="29">IF(T$12=0,0,T54/T$12)</f>
        <v>0</v>
      </c>
      <c r="W54" s="1"/>
      <c r="X54" s="1">
        <f t="shared" ref="X54:X61" si="30">+P54-T54</f>
        <v>1417.64</v>
      </c>
      <c r="Y54" s="1"/>
      <c r="Z54" s="5">
        <f t="shared" ref="Z54:Z61" si="31">IF(T54=0,0,X54/T54)</f>
        <v>8.5123093551098847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6">
        <v>182</v>
      </c>
      <c r="E55" s="2"/>
      <c r="F55" s="7">
        <f t="shared" si="24"/>
        <v>0</v>
      </c>
      <c r="G55" s="2"/>
      <c r="H55" s="6"/>
      <c r="I55" s="2"/>
      <c r="J55" s="7">
        <f t="shared" si="25"/>
        <v>0</v>
      </c>
      <c r="K55" s="2"/>
      <c r="L55" s="6">
        <f t="shared" si="26"/>
        <v>182</v>
      </c>
      <c r="M55" s="2"/>
      <c r="N55" s="7">
        <f t="shared" si="27"/>
        <v>0</v>
      </c>
      <c r="O55" s="11"/>
      <c r="P55" s="6">
        <v>1584.18</v>
      </c>
      <c r="Q55" s="2"/>
      <c r="R55" s="7">
        <f t="shared" si="28"/>
        <v>0</v>
      </c>
      <c r="S55" s="2"/>
      <c r="T55" s="6">
        <v>166.54</v>
      </c>
      <c r="U55" s="2"/>
      <c r="V55" s="7">
        <f t="shared" si="29"/>
        <v>0</v>
      </c>
      <c r="W55" s="2"/>
      <c r="X55" s="6">
        <f t="shared" si="30"/>
        <v>1417.64</v>
      </c>
      <c r="Y55" s="2"/>
      <c r="Z55" s="7">
        <f t="shared" si="31"/>
        <v>8.5123093551098847</v>
      </c>
    </row>
    <row r="56" spans="1:26" s="29" customFormat="1" outlineLevel="1" collapsed="1" x14ac:dyDescent="0.3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SUM(OSRRefD22_11x_0)</f>
        <v>535.05999999999995</v>
      </c>
      <c r="E56" s="1"/>
      <c r="F56" s="5">
        <f t="shared" si="24"/>
        <v>0</v>
      </c>
      <c r="G56" s="1"/>
      <c r="H56" s="1">
        <f>SUM(OSRRefH22_11x_0)</f>
        <v>393.67</v>
      </c>
      <c r="I56" s="1"/>
      <c r="J56" s="5">
        <f t="shared" si="25"/>
        <v>0</v>
      </c>
      <c r="K56" s="1"/>
      <c r="L56" s="1">
        <f t="shared" si="26"/>
        <v>141.38999999999993</v>
      </c>
      <c r="M56" s="1"/>
      <c r="N56" s="5">
        <f t="shared" si="27"/>
        <v>0.35915868620926139</v>
      </c>
      <c r="O56" s="14"/>
      <c r="P56" s="1">
        <f>SUM(OSRRefP22_11x_0)</f>
        <v>2675.3</v>
      </c>
      <c r="Q56" s="1"/>
      <c r="R56" s="5">
        <f t="shared" si="28"/>
        <v>0</v>
      </c>
      <c r="S56" s="1"/>
      <c r="T56" s="1">
        <f>SUM(OSRRefT22_11x_0)</f>
        <v>1968.35</v>
      </c>
      <c r="U56" s="1"/>
      <c r="V56" s="5">
        <f t="shared" si="29"/>
        <v>0</v>
      </c>
      <c r="W56" s="1"/>
      <c r="X56" s="1">
        <f t="shared" si="30"/>
        <v>706.95000000000027</v>
      </c>
      <c r="Y56" s="1"/>
      <c r="Z56" s="5">
        <f t="shared" si="31"/>
        <v>0.35915868620926172</v>
      </c>
    </row>
    <row r="57" spans="1:26" s="24" customFormat="1" hidden="1" outlineLevel="2" x14ac:dyDescent="0.3">
      <c r="A57" s="27"/>
      <c r="B57" s="11" t="str">
        <f>CONCATENATE("          ", "6314", " - ", "LIABILITY INSURANCE")</f>
        <v xml:space="preserve">          6314 - LIABILITY INSURANCE</v>
      </c>
      <c r="C57" s="11"/>
      <c r="D57" s="6">
        <v>535.05999999999995</v>
      </c>
      <c r="E57" s="2"/>
      <c r="F57" s="7">
        <f t="shared" si="24"/>
        <v>0</v>
      </c>
      <c r="G57" s="2"/>
      <c r="H57" s="6">
        <v>393.67</v>
      </c>
      <c r="I57" s="2"/>
      <c r="J57" s="7">
        <f t="shared" si="25"/>
        <v>0</v>
      </c>
      <c r="K57" s="2"/>
      <c r="L57" s="6">
        <f t="shared" si="26"/>
        <v>141.38999999999993</v>
      </c>
      <c r="M57" s="2"/>
      <c r="N57" s="7">
        <f t="shared" si="27"/>
        <v>0.35915868620926139</v>
      </c>
      <c r="O57" s="11"/>
      <c r="P57" s="6">
        <v>2675.3</v>
      </c>
      <c r="Q57" s="2"/>
      <c r="R57" s="7">
        <f t="shared" si="28"/>
        <v>0</v>
      </c>
      <c r="S57" s="2"/>
      <c r="T57" s="6">
        <v>1968.35</v>
      </c>
      <c r="U57" s="2"/>
      <c r="V57" s="7">
        <f t="shared" si="29"/>
        <v>0</v>
      </c>
      <c r="W57" s="2"/>
      <c r="X57" s="6">
        <f t="shared" si="30"/>
        <v>706.95000000000027</v>
      </c>
      <c r="Y57" s="2"/>
      <c r="Z57" s="7">
        <f t="shared" si="31"/>
        <v>0.35915868620926172</v>
      </c>
    </row>
    <row r="58" spans="1:26" s="29" customFormat="1" outlineLevel="1" collapsed="1" x14ac:dyDescent="0.3">
      <c r="A58" s="28"/>
      <c r="B58" s="14" t="str">
        <f>CONCATENATE("     ","Professional Services                             ")</f>
        <v xml:space="preserve">     Professional Services                             </v>
      </c>
      <c r="C58" s="14"/>
      <c r="D58" s="1">
        <f>SUM(OSRRefD22_12x_0)</f>
        <v>16700</v>
      </c>
      <c r="E58" s="1"/>
      <c r="F58" s="5">
        <f t="shared" si="24"/>
        <v>0</v>
      </c>
      <c r="G58" s="1"/>
      <c r="H58" s="1">
        <f>SUM(OSRRefH22_12x_0)</f>
        <v>11115.750000000002</v>
      </c>
      <c r="I58" s="1"/>
      <c r="J58" s="5">
        <f t="shared" si="25"/>
        <v>0</v>
      </c>
      <c r="K58" s="1"/>
      <c r="L58" s="1">
        <f t="shared" si="26"/>
        <v>5584.2499999999982</v>
      </c>
      <c r="M58" s="1"/>
      <c r="N58" s="5">
        <f t="shared" si="27"/>
        <v>0.50237275937296155</v>
      </c>
      <c r="O58" s="14"/>
      <c r="P58" s="1">
        <f>SUM(OSRRefP22_12x_0)</f>
        <v>82314.87</v>
      </c>
      <c r="Q58" s="1"/>
      <c r="R58" s="5">
        <f t="shared" si="28"/>
        <v>0</v>
      </c>
      <c r="S58" s="1"/>
      <c r="T58" s="1">
        <f>SUM(OSRRefT22_12x_0)</f>
        <v>64888.46</v>
      </c>
      <c r="U58" s="1"/>
      <c r="V58" s="5">
        <f t="shared" si="29"/>
        <v>0</v>
      </c>
      <c r="W58" s="1"/>
      <c r="X58" s="1">
        <f t="shared" si="30"/>
        <v>17426.409999999996</v>
      </c>
      <c r="Y58" s="1"/>
      <c r="Z58" s="5">
        <f t="shared" si="31"/>
        <v>0.26855946342385068</v>
      </c>
    </row>
    <row r="59" spans="1:26" s="24" customFormat="1" hidden="1" outlineLevel="2" x14ac:dyDescent="0.3">
      <c r="A59" s="27"/>
      <c r="B59" s="11" t="str">
        <f>CONCATENATE("          ", "6331", " - ", "INDIRECT COSTS-AUXILIARY ORGAN")</f>
        <v xml:space="preserve">          6331 - INDIRECT COSTS-AUXILIARY ORGAN</v>
      </c>
      <c r="C59" s="11"/>
      <c r="D59" s="6">
        <v>13250</v>
      </c>
      <c r="E59" s="2"/>
      <c r="F59" s="7">
        <f t="shared" si="24"/>
        <v>0</v>
      </c>
      <c r="G59" s="2"/>
      <c r="H59" s="6">
        <v>9725</v>
      </c>
      <c r="I59" s="2"/>
      <c r="J59" s="7">
        <f t="shared" si="25"/>
        <v>0</v>
      </c>
      <c r="K59" s="2"/>
      <c r="L59" s="6">
        <f t="shared" si="26"/>
        <v>3525</v>
      </c>
      <c r="M59" s="2"/>
      <c r="N59" s="7">
        <f t="shared" si="27"/>
        <v>0.36246786632390743</v>
      </c>
      <c r="O59" s="11"/>
      <c r="P59" s="6">
        <v>69175.5</v>
      </c>
      <c r="Q59" s="2"/>
      <c r="R59" s="7">
        <f t="shared" si="28"/>
        <v>0</v>
      </c>
      <c r="S59" s="2"/>
      <c r="T59" s="6">
        <v>56396.5</v>
      </c>
      <c r="U59" s="2"/>
      <c r="V59" s="7">
        <f t="shared" si="29"/>
        <v>0</v>
      </c>
      <c r="W59" s="2"/>
      <c r="X59" s="6">
        <f t="shared" si="30"/>
        <v>12779</v>
      </c>
      <c r="Y59" s="2"/>
      <c r="Z59" s="7">
        <f t="shared" si="31"/>
        <v>0.22659207574938162</v>
      </c>
    </row>
    <row r="60" spans="1:26" s="24" customFormat="1" hidden="1" outlineLevel="2" x14ac:dyDescent="0.3">
      <c r="A60" s="27"/>
      <c r="B60" s="11" t="str">
        <f>CONCATENATE("          ", "6334", " - ", "LEGAL COUNCIL EXPENSE")</f>
        <v xml:space="preserve">          6334 - LEGAL COUNCIL EXPENSE</v>
      </c>
      <c r="C60" s="11"/>
      <c r="D60" s="6">
        <v>125</v>
      </c>
      <c r="E60" s="2"/>
      <c r="F60" s="7">
        <f t="shared" si="24"/>
        <v>0</v>
      </c>
      <c r="G60" s="2"/>
      <c r="H60" s="6">
        <v>1259.3800000000001</v>
      </c>
      <c r="I60" s="2"/>
      <c r="J60" s="7">
        <f t="shared" si="25"/>
        <v>0</v>
      </c>
      <c r="K60" s="2"/>
      <c r="L60" s="6">
        <f t="shared" si="26"/>
        <v>-1134.3800000000001</v>
      </c>
      <c r="M60" s="2"/>
      <c r="N60" s="7">
        <f t="shared" si="27"/>
        <v>-0.90074481093871583</v>
      </c>
      <c r="O60" s="11"/>
      <c r="P60" s="6">
        <v>3455</v>
      </c>
      <c r="Q60" s="2"/>
      <c r="R60" s="7">
        <f t="shared" si="28"/>
        <v>0</v>
      </c>
      <c r="S60" s="2"/>
      <c r="T60" s="6">
        <v>4074.38</v>
      </c>
      <c r="U60" s="2"/>
      <c r="V60" s="7">
        <f t="shared" si="29"/>
        <v>0</v>
      </c>
      <c r="W60" s="2"/>
      <c r="X60" s="6">
        <f t="shared" si="30"/>
        <v>-619.38000000000011</v>
      </c>
      <c r="Y60" s="2"/>
      <c r="Z60" s="7">
        <f t="shared" si="31"/>
        <v>-0.15201822117720981</v>
      </c>
    </row>
    <row r="61" spans="1:26" s="24" customFormat="1" hidden="1" outlineLevel="2" x14ac:dyDescent="0.3">
      <c r="A61" s="27"/>
      <c r="B61" s="11" t="str">
        <f>CONCATENATE("          ", "6336", " - ", "PROFESSIONAL SERVICES")</f>
        <v xml:space="preserve">          6336 - PROFESSIONAL SERVICES</v>
      </c>
      <c r="C61" s="11"/>
      <c r="D61" s="6">
        <v>3325</v>
      </c>
      <c r="E61" s="2"/>
      <c r="F61" s="7">
        <f t="shared" si="24"/>
        <v>0</v>
      </c>
      <c r="G61" s="2"/>
      <c r="H61" s="6">
        <v>131.37</v>
      </c>
      <c r="I61" s="2"/>
      <c r="J61" s="7">
        <f t="shared" si="25"/>
        <v>0</v>
      </c>
      <c r="K61" s="2"/>
      <c r="L61" s="6">
        <f t="shared" si="26"/>
        <v>3193.63</v>
      </c>
      <c r="M61" s="2"/>
      <c r="N61" s="7">
        <f t="shared" si="27"/>
        <v>24.310192585826293</v>
      </c>
      <c r="O61" s="11"/>
      <c r="P61" s="6">
        <v>9684.3700000000008</v>
      </c>
      <c r="Q61" s="2"/>
      <c r="R61" s="7">
        <f t="shared" si="28"/>
        <v>0</v>
      </c>
      <c r="S61" s="2"/>
      <c r="T61" s="6">
        <v>4417.58</v>
      </c>
      <c r="U61" s="2"/>
      <c r="V61" s="7">
        <f t="shared" si="29"/>
        <v>0</v>
      </c>
      <c r="W61" s="2"/>
      <c r="X61" s="6">
        <f t="shared" si="30"/>
        <v>5266.7900000000009</v>
      </c>
      <c r="Y61" s="2"/>
      <c r="Z61" s="7">
        <f t="shared" si="31"/>
        <v>1.1922342096804135</v>
      </c>
    </row>
    <row r="62" spans="1:26" s="29" customFormat="1" outlineLevel="1" collapsed="1" x14ac:dyDescent="0.3">
      <c r="A62" s="28"/>
      <c r="B62" s="14" t="str">
        <f>CONCATENATE("     ","Repair and Maintenance                            ")</f>
        <v xml:space="preserve">     Repair and Maintenance                            </v>
      </c>
      <c r="C62" s="14"/>
      <c r="D62" s="1">
        <f>SUM(OSRRefD22_13x_0)</f>
        <v>19678.11</v>
      </c>
      <c r="E62" s="1"/>
      <c r="F62" s="5">
        <f t="shared" ref="F62:F66" si="32">IF(D$12=0,0,D62/D$12)</f>
        <v>0</v>
      </c>
      <c r="G62" s="1"/>
      <c r="H62" s="1">
        <f>SUM(OSRRefH22_13x_0)</f>
        <v>19353.949999999997</v>
      </c>
      <c r="I62" s="1"/>
      <c r="J62" s="5">
        <f t="shared" ref="J62:J66" si="33">IF(H$12=0,0,H62/H$12)</f>
        <v>0</v>
      </c>
      <c r="K62" s="1"/>
      <c r="L62" s="1">
        <f t="shared" ref="L62:L66" si="34">+D62-H62</f>
        <v>324.16000000000349</v>
      </c>
      <c r="M62" s="1"/>
      <c r="N62" s="5">
        <f t="shared" ref="N62:N66" si="35">IF(H62=0,0,L62/H62)</f>
        <v>1.6749035726557292E-2</v>
      </c>
      <c r="O62" s="14"/>
      <c r="P62" s="1">
        <f>SUM(OSRRefP22_13x_0)</f>
        <v>91425.16</v>
      </c>
      <c r="Q62" s="1"/>
      <c r="R62" s="5">
        <f t="shared" ref="R62:R66" si="36">IF(P$12=0,0,P62/P$12)</f>
        <v>0</v>
      </c>
      <c r="S62" s="1"/>
      <c r="T62" s="1">
        <f>SUM(OSRRefT22_13x_0)</f>
        <v>98916.08</v>
      </c>
      <c r="U62" s="1"/>
      <c r="V62" s="5">
        <f t="shared" ref="V62:V66" si="37">IF(T$12=0,0,T62/T$12)</f>
        <v>0</v>
      </c>
      <c r="W62" s="1"/>
      <c r="X62" s="1">
        <f t="shared" ref="X62:X66" si="38">+P62-T62</f>
        <v>-7490.9199999999983</v>
      </c>
      <c r="Y62" s="1"/>
      <c r="Z62" s="5">
        <f t="shared" ref="Z62:Z66" si="39">IF(T62=0,0,X62/T62)</f>
        <v>-7.5730053192564831E-2</v>
      </c>
    </row>
    <row r="63" spans="1:26" s="24" customFormat="1" hidden="1" outlineLevel="2" x14ac:dyDescent="0.3">
      <c r="A63" s="27"/>
      <c r="B63" s="11" t="str">
        <f>CONCATENATE("          ", "6371", " - ", "COMPUTER SOFTWARE MAINTENANCE")</f>
        <v xml:space="preserve">          6371 - COMPUTER SOFTWARE MAINTENANCE</v>
      </c>
      <c r="C63" s="11"/>
      <c r="D63" s="6">
        <v>6466.12</v>
      </c>
      <c r="E63" s="2"/>
      <c r="F63" s="7">
        <f t="shared" si="32"/>
        <v>0</v>
      </c>
      <c r="G63" s="2"/>
      <c r="H63" s="6">
        <v>4217.41</v>
      </c>
      <c r="I63" s="2"/>
      <c r="J63" s="7">
        <f t="shared" si="33"/>
        <v>0</v>
      </c>
      <c r="K63" s="2"/>
      <c r="L63" s="6">
        <f t="shared" si="34"/>
        <v>2248.71</v>
      </c>
      <c r="M63" s="2"/>
      <c r="N63" s="7">
        <f t="shared" si="35"/>
        <v>0.53319691469408947</v>
      </c>
      <c r="O63" s="11"/>
      <c r="P63" s="6">
        <v>28187.41</v>
      </c>
      <c r="Q63" s="2"/>
      <c r="R63" s="7">
        <f t="shared" si="36"/>
        <v>0</v>
      </c>
      <c r="S63" s="2"/>
      <c r="T63" s="6">
        <v>23202.68</v>
      </c>
      <c r="U63" s="2"/>
      <c r="V63" s="7">
        <f t="shared" si="37"/>
        <v>0</v>
      </c>
      <c r="W63" s="2"/>
      <c r="X63" s="6">
        <f t="shared" si="38"/>
        <v>4984.7299999999996</v>
      </c>
      <c r="Y63" s="2"/>
      <c r="Z63" s="7">
        <f t="shared" si="39"/>
        <v>0.21483423466599547</v>
      </c>
    </row>
    <row r="64" spans="1:26" s="24" customFormat="1" hidden="1" outlineLevel="2" x14ac:dyDescent="0.3">
      <c r="A64" s="27"/>
      <c r="B64" s="11" t="str">
        <f>CONCATENATE("          ", "6372", " - ", "COMPUTER HARDWARE MAINTENANCE")</f>
        <v xml:space="preserve">          6372 - COMPUTER HARDWARE MAINTENANCE</v>
      </c>
      <c r="C64" s="11"/>
      <c r="D64" s="6"/>
      <c r="E64" s="2"/>
      <c r="F64" s="7">
        <f t="shared" si="32"/>
        <v>0</v>
      </c>
      <c r="G64" s="2"/>
      <c r="H64" s="6"/>
      <c r="I64" s="2"/>
      <c r="J64" s="7">
        <f t="shared" si="33"/>
        <v>0</v>
      </c>
      <c r="K64" s="2"/>
      <c r="L64" s="6">
        <f t="shared" si="34"/>
        <v>0</v>
      </c>
      <c r="M64" s="2"/>
      <c r="N64" s="7">
        <f t="shared" si="35"/>
        <v>0</v>
      </c>
      <c r="O64" s="11"/>
      <c r="P64" s="6">
        <v>1008.07</v>
      </c>
      <c r="Q64" s="2"/>
      <c r="R64" s="7">
        <f t="shared" si="36"/>
        <v>0</v>
      </c>
      <c r="S64" s="2"/>
      <c r="T64" s="6"/>
      <c r="U64" s="2"/>
      <c r="V64" s="7">
        <f t="shared" si="37"/>
        <v>0</v>
      </c>
      <c r="W64" s="2"/>
      <c r="X64" s="6">
        <f t="shared" si="38"/>
        <v>1008.07</v>
      </c>
      <c r="Y64" s="2"/>
      <c r="Z64" s="7">
        <f t="shared" si="39"/>
        <v>0</v>
      </c>
    </row>
    <row r="65" spans="1:26" s="24" customFormat="1" hidden="1" outlineLevel="2" x14ac:dyDescent="0.3">
      <c r="A65" s="27"/>
      <c r="B65" s="11" t="str">
        <f>CONCATENATE("          ", "6373", " - ", "MAINTENANCE CONTRACTS")</f>
        <v xml:space="preserve">          6373 - MAINTENANCE CONTRACTS</v>
      </c>
      <c r="C65" s="11"/>
      <c r="D65" s="6">
        <v>13211.99</v>
      </c>
      <c r="E65" s="2"/>
      <c r="F65" s="7">
        <f t="shared" si="32"/>
        <v>0</v>
      </c>
      <c r="G65" s="2"/>
      <c r="H65" s="6">
        <v>14651.44</v>
      </c>
      <c r="I65" s="2"/>
      <c r="J65" s="7">
        <f t="shared" si="33"/>
        <v>0</v>
      </c>
      <c r="K65" s="2"/>
      <c r="L65" s="6">
        <f t="shared" si="34"/>
        <v>-1439.4500000000007</v>
      </c>
      <c r="M65" s="2"/>
      <c r="N65" s="7">
        <f t="shared" si="35"/>
        <v>-9.8246315720502603E-2</v>
      </c>
      <c r="O65" s="11"/>
      <c r="P65" s="6">
        <v>60390.41</v>
      </c>
      <c r="Q65" s="2"/>
      <c r="R65" s="7">
        <f t="shared" si="36"/>
        <v>0</v>
      </c>
      <c r="S65" s="2"/>
      <c r="T65" s="6">
        <v>73543.11</v>
      </c>
      <c r="U65" s="2"/>
      <c r="V65" s="7">
        <f t="shared" si="37"/>
        <v>0</v>
      </c>
      <c r="W65" s="2"/>
      <c r="X65" s="6">
        <f t="shared" si="38"/>
        <v>-13152.699999999997</v>
      </c>
      <c r="Y65" s="2"/>
      <c r="Z65" s="7">
        <f t="shared" si="39"/>
        <v>-0.17884340218954564</v>
      </c>
    </row>
    <row r="66" spans="1:26" s="24" customFormat="1" hidden="1" outlineLevel="2" x14ac:dyDescent="0.3">
      <c r="A66" s="27"/>
      <c r="B66" s="11" t="str">
        <f>CONCATENATE("          ", "6375", " - ", "OUTSIDE REPAIRS &amp; MAINTENANCE")</f>
        <v xml:space="preserve">          6375 - OUTSIDE REPAIRS &amp; MAINTENANCE</v>
      </c>
      <c r="C66" s="11"/>
      <c r="D66" s="6"/>
      <c r="E66" s="2"/>
      <c r="F66" s="7">
        <f t="shared" si="32"/>
        <v>0</v>
      </c>
      <c r="G66" s="2"/>
      <c r="H66" s="6">
        <v>485.1</v>
      </c>
      <c r="I66" s="2"/>
      <c r="J66" s="7">
        <f t="shared" si="33"/>
        <v>0</v>
      </c>
      <c r="K66" s="2"/>
      <c r="L66" s="6">
        <f t="shared" si="34"/>
        <v>-485.1</v>
      </c>
      <c r="M66" s="2"/>
      <c r="N66" s="7">
        <f t="shared" si="35"/>
        <v>-1</v>
      </c>
      <c r="O66" s="11"/>
      <c r="P66" s="6">
        <v>1839.27</v>
      </c>
      <c r="Q66" s="2"/>
      <c r="R66" s="7">
        <f t="shared" si="36"/>
        <v>0</v>
      </c>
      <c r="S66" s="2"/>
      <c r="T66" s="6">
        <v>2170.29</v>
      </c>
      <c r="U66" s="2"/>
      <c r="V66" s="7">
        <f t="shared" si="37"/>
        <v>0</v>
      </c>
      <c r="W66" s="2"/>
      <c r="X66" s="6">
        <f t="shared" si="38"/>
        <v>-331.02</v>
      </c>
      <c r="Y66" s="2"/>
      <c r="Z66" s="7">
        <f t="shared" si="39"/>
        <v>-0.15252339549092517</v>
      </c>
    </row>
    <row r="67" spans="1:26" s="29" customFormat="1" outlineLevel="1" collapsed="1" x14ac:dyDescent="0.3">
      <c r="A67" s="28"/>
      <c r="B67" s="14" t="str">
        <f>CONCATENATE("     ","Services                                          ")</f>
        <v xml:space="preserve">     Services                                          </v>
      </c>
      <c r="C67" s="14"/>
      <c r="D67" s="1">
        <f>SUM(OSRRefD22_14x_0)</f>
        <v>657.38</v>
      </c>
      <c r="E67" s="1"/>
      <c r="F67" s="5">
        <f t="shared" ref="F67:F76" si="40">IF(D$12=0,0,D67/D$12)</f>
        <v>0</v>
      </c>
      <c r="G67" s="1"/>
      <c r="H67" s="1">
        <f>SUM(OSRRefH22_14x_0)</f>
        <v>512.48</v>
      </c>
      <c r="I67" s="1"/>
      <c r="J67" s="5">
        <f t="shared" ref="J67:J76" si="41">IF(H$12=0,0,H67/H$12)</f>
        <v>0</v>
      </c>
      <c r="K67" s="1"/>
      <c r="L67" s="1">
        <f t="shared" ref="L67:L76" si="42">+D67-H67</f>
        <v>144.89999999999998</v>
      </c>
      <c r="M67" s="1"/>
      <c r="N67" s="5">
        <f t="shared" ref="N67:N76" si="43">IF(H67=0,0,L67/H67)</f>
        <v>0.28274274118014359</v>
      </c>
      <c r="O67" s="14"/>
      <c r="P67" s="1">
        <f>SUM(OSRRefP22_14x_0)</f>
        <v>3340.03</v>
      </c>
      <c r="Q67" s="1"/>
      <c r="R67" s="5">
        <f t="shared" ref="R67:R76" si="44">IF(P$12=0,0,P67/P$12)</f>
        <v>0</v>
      </c>
      <c r="S67" s="1"/>
      <c r="T67" s="1">
        <f>SUM(OSRRefT22_14x_0)</f>
        <v>2562.4</v>
      </c>
      <c r="U67" s="1"/>
      <c r="V67" s="5">
        <f t="shared" ref="V67:V76" si="45">IF(T$12=0,0,T67/T$12)</f>
        <v>0</v>
      </c>
      <c r="W67" s="1"/>
      <c r="X67" s="1">
        <f t="shared" ref="X67:X76" si="46">+P67-T67</f>
        <v>777.63000000000011</v>
      </c>
      <c r="Y67" s="1"/>
      <c r="Z67" s="5">
        <f t="shared" ref="Z67:Z76" si="47">IF(T67=0,0,X67/T67)</f>
        <v>0.3034772088666875</v>
      </c>
    </row>
    <row r="68" spans="1:26" s="24" customFormat="1" hidden="1" outlineLevel="2" x14ac:dyDescent="0.3">
      <c r="A68" s="27"/>
      <c r="B68" s="11" t="str">
        <f>CONCATENATE("          ", "6281", " - ", "STORAGE FEE")</f>
        <v xml:space="preserve">          6281 - STORAGE FEE</v>
      </c>
      <c r="C68" s="11"/>
      <c r="D68" s="6">
        <v>657.38</v>
      </c>
      <c r="E68" s="2"/>
      <c r="F68" s="7">
        <f t="shared" si="40"/>
        <v>0</v>
      </c>
      <c r="G68" s="2"/>
      <c r="H68" s="6">
        <v>512.48</v>
      </c>
      <c r="I68" s="2"/>
      <c r="J68" s="7">
        <f t="shared" si="41"/>
        <v>0</v>
      </c>
      <c r="K68" s="2"/>
      <c r="L68" s="6">
        <f t="shared" si="42"/>
        <v>144.89999999999998</v>
      </c>
      <c r="M68" s="2"/>
      <c r="N68" s="7">
        <f t="shared" si="43"/>
        <v>0.28274274118014359</v>
      </c>
      <c r="O68" s="11"/>
      <c r="P68" s="6">
        <v>3340.03</v>
      </c>
      <c r="Q68" s="2"/>
      <c r="R68" s="7">
        <f t="shared" si="44"/>
        <v>0</v>
      </c>
      <c r="S68" s="2"/>
      <c r="T68" s="6">
        <v>2562.4</v>
      </c>
      <c r="U68" s="2"/>
      <c r="V68" s="7">
        <f t="shared" si="45"/>
        <v>0</v>
      </c>
      <c r="W68" s="2"/>
      <c r="X68" s="6">
        <f t="shared" si="46"/>
        <v>777.63000000000011</v>
      </c>
      <c r="Y68" s="2"/>
      <c r="Z68" s="7">
        <f t="shared" si="47"/>
        <v>0.3034772088666875</v>
      </c>
    </row>
    <row r="69" spans="1:26" s="29" customFormat="1" outlineLevel="1" collapsed="1" x14ac:dyDescent="0.3">
      <c r="A69" s="28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SUM(OSRRefD22_15x_0)</f>
        <v>0</v>
      </c>
      <c r="E69" s="1"/>
      <c r="F69" s="5">
        <f t="shared" si="40"/>
        <v>0</v>
      </c>
      <c r="G69" s="1"/>
      <c r="H69" s="1">
        <f>SUM(OSRRefH22_15x_0)</f>
        <v>0</v>
      </c>
      <c r="I69" s="1"/>
      <c r="J69" s="5">
        <f t="shared" si="41"/>
        <v>0</v>
      </c>
      <c r="K69" s="1"/>
      <c r="L69" s="1">
        <f t="shared" si="42"/>
        <v>0</v>
      </c>
      <c r="M69" s="1"/>
      <c r="N69" s="5">
        <f t="shared" si="43"/>
        <v>0</v>
      </c>
      <c r="O69" s="14"/>
      <c r="P69" s="1">
        <f>SUM(OSRRefP22_15x_0)</f>
        <v>1657</v>
      </c>
      <c r="Q69" s="1"/>
      <c r="R69" s="5">
        <f t="shared" si="44"/>
        <v>0</v>
      </c>
      <c r="S69" s="1"/>
      <c r="T69" s="1">
        <f>SUM(OSRRefT22_15x_0)</f>
        <v>2259.9899999999998</v>
      </c>
      <c r="U69" s="1"/>
      <c r="V69" s="5">
        <f t="shared" si="45"/>
        <v>0</v>
      </c>
      <c r="W69" s="1"/>
      <c r="X69" s="1">
        <f t="shared" si="46"/>
        <v>-602.98999999999978</v>
      </c>
      <c r="Y69" s="1"/>
      <c r="Z69" s="5">
        <f t="shared" si="47"/>
        <v>-0.26681091509254456</v>
      </c>
    </row>
    <row r="70" spans="1:26" s="24" customFormat="1" hidden="1" outlineLevel="2" x14ac:dyDescent="0.3">
      <c r="A70" s="27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40"/>
        <v>0</v>
      </c>
      <c r="G70" s="2"/>
      <c r="H70" s="6"/>
      <c r="I70" s="2"/>
      <c r="J70" s="7">
        <f t="shared" si="41"/>
        <v>0</v>
      </c>
      <c r="K70" s="2"/>
      <c r="L70" s="6">
        <f t="shared" si="42"/>
        <v>0</v>
      </c>
      <c r="M70" s="2"/>
      <c r="N70" s="7">
        <f t="shared" si="43"/>
        <v>0</v>
      </c>
      <c r="O70" s="11"/>
      <c r="P70" s="6">
        <v>1657</v>
      </c>
      <c r="Q70" s="2"/>
      <c r="R70" s="7">
        <f t="shared" si="44"/>
        <v>0</v>
      </c>
      <c r="S70" s="2"/>
      <c r="T70" s="6">
        <v>2259.9899999999998</v>
      </c>
      <c r="U70" s="2"/>
      <c r="V70" s="7">
        <f t="shared" si="45"/>
        <v>0</v>
      </c>
      <c r="W70" s="2"/>
      <c r="X70" s="6">
        <f t="shared" si="46"/>
        <v>-602.98999999999978</v>
      </c>
      <c r="Y70" s="2"/>
      <c r="Z70" s="7">
        <f t="shared" si="47"/>
        <v>-0.26681091509254456</v>
      </c>
    </row>
    <row r="71" spans="1:26" s="29" customFormat="1" outlineLevel="1" collapsed="1" x14ac:dyDescent="0.3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SUM(OSRRefD22_16x_0)</f>
        <v>630.96</v>
      </c>
      <c r="E71" s="1"/>
      <c r="F71" s="5">
        <f t="shared" si="40"/>
        <v>0</v>
      </c>
      <c r="G71" s="1"/>
      <c r="H71" s="1">
        <f>SUM(OSRRefH22_16x_0)</f>
        <v>1579.17</v>
      </c>
      <c r="I71" s="1"/>
      <c r="J71" s="5">
        <f t="shared" si="41"/>
        <v>0</v>
      </c>
      <c r="K71" s="1"/>
      <c r="L71" s="1">
        <f t="shared" si="42"/>
        <v>-948.21</v>
      </c>
      <c r="M71" s="1"/>
      <c r="N71" s="5">
        <f t="shared" si="43"/>
        <v>-0.60044833678451337</v>
      </c>
      <c r="O71" s="14"/>
      <c r="P71" s="1">
        <f>SUM(OSRRefP22_16x_0)</f>
        <v>10509.69</v>
      </c>
      <c r="Q71" s="1"/>
      <c r="R71" s="5">
        <f t="shared" si="44"/>
        <v>0</v>
      </c>
      <c r="S71" s="1"/>
      <c r="T71" s="1">
        <f>SUM(OSRRefT22_16x_0)</f>
        <v>-382.53</v>
      </c>
      <c r="U71" s="1"/>
      <c r="V71" s="5">
        <f t="shared" si="45"/>
        <v>0</v>
      </c>
      <c r="W71" s="1"/>
      <c r="X71" s="1">
        <f t="shared" si="46"/>
        <v>10892.220000000001</v>
      </c>
      <c r="Y71" s="1"/>
      <c r="Z71" s="5">
        <f t="shared" si="47"/>
        <v>-28.474158889498867</v>
      </c>
    </row>
    <row r="72" spans="1:26" s="24" customFormat="1" hidden="1" outlineLevel="2" x14ac:dyDescent="0.3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40"/>
        <v>0</v>
      </c>
      <c r="G72" s="2"/>
      <c r="H72" s="6"/>
      <c r="I72" s="2"/>
      <c r="J72" s="7">
        <f t="shared" si="41"/>
        <v>0</v>
      </c>
      <c r="K72" s="2"/>
      <c r="L72" s="6">
        <f t="shared" si="42"/>
        <v>0</v>
      </c>
      <c r="M72" s="2"/>
      <c r="N72" s="7">
        <f t="shared" si="43"/>
        <v>0</v>
      </c>
      <c r="O72" s="11"/>
      <c r="P72" s="6">
        <v>26.1</v>
      </c>
      <c r="Q72" s="2"/>
      <c r="R72" s="7">
        <f t="shared" si="44"/>
        <v>0</v>
      </c>
      <c r="S72" s="2"/>
      <c r="T72" s="6"/>
      <c r="U72" s="2"/>
      <c r="V72" s="7">
        <f t="shared" si="45"/>
        <v>0</v>
      </c>
      <c r="W72" s="2"/>
      <c r="X72" s="6">
        <f t="shared" si="46"/>
        <v>26.1</v>
      </c>
      <c r="Y72" s="2"/>
      <c r="Z72" s="7">
        <f t="shared" si="47"/>
        <v>0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40"/>
        <v>0</v>
      </c>
      <c r="G73" s="2"/>
      <c r="H73" s="6">
        <v>66.12</v>
      </c>
      <c r="I73" s="2"/>
      <c r="J73" s="7">
        <f t="shared" si="41"/>
        <v>0</v>
      </c>
      <c r="K73" s="2"/>
      <c r="L73" s="6">
        <f t="shared" si="42"/>
        <v>-66.12</v>
      </c>
      <c r="M73" s="2"/>
      <c r="N73" s="7">
        <f t="shared" si="43"/>
        <v>-1</v>
      </c>
      <c r="O73" s="11"/>
      <c r="P73" s="6">
        <v>2447.77</v>
      </c>
      <c r="Q73" s="2"/>
      <c r="R73" s="7">
        <f t="shared" si="44"/>
        <v>0</v>
      </c>
      <c r="S73" s="2"/>
      <c r="T73" s="6">
        <v>810.3</v>
      </c>
      <c r="U73" s="2"/>
      <c r="V73" s="7">
        <f t="shared" si="45"/>
        <v>0</v>
      </c>
      <c r="W73" s="2"/>
      <c r="X73" s="6">
        <f t="shared" si="46"/>
        <v>1637.47</v>
      </c>
      <c r="Y73" s="2"/>
      <c r="Z73" s="7">
        <f t="shared" si="47"/>
        <v>2.0208194495865732</v>
      </c>
    </row>
    <row r="74" spans="1:26" s="24" customFormat="1" hidden="1" outlineLevel="2" x14ac:dyDescent="0.3">
      <c r="A74" s="27"/>
      <c r="B74" s="11" t="str">
        <f>CONCATENATE("          ", "6241", " - ", "OFFICE EXPENSE")</f>
        <v xml:space="preserve">          6241 - OFFICE EXPENSE</v>
      </c>
      <c r="C74" s="11"/>
      <c r="D74" s="6">
        <v>580.96</v>
      </c>
      <c r="E74" s="2"/>
      <c r="F74" s="7">
        <f t="shared" si="40"/>
        <v>0</v>
      </c>
      <c r="G74" s="2"/>
      <c r="H74" s="6">
        <v>1513.05</v>
      </c>
      <c r="I74" s="2"/>
      <c r="J74" s="7">
        <f t="shared" si="41"/>
        <v>0</v>
      </c>
      <c r="K74" s="2"/>
      <c r="L74" s="6">
        <f t="shared" si="42"/>
        <v>-932.08999999999992</v>
      </c>
      <c r="M74" s="2"/>
      <c r="N74" s="7">
        <f t="shared" si="43"/>
        <v>-0.61603383893460228</v>
      </c>
      <c r="O74" s="11"/>
      <c r="P74" s="6">
        <v>4651.13</v>
      </c>
      <c r="Q74" s="2"/>
      <c r="R74" s="7">
        <f t="shared" si="44"/>
        <v>0</v>
      </c>
      <c r="S74" s="2"/>
      <c r="T74" s="6">
        <v>-1415.54</v>
      </c>
      <c r="U74" s="2"/>
      <c r="V74" s="7">
        <f t="shared" si="45"/>
        <v>0</v>
      </c>
      <c r="W74" s="2"/>
      <c r="X74" s="6">
        <f t="shared" si="46"/>
        <v>6066.67</v>
      </c>
      <c r="Y74" s="2"/>
      <c r="Z74" s="7">
        <f t="shared" si="47"/>
        <v>-4.2857637368071551</v>
      </c>
    </row>
    <row r="75" spans="1:26" s="24" customFormat="1" hidden="1" outlineLevel="2" x14ac:dyDescent="0.3">
      <c r="A75" s="27"/>
      <c r="B75" s="11" t="str">
        <f>CONCATENATE("          ", "6244", " - ", "SAFETY SUPPLY EXPENSE")</f>
        <v xml:space="preserve">          6244 - SAFETY SUPPLY EXPENSE</v>
      </c>
      <c r="C75" s="11"/>
      <c r="D75" s="6">
        <v>50</v>
      </c>
      <c r="E75" s="2"/>
      <c r="F75" s="7">
        <f t="shared" si="40"/>
        <v>0</v>
      </c>
      <c r="G75" s="2"/>
      <c r="H75" s="6"/>
      <c r="I75" s="2"/>
      <c r="J75" s="7">
        <f t="shared" si="41"/>
        <v>0</v>
      </c>
      <c r="K75" s="2"/>
      <c r="L75" s="6">
        <f t="shared" si="42"/>
        <v>50</v>
      </c>
      <c r="M75" s="2"/>
      <c r="N75" s="7">
        <f t="shared" si="43"/>
        <v>0</v>
      </c>
      <c r="O75" s="11"/>
      <c r="P75" s="6">
        <v>600</v>
      </c>
      <c r="Q75" s="2"/>
      <c r="R75" s="7">
        <f t="shared" si="44"/>
        <v>0</v>
      </c>
      <c r="S75" s="2"/>
      <c r="T75" s="6">
        <v>222.71</v>
      </c>
      <c r="U75" s="2"/>
      <c r="V75" s="7">
        <f t="shared" si="45"/>
        <v>0</v>
      </c>
      <c r="W75" s="2"/>
      <c r="X75" s="6">
        <f t="shared" si="46"/>
        <v>377.28999999999996</v>
      </c>
      <c r="Y75" s="2"/>
      <c r="Z75" s="7">
        <f t="shared" si="47"/>
        <v>1.6940864801760134</v>
      </c>
    </row>
    <row r="76" spans="1:26" s="24" customFormat="1" hidden="1" outlineLevel="2" x14ac:dyDescent="0.3">
      <c r="A76" s="27"/>
      <c r="B76" s="11" t="str">
        <f>CONCATENATE("          ", "6248", " - ", "UNIFORMS")</f>
        <v xml:space="preserve">          6248 - UNIFORMS</v>
      </c>
      <c r="C76" s="11"/>
      <c r="D76" s="6"/>
      <c r="E76" s="2"/>
      <c r="F76" s="7">
        <f t="shared" si="40"/>
        <v>0</v>
      </c>
      <c r="G76" s="2"/>
      <c r="H76" s="6"/>
      <c r="I76" s="2"/>
      <c r="J76" s="7">
        <f t="shared" si="41"/>
        <v>0</v>
      </c>
      <c r="K76" s="2"/>
      <c r="L76" s="6">
        <f t="shared" si="42"/>
        <v>0</v>
      </c>
      <c r="M76" s="2"/>
      <c r="N76" s="7">
        <f t="shared" si="43"/>
        <v>0</v>
      </c>
      <c r="O76" s="11"/>
      <c r="P76" s="6">
        <v>2784.69</v>
      </c>
      <c r="Q76" s="2"/>
      <c r="R76" s="7">
        <f t="shared" si="44"/>
        <v>0</v>
      </c>
      <c r="S76" s="2"/>
      <c r="T76" s="6"/>
      <c r="U76" s="2"/>
      <c r="V76" s="7">
        <f t="shared" si="45"/>
        <v>0</v>
      </c>
      <c r="W76" s="2"/>
      <c r="X76" s="6">
        <f t="shared" si="46"/>
        <v>2784.69</v>
      </c>
      <c r="Y76" s="2"/>
      <c r="Z76" s="7">
        <f t="shared" si="47"/>
        <v>0</v>
      </c>
    </row>
    <row r="77" spans="1:26" s="29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SUM(OSRRefD22_17x_0)</f>
        <v>2393.02</v>
      </c>
      <c r="E77" s="1"/>
      <c r="F77" s="5">
        <f t="shared" ref="F77:F79" si="48">IF(D$12=0,0,D77/D$12)</f>
        <v>0</v>
      </c>
      <c r="G77" s="1"/>
      <c r="H77" s="1">
        <f>SUM(OSRRefH22_17x_0)</f>
        <v>1878.28</v>
      </c>
      <c r="I77" s="1"/>
      <c r="J77" s="5">
        <f t="shared" ref="J77:J79" si="49">IF(H$12=0,0,H77/H$12)</f>
        <v>0</v>
      </c>
      <c r="K77" s="1"/>
      <c r="L77" s="1">
        <f t="shared" ref="L77:L79" si="50">+D77-H77</f>
        <v>514.74</v>
      </c>
      <c r="M77" s="1"/>
      <c r="N77" s="5">
        <f t="shared" ref="N77:N79" si="51">IF(H77=0,0,L77/H77)</f>
        <v>0.27404859765317208</v>
      </c>
      <c r="O77" s="14"/>
      <c r="P77" s="1">
        <f>SUM(OSRRefP22_17x_0)</f>
        <v>12216.359999999999</v>
      </c>
      <c r="Q77" s="1"/>
      <c r="R77" s="5">
        <f t="shared" ref="R77:R79" si="52">IF(P$12=0,0,P77/P$12)</f>
        <v>0</v>
      </c>
      <c r="S77" s="1"/>
      <c r="T77" s="1">
        <f>SUM(OSRRefT22_17x_0)</f>
        <v>10046.48</v>
      </c>
      <c r="U77" s="1"/>
      <c r="V77" s="5">
        <f t="shared" ref="V77:V79" si="53">IF(T$12=0,0,T77/T$12)</f>
        <v>0</v>
      </c>
      <c r="W77" s="1"/>
      <c r="X77" s="1">
        <f t="shared" ref="X77:X79" si="54">+P77-T77</f>
        <v>2169.8799999999992</v>
      </c>
      <c r="Y77" s="1"/>
      <c r="Z77" s="5">
        <f t="shared" ref="Z77:Z79" si="55">IF(T77=0,0,X77/T77)</f>
        <v>0.21598410587588879</v>
      </c>
    </row>
    <row r="78" spans="1:26" s="24" customFormat="1" hidden="1" outlineLevel="2" x14ac:dyDescent="0.3">
      <c r="A78" s="27"/>
      <c r="B78" s="11" t="str">
        <f>CONCATENATE("          ", "6303", " - ", "DATA PHONE LINES")</f>
        <v xml:space="preserve">          6303 - DATA PHONE LINES</v>
      </c>
      <c r="C78" s="11"/>
      <c r="D78" s="6">
        <v>170.98</v>
      </c>
      <c r="E78" s="2"/>
      <c r="F78" s="7">
        <f t="shared" si="48"/>
        <v>0</v>
      </c>
      <c r="G78" s="2"/>
      <c r="H78" s="6">
        <v>144.97999999999999</v>
      </c>
      <c r="I78" s="2"/>
      <c r="J78" s="7">
        <f t="shared" si="49"/>
        <v>0</v>
      </c>
      <c r="K78" s="2"/>
      <c r="L78" s="6">
        <f t="shared" si="50"/>
        <v>26</v>
      </c>
      <c r="M78" s="2"/>
      <c r="N78" s="7">
        <f t="shared" si="51"/>
        <v>0.17933508070078633</v>
      </c>
      <c r="O78" s="11"/>
      <c r="P78" s="6">
        <v>827.9</v>
      </c>
      <c r="Q78" s="2"/>
      <c r="R78" s="7">
        <f t="shared" si="52"/>
        <v>0</v>
      </c>
      <c r="S78" s="2"/>
      <c r="T78" s="6">
        <v>525.92999999999995</v>
      </c>
      <c r="U78" s="2"/>
      <c r="V78" s="7">
        <f t="shared" si="53"/>
        <v>0</v>
      </c>
      <c r="W78" s="2"/>
      <c r="X78" s="6">
        <f t="shared" si="54"/>
        <v>301.97000000000003</v>
      </c>
      <c r="Y78" s="2"/>
      <c r="Z78" s="7">
        <f t="shared" si="55"/>
        <v>0.5741638621109274</v>
      </c>
    </row>
    <row r="79" spans="1:26" s="24" customFormat="1" hidden="1" outlineLevel="2" x14ac:dyDescent="0.3">
      <c r="A79" s="27"/>
      <c r="B79" s="11" t="str">
        <f>CONCATENATE("          ", "6309", " - ", "TELEPHONE")</f>
        <v xml:space="preserve">          6309 - TELEPHONE</v>
      </c>
      <c r="C79" s="11"/>
      <c r="D79" s="6">
        <v>2222.04</v>
      </c>
      <c r="E79" s="2"/>
      <c r="F79" s="7">
        <f t="shared" si="48"/>
        <v>0</v>
      </c>
      <c r="G79" s="2"/>
      <c r="H79" s="6">
        <v>1733.3</v>
      </c>
      <c r="I79" s="2"/>
      <c r="J79" s="7">
        <f t="shared" si="49"/>
        <v>0</v>
      </c>
      <c r="K79" s="2"/>
      <c r="L79" s="6">
        <f t="shared" si="50"/>
        <v>488.74</v>
      </c>
      <c r="M79" s="2"/>
      <c r="N79" s="7">
        <f t="shared" si="51"/>
        <v>0.28197080713090639</v>
      </c>
      <c r="O79" s="11"/>
      <c r="P79" s="6">
        <v>11388.46</v>
      </c>
      <c r="Q79" s="2"/>
      <c r="R79" s="7">
        <f t="shared" si="52"/>
        <v>0</v>
      </c>
      <c r="S79" s="2"/>
      <c r="T79" s="6">
        <v>9520.5499999999993</v>
      </c>
      <c r="U79" s="2"/>
      <c r="V79" s="7">
        <f t="shared" si="53"/>
        <v>0</v>
      </c>
      <c r="W79" s="2"/>
      <c r="X79" s="6">
        <f t="shared" si="54"/>
        <v>1867.9099999999999</v>
      </c>
      <c r="Y79" s="2"/>
      <c r="Z79" s="7">
        <f t="shared" si="55"/>
        <v>0.19619769866236719</v>
      </c>
    </row>
    <row r="80" spans="1:26" s="29" customFormat="1" outlineLevel="1" collapsed="1" x14ac:dyDescent="0.3">
      <c r="A80" s="28"/>
      <c r="B80" s="14" t="str">
        <f>CONCATENATE("     ","Training                                          ")</f>
        <v xml:space="preserve">     Training                                          </v>
      </c>
      <c r="C80" s="14"/>
      <c r="D80" s="1">
        <f>SUM(OSRRefD22_18x_0)</f>
        <v>595</v>
      </c>
      <c r="E80" s="1"/>
      <c r="F80" s="5">
        <f t="shared" ref="F80:F84" si="56">IF(D$12=0,0,D80/D$12)</f>
        <v>0</v>
      </c>
      <c r="G80" s="1"/>
      <c r="H80" s="1">
        <f>SUM(OSRRefH22_18x_0)</f>
        <v>1126.5</v>
      </c>
      <c r="I80" s="1"/>
      <c r="J80" s="5">
        <f t="shared" ref="J80:J84" si="57">IF(H$12=0,0,H80/H$12)</f>
        <v>0</v>
      </c>
      <c r="K80" s="1"/>
      <c r="L80" s="1">
        <f t="shared" ref="L80:L84" si="58">+D80-H80</f>
        <v>-531.5</v>
      </c>
      <c r="M80" s="1"/>
      <c r="N80" s="5">
        <f t="shared" ref="N80:N84" si="59">IF(H80=0,0,L80/H80)</f>
        <v>-0.47181535730137597</v>
      </c>
      <c r="O80" s="14"/>
      <c r="P80" s="1">
        <f>SUM(OSRRefP22_18x_0)</f>
        <v>1665</v>
      </c>
      <c r="Q80" s="1"/>
      <c r="R80" s="5">
        <f t="shared" ref="R80:R84" si="60">IF(P$12=0,0,P80/P$12)</f>
        <v>0</v>
      </c>
      <c r="S80" s="1"/>
      <c r="T80" s="1">
        <f>SUM(OSRRefT22_18x_0)</f>
        <v>1427.5</v>
      </c>
      <c r="U80" s="1"/>
      <c r="V80" s="5">
        <f t="shared" ref="V80:V84" si="61">IF(T$12=0,0,T80/T$12)</f>
        <v>0</v>
      </c>
      <c r="W80" s="1"/>
      <c r="X80" s="1">
        <f t="shared" ref="X80:X84" si="62">+P80-T80</f>
        <v>237.5</v>
      </c>
      <c r="Y80" s="1"/>
      <c r="Z80" s="5">
        <f t="shared" ref="Z80:Z84" si="63">IF(T80=0,0,X80/T80)</f>
        <v>0.16637478108581435</v>
      </c>
    </row>
    <row r="81" spans="1:26" s="24" customFormat="1" hidden="1" outlineLevel="2" x14ac:dyDescent="0.3">
      <c r="A81" s="27"/>
      <c r="B81" s="11" t="str">
        <f>CONCATENATE("          ", "6376", " - ", "TRAINING")</f>
        <v xml:space="preserve">          6376 - TRAINING</v>
      </c>
      <c r="C81" s="11"/>
      <c r="D81" s="6">
        <v>595</v>
      </c>
      <c r="E81" s="2"/>
      <c r="F81" s="7">
        <f t="shared" si="56"/>
        <v>0</v>
      </c>
      <c r="G81" s="2"/>
      <c r="H81" s="6">
        <v>1126.5</v>
      </c>
      <c r="I81" s="2"/>
      <c r="J81" s="7">
        <f t="shared" si="57"/>
        <v>0</v>
      </c>
      <c r="K81" s="2"/>
      <c r="L81" s="6">
        <f t="shared" si="58"/>
        <v>-531.5</v>
      </c>
      <c r="M81" s="2"/>
      <c r="N81" s="7">
        <f t="shared" si="59"/>
        <v>-0.47181535730137597</v>
      </c>
      <c r="O81" s="11"/>
      <c r="P81" s="6">
        <v>1665</v>
      </c>
      <c r="Q81" s="2"/>
      <c r="R81" s="7">
        <f t="shared" si="60"/>
        <v>0</v>
      </c>
      <c r="S81" s="2"/>
      <c r="T81" s="6">
        <v>1427.5</v>
      </c>
      <c r="U81" s="2"/>
      <c r="V81" s="7">
        <f t="shared" si="61"/>
        <v>0</v>
      </c>
      <c r="W81" s="2"/>
      <c r="X81" s="6">
        <f t="shared" si="62"/>
        <v>237.5</v>
      </c>
      <c r="Y81" s="2"/>
      <c r="Z81" s="7">
        <f t="shared" si="63"/>
        <v>0.16637478108581435</v>
      </c>
    </row>
    <row r="82" spans="1:26" s="29" customFormat="1" outlineLevel="1" collapsed="1" x14ac:dyDescent="0.3">
      <c r="A82" s="28"/>
      <c r="B82" s="14" t="str">
        <f>CONCATENATE("     ","Travel                                            ")</f>
        <v xml:space="preserve">     Travel                                            </v>
      </c>
      <c r="C82" s="14"/>
      <c r="D82" s="1">
        <f>SUM(OSRRefD22_19x_0)</f>
        <v>0</v>
      </c>
      <c r="E82" s="1"/>
      <c r="F82" s="5">
        <f t="shared" si="56"/>
        <v>0</v>
      </c>
      <c r="G82" s="1"/>
      <c r="H82" s="1">
        <f>SUM(OSRRefH22_19x_0)</f>
        <v>720</v>
      </c>
      <c r="I82" s="1"/>
      <c r="J82" s="5">
        <f t="shared" si="57"/>
        <v>0</v>
      </c>
      <c r="K82" s="1"/>
      <c r="L82" s="1">
        <f t="shared" si="58"/>
        <v>-720</v>
      </c>
      <c r="M82" s="1"/>
      <c r="N82" s="5">
        <f t="shared" si="59"/>
        <v>-1</v>
      </c>
      <c r="O82" s="14"/>
      <c r="P82" s="1">
        <f>SUM(OSRRefP22_19x_0)</f>
        <v>30.4</v>
      </c>
      <c r="Q82" s="1"/>
      <c r="R82" s="5">
        <f t="shared" si="60"/>
        <v>0</v>
      </c>
      <c r="S82" s="1"/>
      <c r="T82" s="1">
        <f>SUM(OSRRefT22_19x_0)</f>
        <v>766.62</v>
      </c>
      <c r="U82" s="1"/>
      <c r="V82" s="5">
        <f t="shared" si="61"/>
        <v>0</v>
      </c>
      <c r="W82" s="1"/>
      <c r="X82" s="1">
        <f t="shared" si="62"/>
        <v>-736.22</v>
      </c>
      <c r="Y82" s="1"/>
      <c r="Z82" s="5">
        <f t="shared" si="63"/>
        <v>-0.96034541232944615</v>
      </c>
    </row>
    <row r="83" spans="1:26" s="24" customFormat="1" hidden="1" outlineLevel="2" x14ac:dyDescent="0.3">
      <c r="A83" s="27"/>
      <c r="B83" s="11" t="str">
        <f>CONCATENATE("          ", "6292", " - ", "TRAVEL/CONFERENCE")</f>
        <v xml:space="preserve">          6292 - TRAVEL/CONFERENCE</v>
      </c>
      <c r="C83" s="11"/>
      <c r="D83" s="6"/>
      <c r="E83" s="2"/>
      <c r="F83" s="7">
        <f t="shared" si="56"/>
        <v>0</v>
      </c>
      <c r="G83" s="2"/>
      <c r="H83" s="6">
        <v>720</v>
      </c>
      <c r="I83" s="2"/>
      <c r="J83" s="7">
        <f t="shared" si="57"/>
        <v>0</v>
      </c>
      <c r="K83" s="2"/>
      <c r="L83" s="6">
        <f t="shared" si="58"/>
        <v>-720</v>
      </c>
      <c r="M83" s="2"/>
      <c r="N83" s="7">
        <f t="shared" si="59"/>
        <v>-1</v>
      </c>
      <c r="O83" s="11"/>
      <c r="P83" s="6"/>
      <c r="Q83" s="2"/>
      <c r="R83" s="7">
        <f t="shared" si="60"/>
        <v>0</v>
      </c>
      <c r="S83" s="2"/>
      <c r="T83" s="6">
        <v>720</v>
      </c>
      <c r="U83" s="2"/>
      <c r="V83" s="7">
        <f t="shared" si="61"/>
        <v>0</v>
      </c>
      <c r="W83" s="2"/>
      <c r="X83" s="6">
        <f t="shared" si="62"/>
        <v>-720</v>
      </c>
      <c r="Y83" s="2"/>
      <c r="Z83" s="7">
        <f t="shared" si="63"/>
        <v>-1</v>
      </c>
    </row>
    <row r="84" spans="1:26" s="24" customFormat="1" hidden="1" outlineLevel="2" x14ac:dyDescent="0.3">
      <c r="A84" s="27"/>
      <c r="B84" s="11" t="str">
        <f>CONCATENATE("          ", "6294", " - ", "TRAVEL OPERATIONAL")</f>
        <v xml:space="preserve">          6294 - TRAVEL OPERATIONAL</v>
      </c>
      <c r="C84" s="11"/>
      <c r="D84" s="6"/>
      <c r="E84" s="2"/>
      <c r="F84" s="7">
        <f t="shared" si="56"/>
        <v>0</v>
      </c>
      <c r="G84" s="2"/>
      <c r="H84" s="6"/>
      <c r="I84" s="2"/>
      <c r="J84" s="7">
        <f t="shared" si="57"/>
        <v>0</v>
      </c>
      <c r="K84" s="2"/>
      <c r="L84" s="6">
        <f t="shared" si="58"/>
        <v>0</v>
      </c>
      <c r="M84" s="2"/>
      <c r="N84" s="7">
        <f t="shared" si="59"/>
        <v>0</v>
      </c>
      <c r="O84" s="11"/>
      <c r="P84" s="6">
        <v>30.4</v>
      </c>
      <c r="Q84" s="2"/>
      <c r="R84" s="7">
        <f t="shared" si="60"/>
        <v>0</v>
      </c>
      <c r="S84" s="2"/>
      <c r="T84" s="6">
        <v>46.62</v>
      </c>
      <c r="U84" s="2"/>
      <c r="V84" s="7">
        <f t="shared" si="61"/>
        <v>0</v>
      </c>
      <c r="W84" s="2"/>
      <c r="X84" s="6">
        <f t="shared" si="62"/>
        <v>-16.22</v>
      </c>
      <c r="Y84" s="2"/>
      <c r="Z84" s="7">
        <f t="shared" si="63"/>
        <v>-0.34791934791934792</v>
      </c>
    </row>
    <row r="85" spans="1:26" s="62" customFormat="1" x14ac:dyDescent="0.3">
      <c r="A85" s="37"/>
      <c r="B85" s="37"/>
      <c r="C85" s="37"/>
      <c r="D85" s="1"/>
      <c r="E85" s="1"/>
      <c r="F85" s="5"/>
      <c r="G85" s="1"/>
      <c r="H85" s="1"/>
      <c r="I85" s="1"/>
      <c r="J85" s="5"/>
      <c r="K85" s="1"/>
      <c r="L85" s="1"/>
      <c r="M85" s="1"/>
      <c r="N85" s="5"/>
      <c r="O85" s="37"/>
      <c r="P85" s="1"/>
      <c r="Q85" s="1"/>
      <c r="R85" s="5"/>
      <c r="S85" s="1"/>
      <c r="T85" s="1"/>
      <c r="U85" s="1"/>
      <c r="V85" s="5"/>
      <c r="W85" s="1"/>
      <c r="X85" s="1"/>
      <c r="Y85" s="1"/>
      <c r="Z85" s="5"/>
    </row>
    <row r="86" spans="1:26" s="23" customFormat="1" x14ac:dyDescent="0.3">
      <c r="A86" s="10"/>
      <c r="B86" s="26" t="s">
        <v>292</v>
      </c>
      <c r="C86" s="10"/>
      <c r="D86" s="4">
        <f>SUM(0)</f>
        <v>0</v>
      </c>
      <c r="E86" s="4"/>
      <c r="F86" s="12">
        <f>IF(D$12=0,0,D86/D$12)</f>
        <v>0</v>
      </c>
      <c r="G86" s="4"/>
      <c r="H86" s="4">
        <f>SUM(0)</f>
        <v>0</v>
      </c>
      <c r="I86" s="4"/>
      <c r="J86" s="12">
        <f>IF(H$12=0,0,H86/H$12)</f>
        <v>0</v>
      </c>
      <c r="K86" s="4"/>
      <c r="L86" s="4">
        <f>+D86-H86</f>
        <v>0</v>
      </c>
      <c r="M86" s="4"/>
      <c r="N86" s="12">
        <f>IF(H86=0,0,L86/H86)</f>
        <v>0</v>
      </c>
      <c r="O86" s="10"/>
      <c r="P86" s="4">
        <f>SUM(0)</f>
        <v>0</v>
      </c>
      <c r="Q86" s="4"/>
      <c r="R86" s="12">
        <f>IF(P$12=0,0,P86/P$12)</f>
        <v>0</v>
      </c>
      <c r="S86" s="4"/>
      <c r="T86" s="4">
        <f>SUM(0)</f>
        <v>0</v>
      </c>
      <c r="U86" s="4"/>
      <c r="V86" s="12">
        <f>IF(T$12=0,0,T86/T$12)</f>
        <v>0</v>
      </c>
      <c r="W86" s="4"/>
      <c r="X86" s="4">
        <f>+P86-T86</f>
        <v>0</v>
      </c>
      <c r="Y86" s="4"/>
      <c r="Z86" s="12">
        <f>IF(T86=0,0,X86/T86)</f>
        <v>0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10"/>
      <c r="B88" s="25" t="s">
        <v>276</v>
      </c>
      <c r="C88" s="25"/>
      <c r="D88" s="21">
        <f>+D16-D18+D86</f>
        <v>-242860.23000000007</v>
      </c>
      <c r="E88" s="13"/>
      <c r="F88" s="22">
        <f>IF(D$12=0,0,D88/D$12)</f>
        <v>0</v>
      </c>
      <c r="G88" s="13"/>
      <c r="H88" s="21">
        <f>+H16-H18+H86</f>
        <v>183271.43000000002</v>
      </c>
      <c r="I88" s="13"/>
      <c r="J88" s="22">
        <f>IF(H$12=0,0,H88/H$12)</f>
        <v>0</v>
      </c>
      <c r="K88" s="16"/>
      <c r="L88" s="21">
        <f>+D88-H88</f>
        <v>-426131.66000000009</v>
      </c>
      <c r="M88" s="16"/>
      <c r="N88" s="22">
        <f>IF(H88=0,0,L88/H88)</f>
        <v>-2.3251396030466944</v>
      </c>
      <c r="O88" s="26"/>
      <c r="P88" s="21">
        <f>+P16-P18+P86</f>
        <v>-1152716.8499999999</v>
      </c>
      <c r="Q88" s="13"/>
      <c r="R88" s="22">
        <f>IF(P$12=0,0,P88/P$12)</f>
        <v>0</v>
      </c>
      <c r="S88" s="13"/>
      <c r="T88" s="21">
        <f>+T16-T18+T86</f>
        <v>-740376.26000000024</v>
      </c>
      <c r="U88" s="13"/>
      <c r="V88" s="22">
        <f>IF(T$12=0,0,T88/T$12)</f>
        <v>0</v>
      </c>
      <c r="W88" s="16"/>
      <c r="X88" s="21">
        <f>+P88-T88</f>
        <v>-412340.58999999962</v>
      </c>
      <c r="Y88" s="16"/>
      <c r="Z88" s="22">
        <f>IF(T88=0,0,X88/T88)</f>
        <v>0.55693383523669371</v>
      </c>
    </row>
    <row r="89" spans="1:26" x14ac:dyDescent="0.3">
      <c r="A89" s="9"/>
      <c r="B89" s="10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51"/>
      <c r="B90" s="10" t="s">
        <v>127</v>
      </c>
      <c r="C90" s="10"/>
      <c r="D90" s="4"/>
      <c r="E90" s="4"/>
      <c r="F90" s="12">
        <f>IF(D$12=0,0,D90/D$12)</f>
        <v>0</v>
      </c>
      <c r="G90" s="4"/>
      <c r="H90" s="4"/>
      <c r="I90" s="4"/>
      <c r="J90" s="12">
        <f>IF(H$12=0,0,H90/H$12)</f>
        <v>0</v>
      </c>
      <c r="K90" s="4"/>
      <c r="L90" s="4">
        <f>+D90-H90</f>
        <v>0</v>
      </c>
      <c r="M90" s="4"/>
      <c r="N90" s="12">
        <f>IF(H90=0,0,L90/H90)</f>
        <v>0</v>
      </c>
      <c r="O90" s="10"/>
      <c r="P90" s="4"/>
      <c r="Q90" s="4"/>
      <c r="R90" s="12">
        <f>IF(P$12=0,0,P90/P$12)</f>
        <v>0</v>
      </c>
      <c r="S90" s="4"/>
      <c r="T90" s="4"/>
      <c r="U90" s="4"/>
      <c r="V90" s="12">
        <f>IF(T$12=0,0,T90/T$12)</f>
        <v>0</v>
      </c>
      <c r="W90" s="4"/>
      <c r="X90" s="4">
        <f>+P90-T90</f>
        <v>0</v>
      </c>
      <c r="Y90" s="4"/>
      <c r="Z90" s="12">
        <f>IF(T90=0,0,X90/T90)</f>
        <v>0</v>
      </c>
    </row>
    <row r="91" spans="1:26" x14ac:dyDescent="0.3">
      <c r="A91" s="9"/>
      <c r="B91" s="10"/>
      <c r="C91" s="10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O91" s="10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ht="15" thickBot="1" x14ac:dyDescent="0.35">
      <c r="A92" s="10"/>
      <c r="B92" s="25" t="s">
        <v>125</v>
      </c>
      <c r="C92" s="25"/>
      <c r="D92" s="35">
        <f>+D88-D90</f>
        <v>-242860.23000000007</v>
      </c>
      <c r="E92" s="13"/>
      <c r="F92" s="31">
        <f>IF(D$12=0,0,D92/D$12)</f>
        <v>0</v>
      </c>
      <c r="G92" s="13"/>
      <c r="H92" s="35">
        <f>+H88-H90</f>
        <v>183271.43000000002</v>
      </c>
      <c r="I92" s="13"/>
      <c r="J92" s="31">
        <f>IF(H$12=0,0,H92/H$12)</f>
        <v>0</v>
      </c>
      <c r="K92" s="16"/>
      <c r="L92" s="35">
        <f>D92-H92</f>
        <v>-426131.66000000009</v>
      </c>
      <c r="M92" s="16"/>
      <c r="N92" s="31">
        <f>IF(H92=0,0,L92/H92)</f>
        <v>-2.3251396030466944</v>
      </c>
      <c r="O92" s="26"/>
      <c r="P92" s="35">
        <f>+P88-P90</f>
        <v>-1152716.8499999999</v>
      </c>
      <c r="Q92" s="13"/>
      <c r="R92" s="31">
        <f>IF(P$12=0,0,P92/P$12)</f>
        <v>0</v>
      </c>
      <c r="S92" s="13"/>
      <c r="T92" s="35">
        <f>+T88-T90</f>
        <v>-740376.26000000024</v>
      </c>
      <c r="U92" s="13"/>
      <c r="V92" s="31">
        <f>IF(T$12=0,0,T92/T$12)</f>
        <v>0</v>
      </c>
      <c r="W92" s="16"/>
      <c r="X92" s="35">
        <f>P92-T92</f>
        <v>-412340.58999999962</v>
      </c>
      <c r="Y92" s="16"/>
      <c r="Z92" s="31">
        <f>IF(T92=0,0,X92/T92)</f>
        <v>0.55693383523669371</v>
      </c>
    </row>
    <row r="93" spans="1:26" ht="15" thickTop="1" x14ac:dyDescent="0.3">
      <c r="A93" s="9"/>
      <c r="B93" s="9"/>
      <c r="C93" s="9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x14ac:dyDescent="0.3">
      <c r="A94" s="9"/>
      <c r="B94" s="9"/>
      <c r="C94" s="9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ht="15" thickBot="1" x14ac:dyDescent="0.35">
      <c r="A95" s="10"/>
      <c r="B95" s="25" t="s">
        <v>293</v>
      </c>
      <c r="C95" s="25"/>
      <c r="D95" s="36">
        <f>SUM(D92:D94)</f>
        <v>-242860.23000000007</v>
      </c>
      <c r="E95" s="13"/>
      <c r="F95" s="33">
        <f>IF(D$12=0,0,D95/D$12)</f>
        <v>0</v>
      </c>
      <c r="G95" s="13"/>
      <c r="H95" s="36">
        <f>SUM(H92:H94)</f>
        <v>183271.43000000002</v>
      </c>
      <c r="I95" s="13"/>
      <c r="J95" s="33">
        <f>IF(H$12=0,0,H95/H$12)</f>
        <v>0</v>
      </c>
      <c r="K95" s="16"/>
      <c r="L95" s="36">
        <f>+D95-H95</f>
        <v>-426131.66000000009</v>
      </c>
      <c r="M95" s="16"/>
      <c r="N95" s="33">
        <f>IF(H95=0,0,L95/H95)</f>
        <v>-2.3251396030466944</v>
      </c>
      <c r="O95" s="26"/>
      <c r="P95" s="36">
        <f>SUM(P92:P94)</f>
        <v>-1152716.8499999999</v>
      </c>
      <c r="Q95" s="13"/>
      <c r="R95" s="33">
        <f>IF(P$12=0,0,P95/P$12)</f>
        <v>0</v>
      </c>
      <c r="S95" s="13"/>
      <c r="T95" s="36">
        <f>SUM(T92:T94)</f>
        <v>-740376.26000000024</v>
      </c>
      <c r="U95" s="13"/>
      <c r="V95" s="33">
        <f>IF(T$12=0,0,T95/T$12)</f>
        <v>0</v>
      </c>
      <c r="W95" s="16"/>
      <c r="X95" s="36">
        <f>+P95-T95</f>
        <v>-412340.58999999962</v>
      </c>
      <c r="Y95" s="16"/>
      <c r="Z95" s="33">
        <f>IF(T95=0,0,X95/T95)</f>
        <v>0.55693383523669371</v>
      </c>
    </row>
    <row r="96" spans="1:26" ht="15" thickTop="1" x14ac:dyDescent="0.3">
      <c r="A96" s="9"/>
      <c r="C96" s="9"/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52">
        <v>44543.765546840281</v>
      </c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A98" s="9"/>
      <c r="B98" s="59" t="s">
        <v>56</v>
      </c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4" x14ac:dyDescent="0.3">
      <c r="A99" s="9"/>
      <c r="B99" s="61"/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4" x14ac:dyDescent="0.3"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</sheetData>
  <pageMargins left="0.25" right="0.25" top="0.75" bottom="0.75" header="0.3" footer="0.3"/>
  <pageSetup scale="55" fitToWidth="2" orientation="landscape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","200", " - ", "Corporate Expense")</f>
        <v>Department 200 - Corporate Expense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29097.55</v>
      </c>
      <c r="E18" s="20"/>
      <c r="F18" s="32">
        <f t="shared" ref="F18:F26" si="0">IF(D$12=0,0,D18/D$12)</f>
        <v>0</v>
      </c>
      <c r="G18" s="20"/>
      <c r="H18" s="20">
        <f>SUM(OSRRefH22x_0)</f>
        <v>-368849.51000000007</v>
      </c>
      <c r="I18" s="20"/>
      <c r="J18" s="32">
        <f t="shared" ref="J18:J26" si="1">IF(H$12=0,0,H18/H$12)</f>
        <v>0</v>
      </c>
      <c r="K18" s="4"/>
      <c r="L18" s="20">
        <f t="shared" ref="L18:L26" si="2">+D18-H18</f>
        <v>397947.06000000006</v>
      </c>
      <c r="M18" s="4"/>
      <c r="N18" s="32">
        <f t="shared" ref="N18:N26" si="3">IF(H18=0,0,L18/H18)</f>
        <v>-1.0788873218240143</v>
      </c>
      <c r="O18" s="10"/>
      <c r="P18" s="20">
        <f>SUM(OSRRefP22x_0)</f>
        <v>169665.84999999998</v>
      </c>
      <c r="Q18" s="20"/>
      <c r="R18" s="32">
        <f t="shared" ref="R18:R26" si="4">IF(P$12=0,0,P18/P$12)</f>
        <v>0</v>
      </c>
      <c r="S18" s="20"/>
      <c r="T18" s="20">
        <f>SUM(OSRRefT22x_0)</f>
        <v>-213840.4</v>
      </c>
      <c r="U18" s="20"/>
      <c r="V18" s="32">
        <f t="shared" ref="V18:V26" si="5">IF(T$12=0,0,T18/T$12)</f>
        <v>0</v>
      </c>
      <c r="W18" s="4"/>
      <c r="X18" s="20">
        <f t="shared" ref="X18:X26" si="6">+P18-T18</f>
        <v>383506.25</v>
      </c>
      <c r="Y18" s="4"/>
      <c r="Z18" s="32">
        <f t="shared" ref="Z18:Z26" si="7">IF(T18=0,0,X18/T18)</f>
        <v>-1.7934228050452581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27384.04</v>
      </c>
      <c r="E19" s="1"/>
      <c r="F19" s="5">
        <f t="shared" si="0"/>
        <v>0</v>
      </c>
      <c r="G19" s="1"/>
      <c r="H19" s="1">
        <f>SUM(OSRRefH22_0x_0)</f>
        <v>-369662.33</v>
      </c>
      <c r="I19" s="1"/>
      <c r="J19" s="5">
        <f t="shared" si="1"/>
        <v>0</v>
      </c>
      <c r="K19" s="1"/>
      <c r="L19" s="1">
        <f t="shared" si="2"/>
        <v>397046.37</v>
      </c>
      <c r="M19" s="1"/>
      <c r="N19" s="5">
        <f t="shared" si="3"/>
        <v>-1.0740785245821503</v>
      </c>
      <c r="O19" s="14"/>
      <c r="P19" s="1">
        <f>SUM(OSRRefP22_0x_0)</f>
        <v>137041.29999999999</v>
      </c>
      <c r="Q19" s="1"/>
      <c r="R19" s="5">
        <f t="shared" si="4"/>
        <v>0</v>
      </c>
      <c r="S19" s="1"/>
      <c r="T19" s="1">
        <f>SUM(OSRRefT22_0x_0)</f>
        <v>-247256.65</v>
      </c>
      <c r="U19" s="1"/>
      <c r="V19" s="5">
        <f t="shared" si="5"/>
        <v>0</v>
      </c>
      <c r="W19" s="1"/>
      <c r="X19" s="1">
        <f t="shared" si="6"/>
        <v>384297.94999999995</v>
      </c>
      <c r="Y19" s="1"/>
      <c r="Z19" s="5">
        <f t="shared" si="7"/>
        <v>-1.5542471759606868</v>
      </c>
    </row>
    <row r="20" spans="1:26" s="24" customFormat="1" hidden="1" outlineLevel="2" x14ac:dyDescent="0.3">
      <c r="A20" s="27"/>
      <c r="B20" s="11" t="str">
        <f>CONCATENATE("          ", "6120", " - ", "RETIREES HEALTH INSURANCE")</f>
        <v xml:space="preserve">          6120 - RETIREES HEALTH INSURANCE</v>
      </c>
      <c r="C20" s="11"/>
      <c r="D20" s="6">
        <v>27384.04</v>
      </c>
      <c r="E20" s="2"/>
      <c r="F20" s="7">
        <f t="shared" si="0"/>
        <v>0</v>
      </c>
      <c r="G20" s="2"/>
      <c r="H20" s="6">
        <v>-369662.33</v>
      </c>
      <c r="I20" s="2"/>
      <c r="J20" s="7">
        <f t="shared" si="1"/>
        <v>0</v>
      </c>
      <c r="K20" s="2"/>
      <c r="L20" s="6">
        <f t="shared" si="2"/>
        <v>397046.37</v>
      </c>
      <c r="M20" s="2"/>
      <c r="N20" s="7">
        <f t="shared" si="3"/>
        <v>-1.0740785245821503</v>
      </c>
      <c r="O20" s="11"/>
      <c r="P20" s="6">
        <v>137041.29999999999</v>
      </c>
      <c r="Q20" s="2"/>
      <c r="R20" s="7">
        <f t="shared" si="4"/>
        <v>0</v>
      </c>
      <c r="S20" s="2"/>
      <c r="T20" s="6">
        <v>-247256.65</v>
      </c>
      <c r="U20" s="2"/>
      <c r="V20" s="7">
        <f t="shared" si="5"/>
        <v>0</v>
      </c>
      <c r="W20" s="2"/>
      <c r="X20" s="6">
        <f t="shared" si="6"/>
        <v>384297.94999999995</v>
      </c>
      <c r="Y20" s="2"/>
      <c r="Z20" s="7">
        <f t="shared" si="7"/>
        <v>-1.5542471759606868</v>
      </c>
    </row>
    <row r="21" spans="1:26" s="29" customFormat="1" outlineLevel="1" collapsed="1" x14ac:dyDescent="0.3">
      <c r="A21" s="28"/>
      <c r="B21" s="14" t="str">
        <f>CONCATENATE("     ","Bank/card Fees                                    ")</f>
        <v xml:space="preserve">     Bank/card Fees                                    </v>
      </c>
      <c r="C21" s="14"/>
      <c r="D21" s="1">
        <f>SUM(OSRRefD22_1x_0)</f>
        <v>3.42</v>
      </c>
      <c r="E21" s="1"/>
      <c r="F21" s="5">
        <f t="shared" si="0"/>
        <v>0</v>
      </c>
      <c r="G21" s="1"/>
      <c r="H21" s="1">
        <f>SUM(OSRRefH22_1x_0)</f>
        <v>-13.34</v>
      </c>
      <c r="I21" s="1"/>
      <c r="J21" s="5">
        <f t="shared" si="1"/>
        <v>0</v>
      </c>
      <c r="K21" s="1"/>
      <c r="L21" s="1">
        <f t="shared" si="2"/>
        <v>16.759999999999998</v>
      </c>
      <c r="M21" s="1"/>
      <c r="N21" s="5">
        <f t="shared" si="3"/>
        <v>-1.2563718140929534</v>
      </c>
      <c r="O21" s="14"/>
      <c r="P21" s="1">
        <f>SUM(OSRRefP22_1x_0)</f>
        <v>5479.22</v>
      </c>
      <c r="Q21" s="1"/>
      <c r="R21" s="5">
        <f t="shared" si="4"/>
        <v>0</v>
      </c>
      <c r="S21" s="1"/>
      <c r="T21" s="1">
        <f>SUM(OSRRefT22_1x_0)</f>
        <v>2897.58</v>
      </c>
      <c r="U21" s="1"/>
      <c r="V21" s="5">
        <f t="shared" si="5"/>
        <v>0</v>
      </c>
      <c r="W21" s="1"/>
      <c r="X21" s="1">
        <f t="shared" si="6"/>
        <v>2581.6400000000003</v>
      </c>
      <c r="Y21" s="1"/>
      <c r="Z21" s="5">
        <f t="shared" si="7"/>
        <v>0.89096418390518994</v>
      </c>
    </row>
    <row r="22" spans="1:26" s="24" customFormat="1" hidden="1" outlineLevel="2" x14ac:dyDescent="0.3">
      <c r="A22" s="27"/>
      <c r="B22" s="11" t="str">
        <f>CONCATENATE("          ", "6381", " - ", "BANK/CREDIT CARD FEES")</f>
        <v xml:space="preserve">          6381 - BANK/CREDIT CARD FEES</v>
      </c>
      <c r="C22" s="11"/>
      <c r="D22" s="6">
        <v>3.42</v>
      </c>
      <c r="E22" s="2"/>
      <c r="F22" s="7">
        <f t="shared" si="0"/>
        <v>0</v>
      </c>
      <c r="G22" s="2"/>
      <c r="H22" s="6">
        <v>-13.34</v>
      </c>
      <c r="I22" s="2"/>
      <c r="J22" s="7">
        <f t="shared" si="1"/>
        <v>0</v>
      </c>
      <c r="K22" s="2"/>
      <c r="L22" s="6">
        <f t="shared" si="2"/>
        <v>16.759999999999998</v>
      </c>
      <c r="M22" s="2"/>
      <c r="N22" s="7">
        <f t="shared" si="3"/>
        <v>-1.2563718140929534</v>
      </c>
      <c r="O22" s="11"/>
      <c r="P22" s="6">
        <v>5479.22</v>
      </c>
      <c r="Q22" s="2"/>
      <c r="R22" s="7">
        <f t="shared" si="4"/>
        <v>0</v>
      </c>
      <c r="S22" s="2"/>
      <c r="T22" s="6">
        <v>2897.58</v>
      </c>
      <c r="U22" s="2"/>
      <c r="V22" s="7">
        <f t="shared" si="5"/>
        <v>0</v>
      </c>
      <c r="W22" s="2"/>
      <c r="X22" s="6">
        <f t="shared" si="6"/>
        <v>2581.6400000000003</v>
      </c>
      <c r="Y22" s="2"/>
      <c r="Z22" s="7">
        <f t="shared" si="7"/>
        <v>0.89096418390518994</v>
      </c>
    </row>
    <row r="23" spans="1:26" s="29" customFormat="1" outlineLevel="1" collapsed="1" x14ac:dyDescent="0.3">
      <c r="A23" s="28"/>
      <c r="B23" s="14" t="str">
        <f>CONCATENATE("     ","Board                                             ")</f>
        <v xml:space="preserve">     Board                                             </v>
      </c>
      <c r="C23" s="14"/>
      <c r="D23" s="1">
        <f>SUM(OSRRefD22_2x_0)</f>
        <v>1560.09</v>
      </c>
      <c r="E23" s="1"/>
      <c r="F23" s="5">
        <f t="shared" si="0"/>
        <v>0</v>
      </c>
      <c r="G23" s="1"/>
      <c r="H23" s="1">
        <f>SUM(OSRRefH22_2x_0)</f>
        <v>601.16</v>
      </c>
      <c r="I23" s="1"/>
      <c r="J23" s="5">
        <f t="shared" si="1"/>
        <v>0</v>
      </c>
      <c r="K23" s="1"/>
      <c r="L23" s="1">
        <f t="shared" si="2"/>
        <v>958.93</v>
      </c>
      <c r="M23" s="1"/>
      <c r="N23" s="5">
        <f t="shared" si="3"/>
        <v>1.595132743362832</v>
      </c>
      <c r="O23" s="14"/>
      <c r="P23" s="1">
        <f>SUM(OSRRefP22_2x_0)</f>
        <v>6319.83</v>
      </c>
      <c r="Q23" s="1"/>
      <c r="R23" s="5">
        <f t="shared" si="4"/>
        <v>0</v>
      </c>
      <c r="S23" s="1"/>
      <c r="T23" s="1">
        <f>SUM(OSRRefT22_2x_0)</f>
        <v>7122.17</v>
      </c>
      <c r="U23" s="1"/>
      <c r="V23" s="5">
        <f t="shared" si="5"/>
        <v>0</v>
      </c>
      <c r="W23" s="1"/>
      <c r="X23" s="1">
        <f t="shared" si="6"/>
        <v>-802.34000000000015</v>
      </c>
      <c r="Y23" s="1"/>
      <c r="Z23" s="5">
        <f t="shared" si="7"/>
        <v>-0.11265386813288648</v>
      </c>
    </row>
    <row r="24" spans="1:26" s="24" customFormat="1" hidden="1" outlineLevel="2" x14ac:dyDescent="0.3">
      <c r="A24" s="27"/>
      <c r="B24" s="11" t="str">
        <f>CONCATENATE("          ", "6397", " - ", "BOARD EXPENSES")</f>
        <v xml:space="preserve">          6397 - BOARD EXPENSES</v>
      </c>
      <c r="C24" s="11"/>
      <c r="D24" s="6">
        <v>1560.09</v>
      </c>
      <c r="E24" s="2"/>
      <c r="F24" s="7">
        <f t="shared" si="0"/>
        <v>0</v>
      </c>
      <c r="G24" s="2"/>
      <c r="H24" s="6">
        <v>601.16</v>
      </c>
      <c r="I24" s="2"/>
      <c r="J24" s="7">
        <f t="shared" si="1"/>
        <v>0</v>
      </c>
      <c r="K24" s="2"/>
      <c r="L24" s="6">
        <f t="shared" si="2"/>
        <v>958.93</v>
      </c>
      <c r="M24" s="2"/>
      <c r="N24" s="7">
        <f t="shared" si="3"/>
        <v>1.595132743362832</v>
      </c>
      <c r="O24" s="11"/>
      <c r="P24" s="6">
        <v>6319.83</v>
      </c>
      <c r="Q24" s="2"/>
      <c r="R24" s="7">
        <f t="shared" si="4"/>
        <v>0</v>
      </c>
      <c r="S24" s="2"/>
      <c r="T24" s="6">
        <v>7122.17</v>
      </c>
      <c r="U24" s="2"/>
      <c r="V24" s="7">
        <f t="shared" si="5"/>
        <v>0</v>
      </c>
      <c r="W24" s="2"/>
      <c r="X24" s="6">
        <f t="shared" si="6"/>
        <v>-802.34000000000015</v>
      </c>
      <c r="Y24" s="2"/>
      <c r="Z24" s="7">
        <f t="shared" si="7"/>
        <v>-0.11265386813288648</v>
      </c>
    </row>
    <row r="25" spans="1:26" s="29" customFormat="1" outlineLevel="1" collapsed="1" x14ac:dyDescent="0.3">
      <c r="A25" s="28"/>
      <c r="B25" s="14" t="str">
        <f>CONCATENATE("     ","Professional Services                             ")</f>
        <v xml:space="preserve">     Professional Services                             </v>
      </c>
      <c r="C25" s="14"/>
      <c r="D25" s="1">
        <f>SUM(OSRRefD22_3x_0)</f>
        <v>150</v>
      </c>
      <c r="E25" s="1"/>
      <c r="F25" s="5">
        <f t="shared" si="0"/>
        <v>0</v>
      </c>
      <c r="G25" s="1"/>
      <c r="H25" s="1">
        <f>SUM(OSRRefH22_3x_0)</f>
        <v>225</v>
      </c>
      <c r="I25" s="1"/>
      <c r="J25" s="5">
        <f t="shared" si="1"/>
        <v>0</v>
      </c>
      <c r="K25" s="1"/>
      <c r="L25" s="1">
        <f t="shared" si="2"/>
        <v>-75</v>
      </c>
      <c r="M25" s="1"/>
      <c r="N25" s="5">
        <f t="shared" si="3"/>
        <v>-0.33333333333333331</v>
      </c>
      <c r="O25" s="14"/>
      <c r="P25" s="1">
        <f>SUM(OSRRefP22_3x_0)</f>
        <v>20825.5</v>
      </c>
      <c r="Q25" s="1"/>
      <c r="R25" s="5">
        <f t="shared" si="4"/>
        <v>0</v>
      </c>
      <c r="S25" s="1"/>
      <c r="T25" s="1">
        <f>SUM(OSRRefT22_3x_0)</f>
        <v>23396.5</v>
      </c>
      <c r="U25" s="1"/>
      <c r="V25" s="5">
        <f t="shared" si="5"/>
        <v>0</v>
      </c>
      <c r="W25" s="1"/>
      <c r="X25" s="1">
        <f t="shared" si="6"/>
        <v>-2571</v>
      </c>
      <c r="Y25" s="1"/>
      <c r="Z25" s="5">
        <f t="shared" si="7"/>
        <v>-0.10988823114568419</v>
      </c>
    </row>
    <row r="26" spans="1:26" s="24" customFormat="1" hidden="1" outlineLevel="2" x14ac:dyDescent="0.3">
      <c r="A26" s="27"/>
      <c r="B26" s="11" t="str">
        <f>CONCATENATE("          ", "6331", " - ", "INDIRECT COSTS-AUXILIARY ORGAN")</f>
        <v xml:space="preserve">          6331 - INDIRECT COSTS-AUXILIARY ORGAN</v>
      </c>
      <c r="C26" s="11"/>
      <c r="D26" s="6">
        <v>150</v>
      </c>
      <c r="E26" s="2"/>
      <c r="F26" s="7">
        <f t="shared" si="0"/>
        <v>0</v>
      </c>
      <c r="G26" s="2"/>
      <c r="H26" s="6">
        <v>225</v>
      </c>
      <c r="I26" s="2"/>
      <c r="J26" s="7">
        <f t="shared" si="1"/>
        <v>0</v>
      </c>
      <c r="K26" s="2"/>
      <c r="L26" s="6">
        <f t="shared" si="2"/>
        <v>-75</v>
      </c>
      <c r="M26" s="2"/>
      <c r="N26" s="7">
        <f t="shared" si="3"/>
        <v>-0.33333333333333331</v>
      </c>
      <c r="O26" s="11"/>
      <c r="P26" s="6">
        <v>20825.5</v>
      </c>
      <c r="Q26" s="2"/>
      <c r="R26" s="7">
        <f t="shared" si="4"/>
        <v>0</v>
      </c>
      <c r="S26" s="2"/>
      <c r="T26" s="6">
        <v>23396.5</v>
      </c>
      <c r="U26" s="2"/>
      <c r="V26" s="7">
        <f t="shared" si="5"/>
        <v>0</v>
      </c>
      <c r="W26" s="2"/>
      <c r="X26" s="6">
        <f t="shared" si="6"/>
        <v>-2571</v>
      </c>
      <c r="Y26" s="2"/>
      <c r="Z26" s="7">
        <f t="shared" si="7"/>
        <v>-0.10988823114568419</v>
      </c>
    </row>
    <row r="27" spans="1:26" s="62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276</v>
      </c>
      <c r="C30" s="25"/>
      <c r="D30" s="21">
        <f>+D16-D18+D28</f>
        <v>-29097.55</v>
      </c>
      <c r="E30" s="13"/>
      <c r="F30" s="22">
        <f>IF(D$12=0,0,D30/D$12)</f>
        <v>0</v>
      </c>
      <c r="G30" s="13"/>
      <c r="H30" s="21">
        <f>+H16-H18+H28</f>
        <v>368849.51000000007</v>
      </c>
      <c r="I30" s="13"/>
      <c r="J30" s="22">
        <f>IF(H$12=0,0,H30/H$12)</f>
        <v>0</v>
      </c>
      <c r="K30" s="16"/>
      <c r="L30" s="21">
        <f>+D30-H30</f>
        <v>-397947.06000000006</v>
      </c>
      <c r="M30" s="16"/>
      <c r="N30" s="22">
        <f>IF(H30=0,0,L30/H30)</f>
        <v>-1.0788873218240143</v>
      </c>
      <c r="O30" s="26"/>
      <c r="P30" s="21">
        <f>+P16-P18+P28</f>
        <v>-169665.84999999998</v>
      </c>
      <c r="Q30" s="13"/>
      <c r="R30" s="22">
        <f>IF(P$12=0,0,P30/P$12)</f>
        <v>0</v>
      </c>
      <c r="S30" s="13"/>
      <c r="T30" s="21">
        <f>+T16-T18+T28</f>
        <v>213840.4</v>
      </c>
      <c r="U30" s="13"/>
      <c r="V30" s="22">
        <f>IF(T$12=0,0,T30/T$12)</f>
        <v>0</v>
      </c>
      <c r="W30" s="16"/>
      <c r="X30" s="21">
        <f>+P30-T30</f>
        <v>-383506.25</v>
      </c>
      <c r="Y30" s="16"/>
      <c r="Z30" s="22">
        <f>IF(T30=0,0,X30/T30)</f>
        <v>-1.7934228050452581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5" t="s">
        <v>125</v>
      </c>
      <c r="C34" s="25"/>
      <c r="D34" s="35">
        <f>+D30-D32</f>
        <v>-29097.55</v>
      </c>
      <c r="E34" s="13"/>
      <c r="F34" s="31">
        <f>IF(D$12=0,0,D34/D$12)</f>
        <v>0</v>
      </c>
      <c r="G34" s="13"/>
      <c r="H34" s="35">
        <f>+H30-H32</f>
        <v>368849.51000000007</v>
      </c>
      <c r="I34" s="13"/>
      <c r="J34" s="31">
        <f>IF(H$12=0,0,H34/H$12)</f>
        <v>0</v>
      </c>
      <c r="K34" s="16"/>
      <c r="L34" s="35">
        <f>D34-H34</f>
        <v>-397947.06000000006</v>
      </c>
      <c r="M34" s="16"/>
      <c r="N34" s="31">
        <f>IF(H34=0,0,L34/H34)</f>
        <v>-1.0788873218240143</v>
      </c>
      <c r="O34" s="26"/>
      <c r="P34" s="35">
        <f>+P30-P32</f>
        <v>-169665.84999999998</v>
      </c>
      <c r="Q34" s="13"/>
      <c r="R34" s="31">
        <f>IF(P$12=0,0,P34/P$12)</f>
        <v>0</v>
      </c>
      <c r="S34" s="13"/>
      <c r="T34" s="35">
        <f>+T30-T32</f>
        <v>213840.4</v>
      </c>
      <c r="U34" s="13"/>
      <c r="V34" s="31">
        <f>IF(T$12=0,0,T34/T$12)</f>
        <v>0</v>
      </c>
      <c r="W34" s="16"/>
      <c r="X34" s="35">
        <f>P34-T34</f>
        <v>-383506.25</v>
      </c>
      <c r="Y34" s="16"/>
      <c r="Z34" s="31">
        <f>IF(T34=0,0,X34/T34)</f>
        <v>-1.7934228050452581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293</v>
      </c>
      <c r="C37" s="25"/>
      <c r="D37" s="36">
        <f>SUM(D34:D36)</f>
        <v>-29097.55</v>
      </c>
      <c r="E37" s="13"/>
      <c r="F37" s="33">
        <f>IF(D$12=0,0,D37/D$12)</f>
        <v>0</v>
      </c>
      <c r="G37" s="13"/>
      <c r="H37" s="36">
        <f>SUM(H34:H36)</f>
        <v>368849.51000000007</v>
      </c>
      <c r="I37" s="13"/>
      <c r="J37" s="33">
        <f>IF(H$12=0,0,H37/H$12)</f>
        <v>0</v>
      </c>
      <c r="K37" s="16"/>
      <c r="L37" s="36">
        <f>+D37-H37</f>
        <v>-397947.06000000006</v>
      </c>
      <c r="M37" s="16"/>
      <c r="N37" s="33">
        <f>IF(H37=0,0,L37/H37)</f>
        <v>-1.0788873218240143</v>
      </c>
      <c r="O37" s="26"/>
      <c r="P37" s="36">
        <f>SUM(P34:P36)</f>
        <v>-169665.84999999998</v>
      </c>
      <c r="Q37" s="13"/>
      <c r="R37" s="33">
        <f>IF(P$12=0,0,P37/P$12)</f>
        <v>0</v>
      </c>
      <c r="S37" s="13"/>
      <c r="T37" s="36">
        <f>SUM(T34:T36)</f>
        <v>213840.4</v>
      </c>
      <c r="U37" s="13"/>
      <c r="V37" s="33">
        <f>IF(T$12=0,0,T37/T$12)</f>
        <v>0</v>
      </c>
      <c r="W37" s="16"/>
      <c r="X37" s="36">
        <f>+P37-T37</f>
        <v>-383506.25</v>
      </c>
      <c r="Y37" s="16"/>
      <c r="Z37" s="33">
        <f>IF(T37=0,0,X37/T37)</f>
        <v>-1.7934228050452581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2">
        <v>44543.765594675926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61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92D050"/>
    <outlinePr summaryBelow="0" summaryRight="0"/>
  </sheetPr>
  <dimension ref="A2:Z7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","201", " - ", "General Manager")</f>
        <v>Department 201 - General Manager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72649.430000000008</v>
      </c>
      <c r="E18" s="20"/>
      <c r="F18" s="32">
        <f t="shared" ref="F18:F27" si="0">IF(D$12=0,0,D18/D$12)</f>
        <v>0</v>
      </c>
      <c r="G18" s="20"/>
      <c r="H18" s="20">
        <f>SUM(OSRRefH22x_0)</f>
        <v>45348.319999999992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27301.110000000015</v>
      </c>
      <c r="M18" s="4"/>
      <c r="N18" s="32">
        <f t="shared" ref="N18:N27" si="3">IF(H18=0,0,L18/H18)</f>
        <v>0.60203134316772966</v>
      </c>
      <c r="O18" s="10"/>
      <c r="P18" s="20">
        <f>SUM(OSRRefP22x_0)</f>
        <v>208633.72999999998</v>
      </c>
      <c r="Q18" s="20"/>
      <c r="R18" s="32">
        <f t="shared" ref="R18:R27" si="4">IF(P$12=0,0,P18/P$12)</f>
        <v>0</v>
      </c>
      <c r="S18" s="20"/>
      <c r="T18" s="20">
        <f>SUM(OSRRefT22x_0)</f>
        <v>187915.14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20718.589999999967</v>
      </c>
      <c r="Y18" s="4"/>
      <c r="Z18" s="32">
        <f t="shared" ref="Z18:Z27" si="7">IF(T18=0,0,X18/T18)</f>
        <v>0.11025503320275293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9631.2899999999991</v>
      </c>
      <c r="E19" s="1"/>
      <c r="F19" s="5">
        <f t="shared" si="0"/>
        <v>0</v>
      </c>
      <c r="G19" s="1"/>
      <c r="H19" s="1">
        <f>SUM(OSRRefH22_0x_0)</f>
        <v>13020.759999999998</v>
      </c>
      <c r="I19" s="1"/>
      <c r="J19" s="5">
        <f t="shared" si="1"/>
        <v>0</v>
      </c>
      <c r="K19" s="1"/>
      <c r="L19" s="1">
        <f t="shared" si="2"/>
        <v>-3389.4699999999993</v>
      </c>
      <c r="M19" s="1"/>
      <c r="N19" s="5">
        <f t="shared" si="3"/>
        <v>-0.26031276208147602</v>
      </c>
      <c r="O19" s="14"/>
      <c r="P19" s="1">
        <f>SUM(OSRRefP22_0x_0)</f>
        <v>53644.63</v>
      </c>
      <c r="Q19" s="1"/>
      <c r="R19" s="5">
        <f t="shared" si="4"/>
        <v>0</v>
      </c>
      <c r="S19" s="1"/>
      <c r="T19" s="1">
        <f>SUM(OSRRefT22_0x_0)</f>
        <v>56115.1</v>
      </c>
      <c r="U19" s="1"/>
      <c r="V19" s="5">
        <f t="shared" si="5"/>
        <v>0</v>
      </c>
      <c r="W19" s="1"/>
      <c r="X19" s="1">
        <f t="shared" si="6"/>
        <v>-2470.4700000000012</v>
      </c>
      <c r="Y19" s="1"/>
      <c r="Z19" s="5">
        <f t="shared" si="7"/>
        <v>-4.402504851635302E-2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594.23</v>
      </c>
      <c r="E20" s="2"/>
      <c r="F20" s="7">
        <f t="shared" si="0"/>
        <v>0</v>
      </c>
      <c r="G20" s="2"/>
      <c r="H20" s="6">
        <v>646.23</v>
      </c>
      <c r="I20" s="2"/>
      <c r="J20" s="7">
        <f t="shared" si="1"/>
        <v>0</v>
      </c>
      <c r="K20" s="2"/>
      <c r="L20" s="6">
        <f t="shared" si="2"/>
        <v>-52</v>
      </c>
      <c r="M20" s="2"/>
      <c r="N20" s="7">
        <f t="shared" si="3"/>
        <v>-8.0466706900020113E-2</v>
      </c>
      <c r="O20" s="11"/>
      <c r="P20" s="6">
        <v>6363.14</v>
      </c>
      <c r="Q20" s="2"/>
      <c r="R20" s="7">
        <f t="shared" si="4"/>
        <v>0</v>
      </c>
      <c r="S20" s="2"/>
      <c r="T20" s="6">
        <v>6346.63</v>
      </c>
      <c r="U20" s="2"/>
      <c r="V20" s="7">
        <f t="shared" si="5"/>
        <v>0</v>
      </c>
      <c r="W20" s="2"/>
      <c r="X20" s="6">
        <f t="shared" si="6"/>
        <v>16.510000000000218</v>
      </c>
      <c r="Y20" s="2"/>
      <c r="Z20" s="7">
        <f t="shared" si="7"/>
        <v>2.6013805752029373E-3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247.78</v>
      </c>
      <c r="E21" s="2"/>
      <c r="F21" s="7">
        <f t="shared" si="0"/>
        <v>0</v>
      </c>
      <c r="G21" s="2"/>
      <c r="H21" s="6">
        <v>193.48</v>
      </c>
      <c r="I21" s="2"/>
      <c r="J21" s="7">
        <f t="shared" si="1"/>
        <v>0</v>
      </c>
      <c r="K21" s="2"/>
      <c r="L21" s="6">
        <f t="shared" si="2"/>
        <v>54.300000000000011</v>
      </c>
      <c r="M21" s="2"/>
      <c r="N21" s="7">
        <f t="shared" si="3"/>
        <v>0.28064916270415552</v>
      </c>
      <c r="O21" s="11"/>
      <c r="P21" s="6">
        <v>1350.92</v>
      </c>
      <c r="Q21" s="2"/>
      <c r="R21" s="7">
        <f t="shared" si="4"/>
        <v>0</v>
      </c>
      <c r="S21" s="2"/>
      <c r="T21" s="6">
        <v>443.23</v>
      </c>
      <c r="U21" s="2"/>
      <c r="V21" s="7">
        <f t="shared" si="5"/>
        <v>0</v>
      </c>
      <c r="W21" s="2"/>
      <c r="X21" s="6">
        <f t="shared" si="6"/>
        <v>907.69</v>
      </c>
      <c r="Y21" s="2"/>
      <c r="Z21" s="7">
        <f t="shared" si="7"/>
        <v>2.0478983823297159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3909.65</v>
      </c>
      <c r="E22" s="2"/>
      <c r="F22" s="7">
        <f t="shared" si="0"/>
        <v>0</v>
      </c>
      <c r="G22" s="2"/>
      <c r="H22" s="6">
        <v>4070.76</v>
      </c>
      <c r="I22" s="2"/>
      <c r="J22" s="7">
        <f t="shared" si="1"/>
        <v>0</v>
      </c>
      <c r="K22" s="2"/>
      <c r="L22" s="6">
        <f t="shared" si="2"/>
        <v>-161.11000000000013</v>
      </c>
      <c r="M22" s="2"/>
      <c r="N22" s="7">
        <f t="shared" si="3"/>
        <v>-3.9577376214760908E-2</v>
      </c>
      <c r="O22" s="11"/>
      <c r="P22" s="6">
        <v>19746.689999999999</v>
      </c>
      <c r="Q22" s="2"/>
      <c r="R22" s="7">
        <f t="shared" si="4"/>
        <v>0</v>
      </c>
      <c r="S22" s="2"/>
      <c r="T22" s="6">
        <v>20248.48</v>
      </c>
      <c r="U22" s="2"/>
      <c r="V22" s="7">
        <f t="shared" si="5"/>
        <v>0</v>
      </c>
      <c r="W22" s="2"/>
      <c r="X22" s="6">
        <f t="shared" si="6"/>
        <v>-501.79000000000087</v>
      </c>
      <c r="Y22" s="2"/>
      <c r="Z22" s="7">
        <f t="shared" si="7"/>
        <v>-2.4781613237141793E-2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49.94</v>
      </c>
      <c r="E23" s="2"/>
      <c r="F23" s="7">
        <f t="shared" si="0"/>
        <v>0</v>
      </c>
      <c r="G23" s="2"/>
      <c r="H23" s="6">
        <v>152.44</v>
      </c>
      <c r="I23" s="2"/>
      <c r="J23" s="7">
        <f t="shared" si="1"/>
        <v>0</v>
      </c>
      <c r="K23" s="2"/>
      <c r="L23" s="6">
        <f t="shared" si="2"/>
        <v>-102.5</v>
      </c>
      <c r="M23" s="2"/>
      <c r="N23" s="7">
        <f t="shared" si="3"/>
        <v>-0.67239569666754129</v>
      </c>
      <c r="O23" s="11"/>
      <c r="P23" s="6">
        <v>272.27999999999997</v>
      </c>
      <c r="Q23" s="2"/>
      <c r="R23" s="7">
        <f t="shared" si="4"/>
        <v>0</v>
      </c>
      <c r="S23" s="2"/>
      <c r="T23" s="6">
        <v>349.22</v>
      </c>
      <c r="U23" s="2"/>
      <c r="V23" s="7">
        <f t="shared" si="5"/>
        <v>0</v>
      </c>
      <c r="W23" s="2"/>
      <c r="X23" s="6">
        <f t="shared" si="6"/>
        <v>-76.940000000000055</v>
      </c>
      <c r="Y23" s="2"/>
      <c r="Z23" s="7">
        <f t="shared" si="7"/>
        <v>-0.2203195693259265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2042.29</v>
      </c>
      <c r="E24" s="2"/>
      <c r="F24" s="7">
        <f t="shared" si="0"/>
        <v>0</v>
      </c>
      <c r="G24" s="2"/>
      <c r="H24" s="6">
        <v>5386.36</v>
      </c>
      <c r="I24" s="2"/>
      <c r="J24" s="7">
        <f t="shared" si="1"/>
        <v>0</v>
      </c>
      <c r="K24" s="2"/>
      <c r="L24" s="6">
        <f t="shared" si="2"/>
        <v>-3344.0699999999997</v>
      </c>
      <c r="M24" s="2"/>
      <c r="N24" s="7">
        <f t="shared" si="3"/>
        <v>-0.62084041913277244</v>
      </c>
      <c r="O24" s="11"/>
      <c r="P24" s="6">
        <v>11136.71</v>
      </c>
      <c r="Q24" s="2"/>
      <c r="R24" s="7">
        <f t="shared" si="4"/>
        <v>0</v>
      </c>
      <c r="S24" s="2"/>
      <c r="T24" s="6">
        <v>14607</v>
      </c>
      <c r="U24" s="2"/>
      <c r="V24" s="7">
        <f t="shared" si="5"/>
        <v>0</v>
      </c>
      <c r="W24" s="2"/>
      <c r="X24" s="6">
        <f t="shared" si="6"/>
        <v>-3470.2900000000009</v>
      </c>
      <c r="Y24" s="2"/>
      <c r="Z24" s="7">
        <f t="shared" si="7"/>
        <v>-0.23757718901896357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>
        <v>1674.78</v>
      </c>
      <c r="E25" s="2"/>
      <c r="F25" s="7">
        <f t="shared" si="0"/>
        <v>0</v>
      </c>
      <c r="G25" s="2"/>
      <c r="H25" s="6">
        <v>1658.98</v>
      </c>
      <c r="I25" s="2"/>
      <c r="J25" s="7">
        <f t="shared" si="1"/>
        <v>0</v>
      </c>
      <c r="K25" s="2"/>
      <c r="L25" s="6">
        <f t="shared" si="2"/>
        <v>15.799999999999955</v>
      </c>
      <c r="M25" s="2"/>
      <c r="N25" s="7">
        <f t="shared" si="3"/>
        <v>9.5239243390516787E-3</v>
      </c>
      <c r="O25" s="11"/>
      <c r="P25" s="6">
        <v>9140.19</v>
      </c>
      <c r="Q25" s="2"/>
      <c r="R25" s="7">
        <f t="shared" si="4"/>
        <v>0</v>
      </c>
      <c r="S25" s="2"/>
      <c r="T25" s="6">
        <v>9124.39</v>
      </c>
      <c r="U25" s="2"/>
      <c r="V25" s="7">
        <f t="shared" si="5"/>
        <v>0</v>
      </c>
      <c r="W25" s="2"/>
      <c r="X25" s="6">
        <f t="shared" si="6"/>
        <v>15.800000000001091</v>
      </c>
      <c r="Y25" s="2"/>
      <c r="Z25" s="7">
        <f t="shared" si="7"/>
        <v>1.73162260710043E-3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>
        <v>865.82</v>
      </c>
      <c r="E26" s="2"/>
      <c r="F26" s="7">
        <f t="shared" si="0"/>
        <v>0</v>
      </c>
      <c r="G26" s="2"/>
      <c r="H26" s="6">
        <v>856.8</v>
      </c>
      <c r="I26" s="2"/>
      <c r="J26" s="7">
        <f t="shared" si="1"/>
        <v>0</v>
      </c>
      <c r="K26" s="2"/>
      <c r="L26" s="6">
        <f t="shared" si="2"/>
        <v>9.0200000000000955</v>
      </c>
      <c r="M26" s="2"/>
      <c r="N26" s="7">
        <f t="shared" si="3"/>
        <v>1.0527544351073875E-2</v>
      </c>
      <c r="O26" s="11"/>
      <c r="P26" s="6">
        <v>4721.42</v>
      </c>
      <c r="Q26" s="2"/>
      <c r="R26" s="7">
        <f t="shared" si="4"/>
        <v>0</v>
      </c>
      <c r="S26" s="2"/>
      <c r="T26" s="6">
        <v>4712.3999999999996</v>
      </c>
      <c r="U26" s="2"/>
      <c r="V26" s="7">
        <f t="shared" si="5"/>
        <v>0</v>
      </c>
      <c r="W26" s="2"/>
      <c r="X26" s="6">
        <f t="shared" si="6"/>
        <v>9.0200000000004366</v>
      </c>
      <c r="Y26" s="2"/>
      <c r="Z26" s="7">
        <f t="shared" si="7"/>
        <v>1.9140989729225951E-3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6">
        <v>246.8</v>
      </c>
      <c r="E27" s="2"/>
      <c r="F27" s="7">
        <f t="shared" si="0"/>
        <v>0</v>
      </c>
      <c r="G27" s="2"/>
      <c r="H27" s="6">
        <v>55.71</v>
      </c>
      <c r="I27" s="2"/>
      <c r="J27" s="7">
        <f t="shared" si="1"/>
        <v>0</v>
      </c>
      <c r="K27" s="2"/>
      <c r="L27" s="6">
        <f t="shared" si="2"/>
        <v>191.09</v>
      </c>
      <c r="M27" s="2"/>
      <c r="N27" s="7">
        <f t="shared" si="3"/>
        <v>3.4300843654640101</v>
      </c>
      <c r="O27" s="11"/>
      <c r="P27" s="6">
        <v>913.28</v>
      </c>
      <c r="Q27" s="2"/>
      <c r="R27" s="7">
        <f t="shared" si="4"/>
        <v>0</v>
      </c>
      <c r="S27" s="2"/>
      <c r="T27" s="6">
        <v>283.75</v>
      </c>
      <c r="U27" s="2"/>
      <c r="V27" s="7">
        <f t="shared" si="5"/>
        <v>0</v>
      </c>
      <c r="W27" s="2"/>
      <c r="X27" s="6">
        <f t="shared" si="6"/>
        <v>629.53</v>
      </c>
      <c r="Y27" s="2"/>
      <c r="Z27" s="7">
        <f t="shared" si="7"/>
        <v>2.2186079295154184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17100.900000000001</v>
      </c>
      <c r="E28" s="1"/>
      <c r="F28" s="5">
        <f t="shared" ref="F28:F31" si="8">IF(D$12=0,0,D28/D$12)</f>
        <v>0</v>
      </c>
      <c r="G28" s="1"/>
      <c r="H28" s="1">
        <f>SUM(OSRRefH22_1x_0)</f>
        <v>16934.41</v>
      </c>
      <c r="I28" s="1"/>
      <c r="J28" s="5">
        <f t="shared" ref="J28:J31" si="9">IF(H$12=0,0,H28/H$12)</f>
        <v>0</v>
      </c>
      <c r="K28" s="1"/>
      <c r="L28" s="1">
        <f t="shared" ref="L28:L31" si="10">+D28-H28</f>
        <v>166.4900000000016</v>
      </c>
      <c r="M28" s="1"/>
      <c r="N28" s="5">
        <f t="shared" ref="N28:N31" si="11">IF(H28=0,0,L28/H28)</f>
        <v>9.8314615035304809E-3</v>
      </c>
      <c r="O28" s="14"/>
      <c r="P28" s="1">
        <f>SUM(OSRRefP22_1x_0)</f>
        <v>60087.56</v>
      </c>
      <c r="Q28" s="1"/>
      <c r="R28" s="5">
        <f t="shared" ref="R28:R31" si="12">IF(P$12=0,0,P28/P$12)</f>
        <v>0</v>
      </c>
      <c r="S28" s="1"/>
      <c r="T28" s="1">
        <f>SUM(OSRRefT22_1x_0)</f>
        <v>50397.46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9690.0999999999985</v>
      </c>
      <c r="Y28" s="1"/>
      <c r="Z28" s="5">
        <f t="shared" ref="Z28:Z31" si="15">IF(T28=0,0,X28/T28)</f>
        <v>0.19227357886687144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12772.41</v>
      </c>
      <c r="E29" s="2"/>
      <c r="F29" s="7">
        <f t="shared" si="8"/>
        <v>0</v>
      </c>
      <c r="G29" s="2"/>
      <c r="H29" s="6">
        <v>12772.4</v>
      </c>
      <c r="I29" s="2"/>
      <c r="J29" s="7">
        <f t="shared" si="9"/>
        <v>0</v>
      </c>
      <c r="K29" s="2"/>
      <c r="L29" s="6">
        <f t="shared" si="10"/>
        <v>1.0000000000218279E-2</v>
      </c>
      <c r="M29" s="2"/>
      <c r="N29" s="7">
        <f t="shared" si="11"/>
        <v>7.8293821053351594E-7</v>
      </c>
      <c r="O29" s="11"/>
      <c r="P29" s="6">
        <v>36417.97</v>
      </c>
      <c r="Q29" s="2"/>
      <c r="R29" s="7">
        <f t="shared" si="12"/>
        <v>0</v>
      </c>
      <c r="S29" s="2"/>
      <c r="T29" s="6">
        <v>72983.97</v>
      </c>
      <c r="U29" s="2"/>
      <c r="V29" s="7">
        <f t="shared" si="13"/>
        <v>0</v>
      </c>
      <c r="W29" s="2"/>
      <c r="X29" s="6">
        <f t="shared" si="14"/>
        <v>-36566</v>
      </c>
      <c r="Y29" s="2"/>
      <c r="Z29" s="7">
        <f t="shared" si="15"/>
        <v>-0.50101412680072077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>
        <v>4328.49</v>
      </c>
      <c r="E30" s="2"/>
      <c r="F30" s="7">
        <f t="shared" si="8"/>
        <v>0</v>
      </c>
      <c r="G30" s="2"/>
      <c r="H30" s="6">
        <v>4162.01</v>
      </c>
      <c r="I30" s="2"/>
      <c r="J30" s="7">
        <f t="shared" si="9"/>
        <v>0</v>
      </c>
      <c r="K30" s="2"/>
      <c r="L30" s="6">
        <f t="shared" si="10"/>
        <v>166.47999999999956</v>
      </c>
      <c r="M30" s="2"/>
      <c r="N30" s="7">
        <f t="shared" si="11"/>
        <v>3.9999903892590255E-2</v>
      </c>
      <c r="O30" s="11"/>
      <c r="P30" s="6">
        <v>23669.59</v>
      </c>
      <c r="Q30" s="2"/>
      <c r="R30" s="7">
        <f t="shared" si="12"/>
        <v>0</v>
      </c>
      <c r="S30" s="2"/>
      <c r="T30" s="6">
        <v>22370.78</v>
      </c>
      <c r="U30" s="2"/>
      <c r="V30" s="7">
        <f t="shared" si="13"/>
        <v>0</v>
      </c>
      <c r="W30" s="2"/>
      <c r="X30" s="6">
        <f t="shared" si="14"/>
        <v>1298.8100000000013</v>
      </c>
      <c r="Y30" s="2"/>
      <c r="Z30" s="7">
        <f t="shared" si="15"/>
        <v>5.8058324296247223E-2</v>
      </c>
    </row>
    <row r="31" spans="1:26" s="24" customFormat="1" hidden="1" outlineLevel="2" x14ac:dyDescent="0.3">
      <c r="A31" s="27"/>
      <c r="B31" s="11" t="str">
        <f>CONCATENATE("          ", "6007", " - ", "STUDENT HOURLY")</f>
        <v xml:space="preserve">          6007 - STUDENT HOURLY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/>
      <c r="Q31" s="2"/>
      <c r="R31" s="7">
        <f t="shared" si="12"/>
        <v>0</v>
      </c>
      <c r="S31" s="2"/>
      <c r="T31" s="6">
        <v>-44957.29</v>
      </c>
      <c r="U31" s="2"/>
      <c r="V31" s="7">
        <f t="shared" si="13"/>
        <v>0</v>
      </c>
      <c r="W31" s="2"/>
      <c r="X31" s="6">
        <f t="shared" si="14"/>
        <v>44957.29</v>
      </c>
      <c r="Y31" s="2"/>
      <c r="Z31" s="7">
        <f t="shared" si="15"/>
        <v>-1</v>
      </c>
    </row>
    <row r="32" spans="1:26" s="29" customFormat="1" outlineLevel="1" collapsed="1" x14ac:dyDescent="0.3">
      <c r="A32" s="28"/>
      <c r="B32" s="14" t="str">
        <f>CONCATENATE("     ","Advertising/Promo                                 ")</f>
        <v xml:space="preserve">     Advertising/Promo                                 </v>
      </c>
      <c r="C32" s="14"/>
      <c r="D32" s="1">
        <f>SUM(OSRRefD22_2x_0)</f>
        <v>0</v>
      </c>
      <c r="E32" s="1"/>
      <c r="F32" s="5">
        <f t="shared" ref="F32:F47" si="16">IF(D$12=0,0,D32/D$12)</f>
        <v>0</v>
      </c>
      <c r="G32" s="1"/>
      <c r="H32" s="1">
        <f>SUM(OSRRefH22_2x_0)</f>
        <v>0</v>
      </c>
      <c r="I32" s="1"/>
      <c r="J32" s="5">
        <f t="shared" ref="J32:J47" si="17">IF(H$12=0,0,H32/H$12)</f>
        <v>0</v>
      </c>
      <c r="K32" s="1"/>
      <c r="L32" s="1">
        <f t="shared" ref="L32:L47" si="18">+D32-H32</f>
        <v>0</v>
      </c>
      <c r="M32" s="1"/>
      <c r="N32" s="5">
        <f t="shared" ref="N32:N47" si="19">IF(H32=0,0,L32/H32)</f>
        <v>0</v>
      </c>
      <c r="O32" s="14"/>
      <c r="P32" s="1">
        <f>SUM(OSRRefP22_2x_0)</f>
        <v>186.42</v>
      </c>
      <c r="Q32" s="1"/>
      <c r="R32" s="5">
        <f t="shared" ref="R32:R47" si="20">IF(P$12=0,0,P32/P$12)</f>
        <v>0</v>
      </c>
      <c r="S32" s="1"/>
      <c r="T32" s="1">
        <f>SUM(OSRRefT22_2x_0)</f>
        <v>66.8</v>
      </c>
      <c r="U32" s="1"/>
      <c r="V32" s="5">
        <f t="shared" ref="V32:V47" si="21">IF(T$12=0,0,T32/T$12)</f>
        <v>0</v>
      </c>
      <c r="W32" s="1"/>
      <c r="X32" s="1">
        <f t="shared" ref="X32:X47" si="22">+P32-T32</f>
        <v>119.61999999999999</v>
      </c>
      <c r="Y32" s="1"/>
      <c r="Z32" s="5">
        <f t="shared" ref="Z32:Z47" si="23">IF(T32=0,0,X32/T32)</f>
        <v>1.7907185628742515</v>
      </c>
    </row>
    <row r="33" spans="1:26" s="24" customFormat="1" hidden="1" outlineLevel="2" x14ac:dyDescent="0.3">
      <c r="A33" s="27"/>
      <c r="B33" s="11" t="str">
        <f>CONCATENATE("          ", "6362", " - ", "ADVERTISING EXPENSE")</f>
        <v xml:space="preserve">          6362 - ADVERTISING EXPENSE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186.42</v>
      </c>
      <c r="Q33" s="2"/>
      <c r="R33" s="7">
        <f t="shared" si="20"/>
        <v>0</v>
      </c>
      <c r="S33" s="2"/>
      <c r="T33" s="6">
        <v>66.8</v>
      </c>
      <c r="U33" s="2"/>
      <c r="V33" s="7">
        <f t="shared" si="21"/>
        <v>0</v>
      </c>
      <c r="W33" s="2"/>
      <c r="X33" s="6">
        <f t="shared" si="22"/>
        <v>119.61999999999999</v>
      </c>
      <c r="Y33" s="2"/>
      <c r="Z33" s="7">
        <f t="shared" si="23"/>
        <v>1.7907185628742515</v>
      </c>
    </row>
    <row r="34" spans="1:26" s="29" customFormat="1" outlineLevel="1" collapsed="1" x14ac:dyDescent="0.3">
      <c r="A34" s="28"/>
      <c r="B34" s="14" t="str">
        <f>CONCATENATE("     ","Depreciation                                      ")</f>
        <v xml:space="preserve">     Depreciation                                      </v>
      </c>
      <c r="C34" s="14"/>
      <c r="D34" s="1">
        <f>SUM(OSRRefD22_3x_0)</f>
        <v>314.87</v>
      </c>
      <c r="E34" s="1"/>
      <c r="F34" s="5">
        <f t="shared" si="16"/>
        <v>0</v>
      </c>
      <c r="G34" s="1"/>
      <c r="H34" s="1">
        <f>SUM(OSRRefH22_3x_0)</f>
        <v>314.87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1574.35</v>
      </c>
      <c r="Q34" s="1"/>
      <c r="R34" s="5">
        <f t="shared" si="20"/>
        <v>0</v>
      </c>
      <c r="S34" s="1"/>
      <c r="T34" s="1">
        <f>SUM(OSRRefT22_3x_0)</f>
        <v>1574.35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3">
      <c r="A35" s="27"/>
      <c r="B35" s="11" t="str">
        <f>CONCATENATE("          ", "6322", " - ", "EQUIPMENT DEPRECIATION EXPENSE")</f>
        <v xml:space="preserve">          6322 - EQUIPMENT DEPRECIATION EXPENSE</v>
      </c>
      <c r="C35" s="11"/>
      <c r="D35" s="6">
        <v>314.87</v>
      </c>
      <c r="E35" s="2"/>
      <c r="F35" s="7">
        <f t="shared" si="16"/>
        <v>0</v>
      </c>
      <c r="G35" s="2"/>
      <c r="H35" s="6">
        <v>314.87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1574.35</v>
      </c>
      <c r="Q35" s="2"/>
      <c r="R35" s="7">
        <f t="shared" si="20"/>
        <v>0</v>
      </c>
      <c r="S35" s="2"/>
      <c r="T35" s="6">
        <v>1574.35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9" customFormat="1" outlineLevel="1" collapsed="1" x14ac:dyDescent="0.3">
      <c r="A36" s="28"/>
      <c r="B36" s="14" t="str">
        <f>CONCATENATE("     ","Donations                                         ")</f>
        <v xml:space="preserve">     Donations                                         </v>
      </c>
      <c r="C36" s="14"/>
      <c r="D36" s="1">
        <f>SUM(OSRRefD22_4x_0)</f>
        <v>25000</v>
      </c>
      <c r="E36" s="1"/>
      <c r="F36" s="5">
        <f t="shared" si="16"/>
        <v>0</v>
      </c>
      <c r="G36" s="1"/>
      <c r="H36" s="1">
        <f>SUM(OSRRefH22_4x_0)</f>
        <v>0</v>
      </c>
      <c r="I36" s="1"/>
      <c r="J36" s="5">
        <f t="shared" si="17"/>
        <v>0</v>
      </c>
      <c r="K36" s="1"/>
      <c r="L36" s="1">
        <f t="shared" si="18"/>
        <v>25000</v>
      </c>
      <c r="M36" s="1"/>
      <c r="N36" s="5">
        <f t="shared" si="19"/>
        <v>0</v>
      </c>
      <c r="O36" s="14"/>
      <c r="P36" s="1">
        <f>SUM(OSRRefP22_4x_0)</f>
        <v>25000</v>
      </c>
      <c r="Q36" s="1"/>
      <c r="R36" s="5">
        <f t="shared" si="20"/>
        <v>0</v>
      </c>
      <c r="S36" s="1"/>
      <c r="T36" s="1">
        <f>SUM(OSRRefT22_4x_0)</f>
        <v>25000</v>
      </c>
      <c r="U36" s="1"/>
      <c r="V36" s="5">
        <f t="shared" si="21"/>
        <v>0</v>
      </c>
      <c r="W36" s="1"/>
      <c r="X36" s="1">
        <f t="shared" si="22"/>
        <v>0</v>
      </c>
      <c r="Y36" s="1"/>
      <c r="Z36" s="5">
        <f t="shared" si="23"/>
        <v>0</v>
      </c>
    </row>
    <row r="37" spans="1:26" s="24" customFormat="1" hidden="1" outlineLevel="2" x14ac:dyDescent="0.3">
      <c r="A37" s="27"/>
      <c r="B37" s="11" t="str">
        <f>CONCATENATE("          ", "6399", " - ", "DONATION-ON CAMPUS")</f>
        <v xml:space="preserve">          6399 - DONATION-ON CAMPUS</v>
      </c>
      <c r="C37" s="11"/>
      <c r="D37" s="6">
        <v>25000</v>
      </c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25000</v>
      </c>
      <c r="M37" s="2"/>
      <c r="N37" s="7">
        <f t="shared" si="19"/>
        <v>0</v>
      </c>
      <c r="O37" s="11"/>
      <c r="P37" s="6">
        <v>25000</v>
      </c>
      <c r="Q37" s="2"/>
      <c r="R37" s="7">
        <f t="shared" si="20"/>
        <v>0</v>
      </c>
      <c r="S37" s="2"/>
      <c r="T37" s="6">
        <v>25000</v>
      </c>
      <c r="U37" s="2"/>
      <c r="V37" s="7">
        <f t="shared" si="21"/>
        <v>0</v>
      </c>
      <c r="W37" s="2"/>
      <c r="X37" s="6">
        <f t="shared" si="22"/>
        <v>0</v>
      </c>
      <c r="Y37" s="2"/>
      <c r="Z37" s="7">
        <f t="shared" si="23"/>
        <v>0</v>
      </c>
    </row>
    <row r="38" spans="1:26" s="29" customFormat="1" outlineLevel="1" collapsed="1" x14ac:dyDescent="0.3">
      <c r="A38" s="28"/>
      <c r="B38" s="14" t="str">
        <f>CONCATENATE("     ","Equipment Rental                                  ")</f>
        <v xml:space="preserve">     Equipment Rental                                  </v>
      </c>
      <c r="C38" s="14"/>
      <c r="D38" s="1">
        <f>SUM(OSRRefD22_5x_0)</f>
        <v>117.71</v>
      </c>
      <c r="E38" s="1"/>
      <c r="F38" s="5">
        <f t="shared" si="16"/>
        <v>0</v>
      </c>
      <c r="G38" s="1"/>
      <c r="H38" s="1">
        <f>SUM(OSRRefH22_5x_0)</f>
        <v>117.71</v>
      </c>
      <c r="I38" s="1"/>
      <c r="J38" s="5">
        <f t="shared" si="17"/>
        <v>0</v>
      </c>
      <c r="K38" s="1"/>
      <c r="L38" s="1">
        <f t="shared" si="18"/>
        <v>0</v>
      </c>
      <c r="M38" s="1"/>
      <c r="N38" s="5">
        <f t="shared" si="19"/>
        <v>0</v>
      </c>
      <c r="O38" s="14"/>
      <c r="P38" s="1">
        <f>SUM(OSRRefP22_5x_0)</f>
        <v>588.54999999999995</v>
      </c>
      <c r="Q38" s="1"/>
      <c r="R38" s="5">
        <f t="shared" si="20"/>
        <v>0</v>
      </c>
      <c r="S38" s="1"/>
      <c r="T38" s="1">
        <f>SUM(OSRRefT22_5x_0)</f>
        <v>588.54999999999995</v>
      </c>
      <c r="U38" s="1"/>
      <c r="V38" s="5">
        <f t="shared" si="21"/>
        <v>0</v>
      </c>
      <c r="W38" s="1"/>
      <c r="X38" s="1">
        <f t="shared" si="22"/>
        <v>0</v>
      </c>
      <c r="Y38" s="1"/>
      <c r="Z38" s="5">
        <f t="shared" si="23"/>
        <v>0</v>
      </c>
    </row>
    <row r="39" spans="1:26" s="24" customFormat="1" hidden="1" outlineLevel="2" x14ac:dyDescent="0.3">
      <c r="A39" s="27"/>
      <c r="B39" s="11" t="str">
        <f>CONCATENATE("          ", "6351", " - ", "EQUIPMENT RENTAL")</f>
        <v xml:space="preserve">          6351 - EQUIPMENT RENTAL</v>
      </c>
      <c r="C39" s="11"/>
      <c r="D39" s="6">
        <v>117.71</v>
      </c>
      <c r="E39" s="2"/>
      <c r="F39" s="7">
        <f t="shared" si="16"/>
        <v>0</v>
      </c>
      <c r="G39" s="2"/>
      <c r="H39" s="6">
        <v>117.71</v>
      </c>
      <c r="I39" s="2"/>
      <c r="J39" s="7">
        <f t="shared" si="17"/>
        <v>0</v>
      </c>
      <c r="K39" s="2"/>
      <c r="L39" s="6">
        <f t="shared" si="18"/>
        <v>0</v>
      </c>
      <c r="M39" s="2"/>
      <c r="N39" s="7">
        <f t="shared" si="19"/>
        <v>0</v>
      </c>
      <c r="O39" s="11"/>
      <c r="P39" s="6">
        <v>588.54999999999995</v>
      </c>
      <c r="Q39" s="2"/>
      <c r="R39" s="7">
        <f t="shared" si="20"/>
        <v>0</v>
      </c>
      <c r="S39" s="2"/>
      <c r="T39" s="6">
        <v>588.54999999999995</v>
      </c>
      <c r="U39" s="2"/>
      <c r="V39" s="7">
        <f t="shared" si="21"/>
        <v>0</v>
      </c>
      <c r="W39" s="2"/>
      <c r="X39" s="6">
        <f t="shared" si="22"/>
        <v>0</v>
      </c>
      <c r="Y39" s="2"/>
      <c r="Z39" s="7">
        <f t="shared" si="23"/>
        <v>0</v>
      </c>
    </row>
    <row r="40" spans="1:26" s="29" customFormat="1" outlineLevel="1" collapsed="1" x14ac:dyDescent="0.3">
      <c r="A40" s="28"/>
      <c r="B40" s="14" t="str">
        <f>CONCATENATE("     ","Freight out/Postage                               ")</f>
        <v xml:space="preserve">     Freight out/Postage                               </v>
      </c>
      <c r="C40" s="14"/>
      <c r="D40" s="1">
        <f>SUM(OSRRefD22_6x_0)</f>
        <v>9.67</v>
      </c>
      <c r="E40" s="1"/>
      <c r="F40" s="5">
        <f t="shared" si="16"/>
        <v>0</v>
      </c>
      <c r="G40" s="1"/>
      <c r="H40" s="1">
        <f>SUM(OSRRefH22_6x_0)</f>
        <v>0</v>
      </c>
      <c r="I40" s="1"/>
      <c r="J40" s="5">
        <f t="shared" si="17"/>
        <v>0</v>
      </c>
      <c r="K40" s="1"/>
      <c r="L40" s="1">
        <f t="shared" si="18"/>
        <v>9.67</v>
      </c>
      <c r="M40" s="1"/>
      <c r="N40" s="5">
        <f t="shared" si="19"/>
        <v>0</v>
      </c>
      <c r="O40" s="14"/>
      <c r="P40" s="1">
        <f>SUM(OSRRefP22_6x_0)</f>
        <v>29.52</v>
      </c>
      <c r="Q40" s="1"/>
      <c r="R40" s="5">
        <f t="shared" si="20"/>
        <v>0</v>
      </c>
      <c r="S40" s="1"/>
      <c r="T40" s="1">
        <f>SUM(OSRRefT22_6x_0)</f>
        <v>63.56</v>
      </c>
      <c r="U40" s="1"/>
      <c r="V40" s="5">
        <f t="shared" si="21"/>
        <v>0</v>
      </c>
      <c r="W40" s="1"/>
      <c r="X40" s="1">
        <f t="shared" si="22"/>
        <v>-34.040000000000006</v>
      </c>
      <c r="Y40" s="1"/>
      <c r="Z40" s="5">
        <f t="shared" si="23"/>
        <v>-0.53555695405915682</v>
      </c>
    </row>
    <row r="41" spans="1:26" s="24" customFormat="1" hidden="1" outlineLevel="2" x14ac:dyDescent="0.3">
      <c r="A41" s="27"/>
      <c r="B41" s="11" t="str">
        <f>CONCATENATE("          ", "6307", " - ", "POSTAGE")</f>
        <v xml:space="preserve">          6307 - POSTAGE</v>
      </c>
      <c r="C41" s="11"/>
      <c r="D41" s="6">
        <v>9.67</v>
      </c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9.67</v>
      </c>
      <c r="M41" s="2"/>
      <c r="N41" s="7">
        <f t="shared" si="19"/>
        <v>0</v>
      </c>
      <c r="O41" s="11"/>
      <c r="P41" s="6">
        <v>29.52</v>
      </c>
      <c r="Q41" s="2"/>
      <c r="R41" s="7">
        <f t="shared" si="20"/>
        <v>0</v>
      </c>
      <c r="S41" s="2"/>
      <c r="T41" s="6">
        <v>63.56</v>
      </c>
      <c r="U41" s="2"/>
      <c r="V41" s="7">
        <f t="shared" si="21"/>
        <v>0</v>
      </c>
      <c r="W41" s="2"/>
      <c r="X41" s="6">
        <f t="shared" si="22"/>
        <v>-34.040000000000006</v>
      </c>
      <c r="Y41" s="2"/>
      <c r="Z41" s="7">
        <f t="shared" si="23"/>
        <v>-0.53555695405915682</v>
      </c>
    </row>
    <row r="42" spans="1:26" s="29" customFormat="1" outlineLevel="1" collapsed="1" x14ac:dyDescent="0.3">
      <c r="A42" s="28"/>
      <c r="B42" s="14" t="str">
        <f>CONCATENATE("     ","Insurance                                         ")</f>
        <v xml:space="preserve">     Insurance                                         </v>
      </c>
      <c r="C42" s="14"/>
      <c r="D42" s="1">
        <f>SUM(OSRRefD22_7x_0)</f>
        <v>156.47999999999999</v>
      </c>
      <c r="E42" s="1"/>
      <c r="F42" s="5">
        <f t="shared" si="16"/>
        <v>0</v>
      </c>
      <c r="G42" s="1"/>
      <c r="H42" s="1">
        <f>SUM(OSRRefH22_7x_0)</f>
        <v>115.13</v>
      </c>
      <c r="I42" s="1"/>
      <c r="J42" s="5">
        <f t="shared" si="17"/>
        <v>0</v>
      </c>
      <c r="K42" s="1"/>
      <c r="L42" s="1">
        <f t="shared" si="18"/>
        <v>41.349999999999994</v>
      </c>
      <c r="M42" s="1"/>
      <c r="N42" s="5">
        <f t="shared" si="19"/>
        <v>0.35915921132632672</v>
      </c>
      <c r="O42" s="14"/>
      <c r="P42" s="1">
        <f>SUM(OSRRefP22_7x_0)</f>
        <v>782.4</v>
      </c>
      <c r="Q42" s="1"/>
      <c r="R42" s="5">
        <f t="shared" si="20"/>
        <v>0</v>
      </c>
      <c r="S42" s="1"/>
      <c r="T42" s="1">
        <f>SUM(OSRRefT22_7x_0)</f>
        <v>575.65</v>
      </c>
      <c r="U42" s="1"/>
      <c r="V42" s="5">
        <f t="shared" si="21"/>
        <v>0</v>
      </c>
      <c r="W42" s="1"/>
      <c r="X42" s="1">
        <f t="shared" si="22"/>
        <v>206.75</v>
      </c>
      <c r="Y42" s="1"/>
      <c r="Z42" s="5">
        <f t="shared" si="23"/>
        <v>0.35915921132632678</v>
      </c>
    </row>
    <row r="43" spans="1:26" s="24" customFormat="1" hidden="1" outlineLevel="2" x14ac:dyDescent="0.3">
      <c r="A43" s="27"/>
      <c r="B43" s="11" t="str">
        <f>CONCATENATE("          ", "6314", " - ", "LIABILITY INSURANCE")</f>
        <v xml:space="preserve">          6314 - LIABILITY INSURANCE</v>
      </c>
      <c r="C43" s="11"/>
      <c r="D43" s="6">
        <v>156.47999999999999</v>
      </c>
      <c r="E43" s="2"/>
      <c r="F43" s="7">
        <f t="shared" si="16"/>
        <v>0</v>
      </c>
      <c r="G43" s="2"/>
      <c r="H43" s="6">
        <v>115.13</v>
      </c>
      <c r="I43" s="2"/>
      <c r="J43" s="7">
        <f t="shared" si="17"/>
        <v>0</v>
      </c>
      <c r="K43" s="2"/>
      <c r="L43" s="6">
        <f t="shared" si="18"/>
        <v>41.349999999999994</v>
      </c>
      <c r="M43" s="2"/>
      <c r="N43" s="7">
        <f t="shared" si="19"/>
        <v>0.35915921132632672</v>
      </c>
      <c r="O43" s="11"/>
      <c r="P43" s="6">
        <v>782.4</v>
      </c>
      <c r="Q43" s="2"/>
      <c r="R43" s="7">
        <f t="shared" si="20"/>
        <v>0</v>
      </c>
      <c r="S43" s="2"/>
      <c r="T43" s="6">
        <v>575.65</v>
      </c>
      <c r="U43" s="2"/>
      <c r="V43" s="7">
        <f t="shared" si="21"/>
        <v>0</v>
      </c>
      <c r="W43" s="2"/>
      <c r="X43" s="6">
        <f t="shared" si="22"/>
        <v>206.75</v>
      </c>
      <c r="Y43" s="2"/>
      <c r="Z43" s="7">
        <f t="shared" si="23"/>
        <v>0.35915921132632678</v>
      </c>
    </row>
    <row r="44" spans="1:26" s="29" customFormat="1" outlineLevel="1" collapsed="1" x14ac:dyDescent="0.3">
      <c r="A44" s="28"/>
      <c r="B44" s="14" t="str">
        <f>CONCATENATE("     ","Professional Services                             ")</f>
        <v xml:space="preserve">     Professional Services                             </v>
      </c>
      <c r="C44" s="14"/>
      <c r="D44" s="1">
        <f>SUM(OSRRefD22_8x_0)</f>
        <v>16550</v>
      </c>
      <c r="E44" s="1"/>
      <c r="F44" s="5">
        <f t="shared" si="16"/>
        <v>0</v>
      </c>
      <c r="G44" s="1"/>
      <c r="H44" s="1">
        <f>SUM(OSRRefH22_8x_0)</f>
        <v>10759.380000000001</v>
      </c>
      <c r="I44" s="1"/>
      <c r="J44" s="5">
        <f t="shared" si="17"/>
        <v>0</v>
      </c>
      <c r="K44" s="1"/>
      <c r="L44" s="1">
        <f t="shared" si="18"/>
        <v>5790.619999999999</v>
      </c>
      <c r="M44" s="1"/>
      <c r="N44" s="5">
        <f t="shared" si="19"/>
        <v>0.5381927211419244</v>
      </c>
      <c r="O44" s="14"/>
      <c r="P44" s="1">
        <f>SUM(OSRRefP22_8x_0)</f>
        <v>51875</v>
      </c>
      <c r="Q44" s="1"/>
      <c r="R44" s="5">
        <f t="shared" si="20"/>
        <v>0</v>
      </c>
      <c r="S44" s="1"/>
      <c r="T44" s="1">
        <f>SUM(OSRRefT22_8x_0)</f>
        <v>36689.379999999997</v>
      </c>
      <c r="U44" s="1"/>
      <c r="V44" s="5">
        <f t="shared" si="21"/>
        <v>0</v>
      </c>
      <c r="W44" s="1"/>
      <c r="X44" s="1">
        <f t="shared" si="22"/>
        <v>15185.620000000003</v>
      </c>
      <c r="Y44" s="1"/>
      <c r="Z44" s="5">
        <f t="shared" si="23"/>
        <v>0.41389688242210698</v>
      </c>
    </row>
    <row r="45" spans="1:26" s="24" customFormat="1" hidden="1" outlineLevel="2" x14ac:dyDescent="0.3">
      <c r="A45" s="27"/>
      <c r="B45" s="11" t="str">
        <f>CONCATENATE("          ", "6331", " - ", "INDIRECT COSTS-AUXILIARY ORGAN")</f>
        <v xml:space="preserve">          6331 - INDIRECT COSTS-AUXILIARY ORGAN</v>
      </c>
      <c r="C45" s="11"/>
      <c r="D45" s="6">
        <v>13100</v>
      </c>
      <c r="E45" s="2"/>
      <c r="F45" s="7">
        <f t="shared" si="16"/>
        <v>0</v>
      </c>
      <c r="G45" s="2"/>
      <c r="H45" s="6">
        <v>9500</v>
      </c>
      <c r="I45" s="2"/>
      <c r="J45" s="7">
        <f t="shared" si="17"/>
        <v>0</v>
      </c>
      <c r="K45" s="2"/>
      <c r="L45" s="6">
        <f t="shared" si="18"/>
        <v>3600</v>
      </c>
      <c r="M45" s="2"/>
      <c r="N45" s="7">
        <f t="shared" si="19"/>
        <v>0.37894736842105264</v>
      </c>
      <c r="O45" s="11"/>
      <c r="P45" s="6">
        <v>48350</v>
      </c>
      <c r="Q45" s="2"/>
      <c r="R45" s="7">
        <f t="shared" si="20"/>
        <v>0</v>
      </c>
      <c r="S45" s="2"/>
      <c r="T45" s="6">
        <v>33000</v>
      </c>
      <c r="U45" s="2"/>
      <c r="V45" s="7">
        <f t="shared" si="21"/>
        <v>0</v>
      </c>
      <c r="W45" s="2"/>
      <c r="X45" s="6">
        <f t="shared" si="22"/>
        <v>15350</v>
      </c>
      <c r="Y45" s="2"/>
      <c r="Z45" s="7">
        <f t="shared" si="23"/>
        <v>0.46515151515151515</v>
      </c>
    </row>
    <row r="46" spans="1:26" s="24" customFormat="1" hidden="1" outlineLevel="2" x14ac:dyDescent="0.3">
      <c r="A46" s="27"/>
      <c r="B46" s="11" t="str">
        <f>CONCATENATE("          ", "6334", " - ", "LEGAL COUNCIL EXPENSE")</f>
        <v xml:space="preserve">          6334 - LEGAL COUNCIL EXPENSE</v>
      </c>
      <c r="C46" s="11"/>
      <c r="D46" s="6">
        <v>125</v>
      </c>
      <c r="E46" s="2"/>
      <c r="F46" s="7">
        <f t="shared" si="16"/>
        <v>0</v>
      </c>
      <c r="G46" s="2"/>
      <c r="H46" s="6">
        <v>1259.3800000000001</v>
      </c>
      <c r="I46" s="2"/>
      <c r="J46" s="7">
        <f t="shared" si="17"/>
        <v>0</v>
      </c>
      <c r="K46" s="2"/>
      <c r="L46" s="6">
        <f t="shared" si="18"/>
        <v>-1134.3800000000001</v>
      </c>
      <c r="M46" s="2"/>
      <c r="N46" s="7">
        <f t="shared" si="19"/>
        <v>-0.90074481093871583</v>
      </c>
      <c r="O46" s="11"/>
      <c r="P46" s="6">
        <v>200</v>
      </c>
      <c r="Q46" s="2"/>
      <c r="R46" s="7">
        <f t="shared" si="20"/>
        <v>0</v>
      </c>
      <c r="S46" s="2"/>
      <c r="T46" s="6">
        <v>3689.38</v>
      </c>
      <c r="U46" s="2"/>
      <c r="V46" s="7">
        <f t="shared" si="21"/>
        <v>0</v>
      </c>
      <c r="W46" s="2"/>
      <c r="X46" s="6">
        <f t="shared" si="22"/>
        <v>-3489.38</v>
      </c>
      <c r="Y46" s="2"/>
      <c r="Z46" s="7">
        <f t="shared" si="23"/>
        <v>-0.94579034959803543</v>
      </c>
    </row>
    <row r="47" spans="1:26" s="24" customFormat="1" hidden="1" outlineLevel="2" x14ac:dyDescent="0.3">
      <c r="A47" s="27"/>
      <c r="B47" s="11" t="str">
        <f>CONCATENATE("          ", "6336", " - ", "PROFESSIONAL SERVICES")</f>
        <v xml:space="preserve">          6336 - PROFESSIONAL SERVICES</v>
      </c>
      <c r="C47" s="11"/>
      <c r="D47" s="6">
        <v>3325</v>
      </c>
      <c r="E47" s="2"/>
      <c r="F47" s="7">
        <f t="shared" si="16"/>
        <v>0</v>
      </c>
      <c r="G47" s="2"/>
      <c r="H47" s="6"/>
      <c r="I47" s="2"/>
      <c r="J47" s="7">
        <f t="shared" si="17"/>
        <v>0</v>
      </c>
      <c r="K47" s="2"/>
      <c r="L47" s="6">
        <f t="shared" si="18"/>
        <v>3325</v>
      </c>
      <c r="M47" s="2"/>
      <c r="N47" s="7">
        <f t="shared" si="19"/>
        <v>0</v>
      </c>
      <c r="O47" s="11"/>
      <c r="P47" s="6">
        <v>3325</v>
      </c>
      <c r="Q47" s="2"/>
      <c r="R47" s="7">
        <f t="shared" si="20"/>
        <v>0</v>
      </c>
      <c r="S47" s="2"/>
      <c r="T47" s="6"/>
      <c r="U47" s="2"/>
      <c r="V47" s="7">
        <f t="shared" si="21"/>
        <v>0</v>
      </c>
      <c r="W47" s="2"/>
      <c r="X47" s="6">
        <f t="shared" si="22"/>
        <v>3325</v>
      </c>
      <c r="Y47" s="2"/>
      <c r="Z47" s="7">
        <f t="shared" si="23"/>
        <v>0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SUM(OSRRefD22_9x_0)</f>
        <v>2616.94</v>
      </c>
      <c r="E48" s="1"/>
      <c r="F48" s="5">
        <f t="shared" ref="F48:F50" si="24">IF(D$12=0,0,D48/D$12)</f>
        <v>0</v>
      </c>
      <c r="G48" s="1"/>
      <c r="H48" s="1">
        <f>SUM(OSRRefH22_9x_0)</f>
        <v>2594.63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22.309999999999945</v>
      </c>
      <c r="M48" s="1"/>
      <c r="N48" s="5">
        <f t="shared" ref="N48:N50" si="27">IF(H48=0,0,L48/H48)</f>
        <v>8.5985284992464994E-3</v>
      </c>
      <c r="O48" s="14"/>
      <c r="P48" s="1">
        <f>SUM(OSRRefP22_9x_0)</f>
        <v>10621.58</v>
      </c>
      <c r="Q48" s="1"/>
      <c r="R48" s="5">
        <f t="shared" ref="R48:R50" si="28">IF(P$12=0,0,P48/P$12)</f>
        <v>0</v>
      </c>
      <c r="S48" s="1"/>
      <c r="T48" s="1">
        <f>SUM(OSRRefT22_9x_0)</f>
        <v>11812.26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-1190.6800000000003</v>
      </c>
      <c r="Y48" s="1"/>
      <c r="Z48" s="5">
        <f t="shared" ref="Z48:Z50" si="31">IF(T48=0,0,X48/T48)</f>
        <v>-0.10080035488551728</v>
      </c>
    </row>
    <row r="49" spans="1:26" s="24" customFormat="1" hidden="1" outlineLevel="2" x14ac:dyDescent="0.3">
      <c r="A49" s="27"/>
      <c r="B49" s="11" t="str">
        <f>CONCATENATE("          ", "6373", " - ", "MAINTENANCE CONTRACTS")</f>
        <v xml:space="preserve">          6373 - MAINTENANCE CONTRACTS</v>
      </c>
      <c r="C49" s="11"/>
      <c r="D49" s="6">
        <v>2616.94</v>
      </c>
      <c r="E49" s="2"/>
      <c r="F49" s="7">
        <f t="shared" si="24"/>
        <v>0</v>
      </c>
      <c r="G49" s="2"/>
      <c r="H49" s="6">
        <v>2594.63</v>
      </c>
      <c r="I49" s="2"/>
      <c r="J49" s="7">
        <f t="shared" si="25"/>
        <v>0</v>
      </c>
      <c r="K49" s="2"/>
      <c r="L49" s="6">
        <f t="shared" si="26"/>
        <v>22.309999999999945</v>
      </c>
      <c r="M49" s="2"/>
      <c r="N49" s="7">
        <f t="shared" si="27"/>
        <v>8.5985284992464994E-3</v>
      </c>
      <c r="O49" s="11"/>
      <c r="P49" s="6">
        <v>10523.59</v>
      </c>
      <c r="Q49" s="2"/>
      <c r="R49" s="7">
        <f t="shared" si="28"/>
        <v>0</v>
      </c>
      <c r="S49" s="2"/>
      <c r="T49" s="6">
        <v>11812.26</v>
      </c>
      <c r="U49" s="2"/>
      <c r="V49" s="7">
        <f t="shared" si="29"/>
        <v>0</v>
      </c>
      <c r="W49" s="2"/>
      <c r="X49" s="6">
        <f t="shared" si="30"/>
        <v>-1288.67</v>
      </c>
      <c r="Y49" s="2"/>
      <c r="Z49" s="7">
        <f t="shared" si="31"/>
        <v>-0.10909597316686223</v>
      </c>
    </row>
    <row r="50" spans="1:26" s="24" customFormat="1" hidden="1" outlineLevel="2" x14ac:dyDescent="0.3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0</v>
      </c>
      <c r="M50" s="2"/>
      <c r="N50" s="7">
        <f t="shared" si="27"/>
        <v>0</v>
      </c>
      <c r="O50" s="11"/>
      <c r="P50" s="6">
        <v>97.99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97.99</v>
      </c>
      <c r="Y50" s="2"/>
      <c r="Z50" s="7">
        <f t="shared" si="31"/>
        <v>0</v>
      </c>
    </row>
    <row r="51" spans="1:26" s="29" customFormat="1" outlineLevel="1" collapsed="1" x14ac:dyDescent="0.3">
      <c r="A51" s="28"/>
      <c r="B51" s="14" t="str">
        <f>CONCATENATE("     ","Subscriptions &amp; Dues                              ")</f>
        <v xml:space="preserve">     Subscriptions &amp; Dues                              </v>
      </c>
      <c r="C51" s="14"/>
      <c r="D51" s="1">
        <f>SUM(OSRRefD22_10x_0)</f>
        <v>0</v>
      </c>
      <c r="E51" s="1"/>
      <c r="F51" s="5">
        <f t="shared" ref="F51:F55" si="32">IF(D$12=0,0,D51/D$12)</f>
        <v>0</v>
      </c>
      <c r="G51" s="1"/>
      <c r="H51" s="1">
        <f>SUM(OSRRefH22_10x_0)</f>
        <v>0</v>
      </c>
      <c r="I51" s="1"/>
      <c r="J51" s="5">
        <f t="shared" ref="J51:J55" si="33">IF(H$12=0,0,H51/H$12)</f>
        <v>0</v>
      </c>
      <c r="K51" s="1"/>
      <c r="L51" s="1">
        <f t="shared" ref="L51:L55" si="34">+D51-H51</f>
        <v>0</v>
      </c>
      <c r="M51" s="1"/>
      <c r="N51" s="5">
        <f t="shared" ref="N51:N55" si="35">IF(H51=0,0,L51/H51)</f>
        <v>0</v>
      </c>
      <c r="O51" s="14"/>
      <c r="P51" s="1">
        <f>SUM(OSRRefP22_10x_0)</f>
        <v>1000</v>
      </c>
      <c r="Q51" s="1"/>
      <c r="R51" s="5">
        <f t="shared" ref="R51:R55" si="36">IF(P$12=0,0,P51/P$12)</f>
        <v>0</v>
      </c>
      <c r="S51" s="1"/>
      <c r="T51" s="1">
        <f>SUM(OSRRefT22_10x_0)</f>
        <v>1725</v>
      </c>
      <c r="U51" s="1"/>
      <c r="V51" s="5">
        <f t="shared" ref="V51:V55" si="37">IF(T$12=0,0,T51/T$12)</f>
        <v>0</v>
      </c>
      <c r="W51" s="1"/>
      <c r="X51" s="1">
        <f t="shared" ref="X51:X55" si="38">+P51-T51</f>
        <v>-725</v>
      </c>
      <c r="Y51" s="1"/>
      <c r="Z51" s="5">
        <f t="shared" ref="Z51:Z55" si="39">IF(T51=0,0,X51/T51)</f>
        <v>-0.42028985507246375</v>
      </c>
    </row>
    <row r="52" spans="1:26" s="24" customFormat="1" hidden="1" outlineLevel="2" x14ac:dyDescent="0.3">
      <c r="A52" s="27"/>
      <c r="B52" s="11" t="str">
        <f>CONCATENATE("          ", "6258", " - ", "MEMBERSHIP DUES")</f>
        <v xml:space="preserve">          6258 - MEMBERSHIP DUES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>
        <v>1000</v>
      </c>
      <c r="Q52" s="2"/>
      <c r="R52" s="7">
        <f t="shared" si="36"/>
        <v>0</v>
      </c>
      <c r="S52" s="2"/>
      <c r="T52" s="6">
        <v>1725</v>
      </c>
      <c r="U52" s="2"/>
      <c r="V52" s="7">
        <f t="shared" si="37"/>
        <v>0</v>
      </c>
      <c r="W52" s="2"/>
      <c r="X52" s="6">
        <f t="shared" si="38"/>
        <v>-725</v>
      </c>
      <c r="Y52" s="2"/>
      <c r="Z52" s="7">
        <f t="shared" si="39"/>
        <v>-0.42028985507246375</v>
      </c>
    </row>
    <row r="53" spans="1:26" s="29" customFormat="1" outlineLevel="1" collapsed="1" x14ac:dyDescent="0.3">
      <c r="A53" s="28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SUM(OSRRefD22_11x_0)</f>
        <v>119.88</v>
      </c>
      <c r="E53" s="1"/>
      <c r="F53" s="5">
        <f t="shared" si="32"/>
        <v>0</v>
      </c>
      <c r="G53" s="1"/>
      <c r="H53" s="1">
        <f>SUM(OSRRefH22_11x_0)</f>
        <v>125.93</v>
      </c>
      <c r="I53" s="1"/>
      <c r="J53" s="5">
        <f t="shared" si="33"/>
        <v>0</v>
      </c>
      <c r="K53" s="1"/>
      <c r="L53" s="1">
        <f t="shared" si="34"/>
        <v>-6.0500000000000114</v>
      </c>
      <c r="M53" s="1"/>
      <c r="N53" s="5">
        <f t="shared" si="35"/>
        <v>-4.8042563328833568E-2</v>
      </c>
      <c r="O53" s="14"/>
      <c r="P53" s="1">
        <f>SUM(OSRRefP22_11x_0)</f>
        <v>342.16</v>
      </c>
      <c r="Q53" s="1"/>
      <c r="R53" s="5">
        <f t="shared" si="36"/>
        <v>0</v>
      </c>
      <c r="S53" s="1"/>
      <c r="T53" s="1">
        <f>SUM(OSRRefT22_11x_0)</f>
        <v>535.41000000000008</v>
      </c>
      <c r="U53" s="1"/>
      <c r="V53" s="5">
        <f t="shared" si="37"/>
        <v>0</v>
      </c>
      <c r="W53" s="1"/>
      <c r="X53" s="1">
        <f t="shared" si="38"/>
        <v>-193.25000000000006</v>
      </c>
      <c r="Y53" s="1"/>
      <c r="Z53" s="5">
        <f t="shared" si="39"/>
        <v>-0.36093834631403976</v>
      </c>
    </row>
    <row r="54" spans="1:26" s="24" customFormat="1" hidden="1" outlineLevel="2" x14ac:dyDescent="0.3">
      <c r="A54" s="27"/>
      <c r="B54" s="11" t="str">
        <f>CONCATENATE("          ", "6235", " - ", "COVID-19 EXPENSES")</f>
        <v xml:space="preserve">          6235 - COVID-19 EXPENSES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/>
      <c r="Q54" s="2"/>
      <c r="R54" s="7">
        <f t="shared" si="36"/>
        <v>0</v>
      </c>
      <c r="S54" s="2"/>
      <c r="T54" s="6">
        <v>106.94</v>
      </c>
      <c r="U54" s="2"/>
      <c r="V54" s="7">
        <f t="shared" si="37"/>
        <v>0</v>
      </c>
      <c r="W54" s="2"/>
      <c r="X54" s="6">
        <f t="shared" si="38"/>
        <v>-106.94</v>
      </c>
      <c r="Y54" s="2"/>
      <c r="Z54" s="7">
        <f t="shared" si="39"/>
        <v>-1</v>
      </c>
    </row>
    <row r="55" spans="1:26" s="24" customFormat="1" hidden="1" outlineLevel="2" x14ac:dyDescent="0.3">
      <c r="A55" s="27"/>
      <c r="B55" s="11" t="str">
        <f>CONCATENATE("          ", "6241", " - ", "OFFICE EXPENSE")</f>
        <v xml:space="preserve">          6241 - OFFICE EXPENSE</v>
      </c>
      <c r="C55" s="11"/>
      <c r="D55" s="6">
        <v>119.88</v>
      </c>
      <c r="E55" s="2"/>
      <c r="F55" s="7">
        <f t="shared" si="32"/>
        <v>0</v>
      </c>
      <c r="G55" s="2"/>
      <c r="H55" s="6">
        <v>125.93</v>
      </c>
      <c r="I55" s="2"/>
      <c r="J55" s="7">
        <f t="shared" si="33"/>
        <v>0</v>
      </c>
      <c r="K55" s="2"/>
      <c r="L55" s="6">
        <f t="shared" si="34"/>
        <v>-6.0500000000000114</v>
      </c>
      <c r="M55" s="2"/>
      <c r="N55" s="7">
        <f t="shared" si="35"/>
        <v>-4.8042563328833568E-2</v>
      </c>
      <c r="O55" s="11"/>
      <c r="P55" s="6">
        <v>342.16</v>
      </c>
      <c r="Q55" s="2"/>
      <c r="R55" s="7">
        <f t="shared" si="36"/>
        <v>0</v>
      </c>
      <c r="S55" s="2"/>
      <c r="T55" s="6">
        <v>428.47</v>
      </c>
      <c r="U55" s="2"/>
      <c r="V55" s="7">
        <f t="shared" si="37"/>
        <v>0</v>
      </c>
      <c r="W55" s="2"/>
      <c r="X55" s="6">
        <f t="shared" si="38"/>
        <v>-86.31</v>
      </c>
      <c r="Y55" s="2"/>
      <c r="Z55" s="7">
        <f t="shared" si="39"/>
        <v>-0.20143767358274792</v>
      </c>
    </row>
    <row r="56" spans="1:26" s="29" customFormat="1" outlineLevel="1" collapsed="1" x14ac:dyDescent="0.3">
      <c r="A56" s="28"/>
      <c r="B56" s="14" t="str">
        <f>CONCATENATE("     ","Telephone/Data Lines                              ")</f>
        <v xml:space="preserve">     Telephone/Data Lines                              </v>
      </c>
      <c r="C56" s="14"/>
      <c r="D56" s="1">
        <f>SUM(OSRRefD22_12x_0)</f>
        <v>436.69</v>
      </c>
      <c r="E56" s="1"/>
      <c r="F56" s="5">
        <f t="shared" ref="F56:F59" si="40">IF(D$12=0,0,D56/D$12)</f>
        <v>0</v>
      </c>
      <c r="G56" s="1"/>
      <c r="H56" s="1">
        <f>SUM(OSRRefH22_12x_0)</f>
        <v>239</v>
      </c>
      <c r="I56" s="1"/>
      <c r="J56" s="5">
        <f t="shared" ref="J56:J59" si="41">IF(H$12=0,0,H56/H$12)</f>
        <v>0</v>
      </c>
      <c r="K56" s="1"/>
      <c r="L56" s="1">
        <f t="shared" ref="L56:L59" si="42">+D56-H56</f>
        <v>197.69</v>
      </c>
      <c r="M56" s="1"/>
      <c r="N56" s="5">
        <f t="shared" ref="N56:N59" si="43">IF(H56=0,0,L56/H56)</f>
        <v>0.82715481171548111</v>
      </c>
      <c r="O56" s="14"/>
      <c r="P56" s="1">
        <f>SUM(OSRRefP22_12x_0)</f>
        <v>2306.56</v>
      </c>
      <c r="Q56" s="1"/>
      <c r="R56" s="5">
        <f t="shared" ref="R56:R59" si="44">IF(P$12=0,0,P56/P$12)</f>
        <v>0</v>
      </c>
      <c r="S56" s="1"/>
      <c r="T56" s="1">
        <f>SUM(OSRRefT22_12x_0)</f>
        <v>1645.12</v>
      </c>
      <c r="U56" s="1"/>
      <c r="V56" s="5">
        <f t="shared" ref="V56:V59" si="45">IF(T$12=0,0,T56/T$12)</f>
        <v>0</v>
      </c>
      <c r="W56" s="1"/>
      <c r="X56" s="1">
        <f t="shared" ref="X56:X59" si="46">+P56-T56</f>
        <v>661.44</v>
      </c>
      <c r="Y56" s="1"/>
      <c r="Z56" s="5">
        <f t="shared" ref="Z56:Z59" si="47">IF(T56=0,0,X56/T56)</f>
        <v>0.40206185567010316</v>
      </c>
    </row>
    <row r="57" spans="1:26" s="24" customFormat="1" hidden="1" outlineLevel="2" x14ac:dyDescent="0.3">
      <c r="A57" s="27"/>
      <c r="B57" s="11" t="str">
        <f>CONCATENATE("          ", "6309", " - ", "TELEPHONE")</f>
        <v xml:space="preserve">          6309 - TELEPHONE</v>
      </c>
      <c r="C57" s="11"/>
      <c r="D57" s="6">
        <v>436.69</v>
      </c>
      <c r="E57" s="2"/>
      <c r="F57" s="7">
        <f t="shared" si="40"/>
        <v>0</v>
      </c>
      <c r="G57" s="2"/>
      <c r="H57" s="6">
        <v>239</v>
      </c>
      <c r="I57" s="2"/>
      <c r="J57" s="7">
        <f t="shared" si="41"/>
        <v>0</v>
      </c>
      <c r="K57" s="2"/>
      <c r="L57" s="6">
        <f t="shared" si="42"/>
        <v>197.69</v>
      </c>
      <c r="M57" s="2"/>
      <c r="N57" s="7">
        <f t="shared" si="43"/>
        <v>0.82715481171548111</v>
      </c>
      <c r="O57" s="11"/>
      <c r="P57" s="6">
        <v>2306.56</v>
      </c>
      <c r="Q57" s="2"/>
      <c r="R57" s="7">
        <f t="shared" si="44"/>
        <v>0</v>
      </c>
      <c r="S57" s="2"/>
      <c r="T57" s="6">
        <v>1645.12</v>
      </c>
      <c r="U57" s="2"/>
      <c r="V57" s="7">
        <f t="shared" si="45"/>
        <v>0</v>
      </c>
      <c r="W57" s="2"/>
      <c r="X57" s="6">
        <f t="shared" si="46"/>
        <v>661.44</v>
      </c>
      <c r="Y57" s="2"/>
      <c r="Z57" s="7">
        <f t="shared" si="47"/>
        <v>0.40206185567010316</v>
      </c>
    </row>
    <row r="58" spans="1:26" s="29" customFormat="1" outlineLevel="1" collapsed="1" x14ac:dyDescent="0.3">
      <c r="A58" s="28"/>
      <c r="B58" s="14" t="str">
        <f>CONCATENATE("     ","Training                                          ")</f>
        <v xml:space="preserve">     Training                                          </v>
      </c>
      <c r="C58" s="14"/>
      <c r="D58" s="1">
        <f>SUM(OSRRefD22_13x_0)</f>
        <v>595</v>
      </c>
      <c r="E58" s="1"/>
      <c r="F58" s="5">
        <f t="shared" si="40"/>
        <v>0</v>
      </c>
      <c r="G58" s="1"/>
      <c r="H58" s="1">
        <f>SUM(OSRRefH22_13x_0)</f>
        <v>1126.5</v>
      </c>
      <c r="I58" s="1"/>
      <c r="J58" s="5">
        <f t="shared" si="41"/>
        <v>0</v>
      </c>
      <c r="K58" s="1"/>
      <c r="L58" s="1">
        <f t="shared" si="42"/>
        <v>-531.5</v>
      </c>
      <c r="M58" s="1"/>
      <c r="N58" s="5">
        <f t="shared" si="43"/>
        <v>-0.47181535730137597</v>
      </c>
      <c r="O58" s="14"/>
      <c r="P58" s="1">
        <f>SUM(OSRRefP22_13x_0)</f>
        <v>595</v>
      </c>
      <c r="Q58" s="1"/>
      <c r="R58" s="5">
        <f t="shared" si="44"/>
        <v>0</v>
      </c>
      <c r="S58" s="1"/>
      <c r="T58" s="1">
        <f>SUM(OSRRefT22_13x_0)</f>
        <v>1126.5</v>
      </c>
      <c r="U58" s="1"/>
      <c r="V58" s="5">
        <f t="shared" si="45"/>
        <v>0</v>
      </c>
      <c r="W58" s="1"/>
      <c r="X58" s="1">
        <f t="shared" si="46"/>
        <v>-531.5</v>
      </c>
      <c r="Y58" s="1"/>
      <c r="Z58" s="5">
        <f t="shared" si="47"/>
        <v>-0.47181535730137597</v>
      </c>
    </row>
    <row r="59" spans="1:26" s="24" customFormat="1" hidden="1" outlineLevel="2" x14ac:dyDescent="0.3">
      <c r="A59" s="27"/>
      <c r="B59" s="11" t="str">
        <f>CONCATENATE("          ", "6376", " - ", "TRAINING")</f>
        <v xml:space="preserve">          6376 - TRAINING</v>
      </c>
      <c r="C59" s="11"/>
      <c r="D59" s="6">
        <v>595</v>
      </c>
      <c r="E59" s="2"/>
      <c r="F59" s="7">
        <f t="shared" si="40"/>
        <v>0</v>
      </c>
      <c r="G59" s="2"/>
      <c r="H59" s="6">
        <v>1126.5</v>
      </c>
      <c r="I59" s="2"/>
      <c r="J59" s="7">
        <f t="shared" si="41"/>
        <v>0</v>
      </c>
      <c r="K59" s="2"/>
      <c r="L59" s="6">
        <f t="shared" si="42"/>
        <v>-531.5</v>
      </c>
      <c r="M59" s="2"/>
      <c r="N59" s="7">
        <f t="shared" si="43"/>
        <v>-0.47181535730137597</v>
      </c>
      <c r="O59" s="11"/>
      <c r="P59" s="6">
        <v>595</v>
      </c>
      <c r="Q59" s="2"/>
      <c r="R59" s="7">
        <f t="shared" si="44"/>
        <v>0</v>
      </c>
      <c r="S59" s="2"/>
      <c r="T59" s="6">
        <v>1126.5</v>
      </c>
      <c r="U59" s="2"/>
      <c r="V59" s="7">
        <f t="shared" si="45"/>
        <v>0</v>
      </c>
      <c r="W59" s="2"/>
      <c r="X59" s="6">
        <f t="shared" si="46"/>
        <v>-531.5</v>
      </c>
      <c r="Y59" s="2"/>
      <c r="Z59" s="7">
        <f t="shared" si="47"/>
        <v>-0.47181535730137597</v>
      </c>
    </row>
    <row r="60" spans="1:26" s="62" customFormat="1" x14ac:dyDescent="0.3">
      <c r="A60" s="37"/>
      <c r="B60" s="37"/>
      <c r="C60" s="37"/>
      <c r="D60" s="1"/>
      <c r="E60" s="1"/>
      <c r="F60" s="5"/>
      <c r="G60" s="1"/>
      <c r="H60" s="1"/>
      <c r="I60" s="1"/>
      <c r="J60" s="5"/>
      <c r="K60" s="1"/>
      <c r="L60" s="1"/>
      <c r="M60" s="1"/>
      <c r="N60" s="5"/>
      <c r="O60" s="37"/>
      <c r="P60" s="1"/>
      <c r="Q60" s="1"/>
      <c r="R60" s="5"/>
      <c r="S60" s="1"/>
      <c r="T60" s="1"/>
      <c r="U60" s="1"/>
      <c r="V60" s="5"/>
      <c r="W60" s="1"/>
      <c r="X60" s="1"/>
      <c r="Y60" s="1"/>
      <c r="Z60" s="5"/>
    </row>
    <row r="61" spans="1:26" s="23" customFormat="1" x14ac:dyDescent="0.3">
      <c r="A61" s="10"/>
      <c r="B61" s="26" t="s">
        <v>292</v>
      </c>
      <c r="C61" s="10"/>
      <c r="D61" s="4">
        <f>SUM(0)</f>
        <v>0</v>
      </c>
      <c r="E61" s="4"/>
      <c r="F61" s="12">
        <f>IF(D$12=0,0,D61/D$12)</f>
        <v>0</v>
      </c>
      <c r="G61" s="4"/>
      <c r="H61" s="4">
        <f>SUM(0)</f>
        <v>0</v>
      </c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>
        <f>SUM(0)</f>
        <v>0</v>
      </c>
      <c r="Q61" s="4"/>
      <c r="R61" s="12">
        <f>IF(P$12=0,0,P61/P$12)</f>
        <v>0</v>
      </c>
      <c r="S61" s="4"/>
      <c r="T61" s="4">
        <f>SUM(0)</f>
        <v>0</v>
      </c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x14ac:dyDescent="0.3">
      <c r="A63" s="10"/>
      <c r="B63" s="25" t="s">
        <v>276</v>
      </c>
      <c r="C63" s="25"/>
      <c r="D63" s="21">
        <f>+D16-D18+D61</f>
        <v>-72649.430000000008</v>
      </c>
      <c r="E63" s="13"/>
      <c r="F63" s="22">
        <f>IF(D$12=0,0,D63/D$12)</f>
        <v>0</v>
      </c>
      <c r="G63" s="13"/>
      <c r="H63" s="21">
        <f>+H16-H18+H61</f>
        <v>-45348.319999999992</v>
      </c>
      <c r="I63" s="13"/>
      <c r="J63" s="22">
        <f>IF(H$12=0,0,H63/H$12)</f>
        <v>0</v>
      </c>
      <c r="K63" s="16"/>
      <c r="L63" s="21">
        <f>+D63-H63</f>
        <v>-27301.110000000015</v>
      </c>
      <c r="M63" s="16"/>
      <c r="N63" s="22">
        <f>IF(H63=0,0,L63/H63)</f>
        <v>0.60203134316772966</v>
      </c>
      <c r="O63" s="26"/>
      <c r="P63" s="21">
        <f>+P16-P18+P61</f>
        <v>-208633.72999999998</v>
      </c>
      <c r="Q63" s="13"/>
      <c r="R63" s="22">
        <f>IF(P$12=0,0,P63/P$12)</f>
        <v>0</v>
      </c>
      <c r="S63" s="13"/>
      <c r="T63" s="21">
        <f>+T16-T18+T61</f>
        <v>-187915.14</v>
      </c>
      <c r="U63" s="13"/>
      <c r="V63" s="22">
        <f>IF(T$12=0,0,T63/T$12)</f>
        <v>0</v>
      </c>
      <c r="W63" s="16"/>
      <c r="X63" s="21">
        <f>+P63-T63</f>
        <v>-20718.589999999967</v>
      </c>
      <c r="Y63" s="16"/>
      <c r="Z63" s="22">
        <f>IF(T63=0,0,X63/T63)</f>
        <v>0.11025503320275293</v>
      </c>
    </row>
    <row r="64" spans="1:26" x14ac:dyDescent="0.3">
      <c r="A64" s="9"/>
      <c r="B64" s="10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s="23" customFormat="1" x14ac:dyDescent="0.3">
      <c r="A65" s="51"/>
      <c r="B65" s="10" t="s">
        <v>127</v>
      </c>
      <c r="C65" s="10"/>
      <c r="D65" s="4"/>
      <c r="E65" s="4"/>
      <c r="F65" s="12">
        <f>IF(D$12=0,0,D65/D$12)</f>
        <v>0</v>
      </c>
      <c r="G65" s="4"/>
      <c r="H65" s="4"/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/>
      <c r="Q65" s="4"/>
      <c r="R65" s="12">
        <f>IF(P$12=0,0,P65/P$12)</f>
        <v>0</v>
      </c>
      <c r="S65" s="4"/>
      <c r="T65" s="4"/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ht="15" thickBot="1" x14ac:dyDescent="0.35">
      <c r="A67" s="10"/>
      <c r="B67" s="25" t="s">
        <v>125</v>
      </c>
      <c r="C67" s="25"/>
      <c r="D67" s="35">
        <f>+D63-D65</f>
        <v>-72649.430000000008</v>
      </c>
      <c r="E67" s="13"/>
      <c r="F67" s="31">
        <f>IF(D$12=0,0,D67/D$12)</f>
        <v>0</v>
      </c>
      <c r="G67" s="13"/>
      <c r="H67" s="35">
        <f>+H63-H65</f>
        <v>-45348.319999999992</v>
      </c>
      <c r="I67" s="13"/>
      <c r="J67" s="31">
        <f>IF(H$12=0,0,H67/H$12)</f>
        <v>0</v>
      </c>
      <c r="K67" s="16"/>
      <c r="L67" s="35">
        <f>D67-H67</f>
        <v>-27301.110000000015</v>
      </c>
      <c r="M67" s="16"/>
      <c r="N67" s="31">
        <f>IF(H67=0,0,L67/H67)</f>
        <v>0.60203134316772966</v>
      </c>
      <c r="O67" s="26"/>
      <c r="P67" s="35">
        <f>+P63-P65</f>
        <v>-208633.72999999998</v>
      </c>
      <c r="Q67" s="13"/>
      <c r="R67" s="31">
        <f>IF(P$12=0,0,P67/P$12)</f>
        <v>0</v>
      </c>
      <c r="S67" s="13"/>
      <c r="T67" s="35">
        <f>+T63-T65</f>
        <v>-187915.14</v>
      </c>
      <c r="U67" s="13"/>
      <c r="V67" s="31">
        <f>IF(T$12=0,0,T67/T$12)</f>
        <v>0</v>
      </c>
      <c r="W67" s="16"/>
      <c r="X67" s="35">
        <f>P67-T67</f>
        <v>-20718.589999999967</v>
      </c>
      <c r="Y67" s="16"/>
      <c r="Z67" s="31">
        <f>IF(T67=0,0,X67/T67)</f>
        <v>0.11025503320275293</v>
      </c>
    </row>
    <row r="68" spans="1:26" ht="15" thickTop="1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x14ac:dyDescent="0.3">
      <c r="A69" s="9"/>
      <c r="B69" s="9"/>
      <c r="C69" s="9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293</v>
      </c>
      <c r="C70" s="25"/>
      <c r="D70" s="36">
        <f>SUM(D67:D69)</f>
        <v>-72649.430000000008</v>
      </c>
      <c r="E70" s="13"/>
      <c r="F70" s="33">
        <f>IF(D$12=0,0,D70/D$12)</f>
        <v>0</v>
      </c>
      <c r="G70" s="13"/>
      <c r="H70" s="36">
        <f>SUM(H67:H69)</f>
        <v>-45348.319999999992</v>
      </c>
      <c r="I70" s="13"/>
      <c r="J70" s="33">
        <f>IF(H$12=0,0,H70/H$12)</f>
        <v>0</v>
      </c>
      <c r="K70" s="16"/>
      <c r="L70" s="36">
        <f>+D70-H70</f>
        <v>-27301.110000000015</v>
      </c>
      <c r="M70" s="16"/>
      <c r="N70" s="33">
        <f>IF(H70=0,0,L70/H70)</f>
        <v>0.60203134316772966</v>
      </c>
      <c r="O70" s="26"/>
      <c r="P70" s="36">
        <f>SUM(P67:P69)</f>
        <v>-208633.72999999998</v>
      </c>
      <c r="Q70" s="13"/>
      <c r="R70" s="33">
        <f>IF(P$12=0,0,P70/P$12)</f>
        <v>0</v>
      </c>
      <c r="S70" s="13"/>
      <c r="T70" s="36">
        <f>SUM(T67:T69)</f>
        <v>-187915.14</v>
      </c>
      <c r="U70" s="13"/>
      <c r="V70" s="33">
        <f>IF(T$12=0,0,T70/T$12)</f>
        <v>0</v>
      </c>
      <c r="W70" s="16"/>
      <c r="X70" s="36">
        <f>+P70-T70</f>
        <v>-20718.589999999967</v>
      </c>
      <c r="Y70" s="16"/>
      <c r="Z70" s="33">
        <f>IF(T70=0,0,X70/T70)</f>
        <v>0.11025503320275293</v>
      </c>
    </row>
    <row r="71" spans="1:26" ht="15" thickTop="1" x14ac:dyDescent="0.3">
      <c r="A71" s="9"/>
      <c r="C71" s="9"/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2">
        <v>44543.765594675926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A73" s="9"/>
      <c r="B73" s="59" t="s">
        <v>56</v>
      </c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A74" s="9"/>
      <c r="B74" s="61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</sheetData>
  <pageMargins left="0.25" right="0.25" top="0.75" bottom="0.75" header="0.3" footer="0.3"/>
  <pageSetup scale="55" fitToWidth="2" orientation="landscape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92D050"/>
    <outlinePr summaryBelow="0" summaryRight="0"/>
  </sheetPr>
  <dimension ref="A2:Z7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","202", " - ", "Accounting")</f>
        <v>Department 202 - Accounting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38788.509999999995</v>
      </c>
      <c r="E18" s="20"/>
      <c r="F18" s="32">
        <f t="shared" ref="F18:F27" si="0">IF(D$12=0,0,D18/D$12)</f>
        <v>0</v>
      </c>
      <c r="G18" s="20"/>
      <c r="H18" s="20">
        <f>SUM(OSRRefH22x_0)</f>
        <v>34438.060000000005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4350.4499999999898</v>
      </c>
      <c r="M18" s="4"/>
      <c r="N18" s="32">
        <f t="shared" ref="N18:N27" si="3">IF(H18=0,0,L18/H18)</f>
        <v>0.12632680238085389</v>
      </c>
      <c r="O18" s="10"/>
      <c r="P18" s="20">
        <f>SUM(OSRRefP22x_0)</f>
        <v>204878.15999999997</v>
      </c>
      <c r="Q18" s="20"/>
      <c r="R18" s="32">
        <f t="shared" ref="R18:R27" si="4">IF(P$12=0,0,P18/P$12)</f>
        <v>0</v>
      </c>
      <c r="S18" s="20"/>
      <c r="T18" s="20">
        <f>SUM(OSRRefT22x_0)</f>
        <v>190594.6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14283.559999999969</v>
      </c>
      <c r="Y18" s="4"/>
      <c r="Z18" s="32">
        <f t="shared" ref="Z18:Z27" si="7">IF(T18=0,0,X18/T18)</f>
        <v>7.4942102242141012E-2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13133.77</v>
      </c>
      <c r="E19" s="1"/>
      <c r="F19" s="5">
        <f t="shared" si="0"/>
        <v>0</v>
      </c>
      <c r="G19" s="1"/>
      <c r="H19" s="1">
        <f>SUM(OSRRefH22_0x_0)</f>
        <v>13535.680000000002</v>
      </c>
      <c r="I19" s="1"/>
      <c r="J19" s="5">
        <f t="shared" si="1"/>
        <v>0</v>
      </c>
      <c r="K19" s="1"/>
      <c r="L19" s="1">
        <f t="shared" si="2"/>
        <v>-401.91000000000167</v>
      </c>
      <c r="M19" s="1"/>
      <c r="N19" s="5">
        <f t="shared" si="3"/>
        <v>-2.9692634577649708E-2</v>
      </c>
      <c r="O19" s="14"/>
      <c r="P19" s="1">
        <f>SUM(OSRRefP22_0x_0)</f>
        <v>67680.210000000006</v>
      </c>
      <c r="Q19" s="1"/>
      <c r="R19" s="5">
        <f t="shared" si="4"/>
        <v>0</v>
      </c>
      <c r="S19" s="1"/>
      <c r="T19" s="1">
        <f>SUM(OSRRefT22_0x_0)</f>
        <v>67076.409999999989</v>
      </c>
      <c r="U19" s="1"/>
      <c r="V19" s="5">
        <f t="shared" si="5"/>
        <v>0</v>
      </c>
      <c r="W19" s="1"/>
      <c r="X19" s="1">
        <f t="shared" si="6"/>
        <v>603.80000000001746</v>
      </c>
      <c r="Y19" s="1"/>
      <c r="Z19" s="5">
        <f t="shared" si="7"/>
        <v>9.0016743591378491E-3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1695.13</v>
      </c>
      <c r="E20" s="2"/>
      <c r="F20" s="7">
        <f t="shared" si="0"/>
        <v>0</v>
      </c>
      <c r="G20" s="2"/>
      <c r="H20" s="6">
        <v>1639.1</v>
      </c>
      <c r="I20" s="2"/>
      <c r="J20" s="7">
        <f t="shared" si="1"/>
        <v>0</v>
      </c>
      <c r="K20" s="2"/>
      <c r="L20" s="6">
        <f t="shared" si="2"/>
        <v>56.0300000000002</v>
      </c>
      <c r="M20" s="2"/>
      <c r="N20" s="7">
        <f t="shared" si="3"/>
        <v>3.4183393325605639E-2</v>
      </c>
      <c r="O20" s="11"/>
      <c r="P20" s="6">
        <v>9027.8799999999992</v>
      </c>
      <c r="Q20" s="2"/>
      <c r="R20" s="7">
        <f t="shared" si="4"/>
        <v>0</v>
      </c>
      <c r="S20" s="2"/>
      <c r="T20" s="6">
        <v>10177.43</v>
      </c>
      <c r="U20" s="2"/>
      <c r="V20" s="7">
        <f t="shared" si="5"/>
        <v>0</v>
      </c>
      <c r="W20" s="2"/>
      <c r="X20" s="6">
        <f t="shared" si="6"/>
        <v>-1149.5500000000011</v>
      </c>
      <c r="Y20" s="2"/>
      <c r="Z20" s="7">
        <f t="shared" si="7"/>
        <v>-0.11295091196893528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291.88</v>
      </c>
      <c r="E21" s="2"/>
      <c r="F21" s="7">
        <f t="shared" si="0"/>
        <v>0</v>
      </c>
      <c r="G21" s="2"/>
      <c r="H21" s="6">
        <v>157.1</v>
      </c>
      <c r="I21" s="2"/>
      <c r="J21" s="7">
        <f t="shared" si="1"/>
        <v>0</v>
      </c>
      <c r="K21" s="2"/>
      <c r="L21" s="6">
        <f t="shared" si="2"/>
        <v>134.78</v>
      </c>
      <c r="M21" s="2"/>
      <c r="N21" s="7">
        <f t="shared" si="3"/>
        <v>0.85792488860598348</v>
      </c>
      <c r="O21" s="11"/>
      <c r="P21" s="6">
        <v>1554.57</v>
      </c>
      <c r="Q21" s="2"/>
      <c r="R21" s="7">
        <f t="shared" si="4"/>
        <v>0</v>
      </c>
      <c r="S21" s="2"/>
      <c r="T21" s="6">
        <v>437.2</v>
      </c>
      <c r="U21" s="2"/>
      <c r="V21" s="7">
        <f t="shared" si="5"/>
        <v>0</v>
      </c>
      <c r="W21" s="2"/>
      <c r="X21" s="6">
        <f t="shared" si="6"/>
        <v>1117.3699999999999</v>
      </c>
      <c r="Y21" s="2"/>
      <c r="Z21" s="7">
        <f t="shared" si="7"/>
        <v>2.5557410795974382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6221.66</v>
      </c>
      <c r="E22" s="2"/>
      <c r="F22" s="7">
        <f t="shared" si="0"/>
        <v>0</v>
      </c>
      <c r="G22" s="2"/>
      <c r="H22" s="6">
        <v>6246.72</v>
      </c>
      <c r="I22" s="2"/>
      <c r="J22" s="7">
        <f t="shared" si="1"/>
        <v>0</v>
      </c>
      <c r="K22" s="2"/>
      <c r="L22" s="6">
        <f t="shared" si="2"/>
        <v>-25.0600000000004</v>
      </c>
      <c r="M22" s="2"/>
      <c r="N22" s="7">
        <f t="shared" si="3"/>
        <v>-4.0117053429640512E-3</v>
      </c>
      <c r="O22" s="11"/>
      <c r="P22" s="6">
        <v>31153.3</v>
      </c>
      <c r="Q22" s="2"/>
      <c r="R22" s="7">
        <f t="shared" si="4"/>
        <v>0</v>
      </c>
      <c r="S22" s="2"/>
      <c r="T22" s="6">
        <v>29194.560000000001</v>
      </c>
      <c r="U22" s="2"/>
      <c r="V22" s="7">
        <f t="shared" si="5"/>
        <v>0</v>
      </c>
      <c r="W22" s="2"/>
      <c r="X22" s="6">
        <f t="shared" si="6"/>
        <v>1958.739999999998</v>
      </c>
      <c r="Y22" s="2"/>
      <c r="Z22" s="7">
        <f t="shared" si="7"/>
        <v>6.7092636436377112E-2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58.83</v>
      </c>
      <c r="E23" s="2"/>
      <c r="F23" s="7">
        <f t="shared" si="0"/>
        <v>0</v>
      </c>
      <c r="G23" s="2"/>
      <c r="H23" s="6">
        <v>123.77</v>
      </c>
      <c r="I23" s="2"/>
      <c r="J23" s="7">
        <f t="shared" si="1"/>
        <v>0</v>
      </c>
      <c r="K23" s="2"/>
      <c r="L23" s="6">
        <f t="shared" si="2"/>
        <v>-64.94</v>
      </c>
      <c r="M23" s="2"/>
      <c r="N23" s="7">
        <f t="shared" si="3"/>
        <v>-0.52468287953462067</v>
      </c>
      <c r="O23" s="11"/>
      <c r="P23" s="6">
        <v>313.33</v>
      </c>
      <c r="Q23" s="2"/>
      <c r="R23" s="7">
        <f t="shared" si="4"/>
        <v>0</v>
      </c>
      <c r="S23" s="2"/>
      <c r="T23" s="6">
        <v>344.44</v>
      </c>
      <c r="U23" s="2"/>
      <c r="V23" s="7">
        <f t="shared" si="5"/>
        <v>0</v>
      </c>
      <c r="W23" s="2"/>
      <c r="X23" s="6">
        <f t="shared" si="6"/>
        <v>-31.110000000000014</v>
      </c>
      <c r="Y23" s="2"/>
      <c r="Z23" s="7">
        <f t="shared" si="7"/>
        <v>-9.0320520264777646E-2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2025.79</v>
      </c>
      <c r="E24" s="2"/>
      <c r="F24" s="7">
        <f t="shared" si="0"/>
        <v>0</v>
      </c>
      <c r="G24" s="2"/>
      <c r="H24" s="6">
        <v>2830.05</v>
      </c>
      <c r="I24" s="2"/>
      <c r="J24" s="7">
        <f t="shared" si="1"/>
        <v>0</v>
      </c>
      <c r="K24" s="2"/>
      <c r="L24" s="6">
        <f t="shared" si="2"/>
        <v>-804.26000000000022</v>
      </c>
      <c r="M24" s="2"/>
      <c r="N24" s="7">
        <f t="shared" si="3"/>
        <v>-0.28418579177046349</v>
      </c>
      <c r="O24" s="11"/>
      <c r="P24" s="6">
        <v>10791.39</v>
      </c>
      <c r="Q24" s="2"/>
      <c r="R24" s="7">
        <f t="shared" si="4"/>
        <v>0</v>
      </c>
      <c r="S24" s="2"/>
      <c r="T24" s="6">
        <v>11734.48</v>
      </c>
      <c r="U24" s="2"/>
      <c r="V24" s="7">
        <f t="shared" si="5"/>
        <v>0</v>
      </c>
      <c r="W24" s="2"/>
      <c r="X24" s="6">
        <f t="shared" si="6"/>
        <v>-943.09000000000015</v>
      </c>
      <c r="Y24" s="2"/>
      <c r="Z24" s="7">
        <f t="shared" si="7"/>
        <v>-8.0369134380049237E-2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>
        <v>1210.92</v>
      </c>
      <c r="E25" s="2"/>
      <c r="F25" s="7">
        <f t="shared" si="0"/>
        <v>0</v>
      </c>
      <c r="G25" s="2"/>
      <c r="H25" s="6">
        <v>1559.44</v>
      </c>
      <c r="I25" s="2"/>
      <c r="J25" s="7">
        <f t="shared" si="1"/>
        <v>0</v>
      </c>
      <c r="K25" s="2"/>
      <c r="L25" s="6">
        <f t="shared" si="2"/>
        <v>-348.52</v>
      </c>
      <c r="M25" s="2"/>
      <c r="N25" s="7">
        <f t="shared" si="3"/>
        <v>-0.22349048376340222</v>
      </c>
      <c r="O25" s="11"/>
      <c r="P25" s="6">
        <v>6717.5</v>
      </c>
      <c r="Q25" s="2"/>
      <c r="R25" s="7">
        <f t="shared" si="4"/>
        <v>0</v>
      </c>
      <c r="S25" s="2"/>
      <c r="T25" s="6">
        <v>8538.23</v>
      </c>
      <c r="U25" s="2"/>
      <c r="V25" s="7">
        <f t="shared" si="5"/>
        <v>0</v>
      </c>
      <c r="W25" s="2"/>
      <c r="X25" s="6">
        <f t="shared" si="6"/>
        <v>-1820.7299999999996</v>
      </c>
      <c r="Y25" s="2"/>
      <c r="Z25" s="7">
        <f t="shared" si="7"/>
        <v>-0.21324443122286466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>
        <v>1018.58</v>
      </c>
      <c r="E26" s="2"/>
      <c r="F26" s="7">
        <f t="shared" si="0"/>
        <v>0</v>
      </c>
      <c r="G26" s="2"/>
      <c r="H26" s="6">
        <v>979.42</v>
      </c>
      <c r="I26" s="2"/>
      <c r="J26" s="7">
        <f t="shared" si="1"/>
        <v>0</v>
      </c>
      <c r="K26" s="2"/>
      <c r="L26" s="6">
        <f t="shared" si="2"/>
        <v>39.160000000000082</v>
      </c>
      <c r="M26" s="2"/>
      <c r="N26" s="7">
        <f t="shared" si="3"/>
        <v>3.9982846991076439E-2</v>
      </c>
      <c r="O26" s="11"/>
      <c r="P26" s="6">
        <v>5425.97</v>
      </c>
      <c r="Q26" s="2"/>
      <c r="R26" s="7">
        <f t="shared" si="4"/>
        <v>0</v>
      </c>
      <c r="S26" s="2"/>
      <c r="T26" s="6">
        <v>5386.81</v>
      </c>
      <c r="U26" s="2"/>
      <c r="V26" s="7">
        <f t="shared" si="5"/>
        <v>0</v>
      </c>
      <c r="W26" s="2"/>
      <c r="X26" s="6">
        <f t="shared" si="6"/>
        <v>39.159999999999854</v>
      </c>
      <c r="Y26" s="2"/>
      <c r="Z26" s="7">
        <f t="shared" si="7"/>
        <v>7.2696085438320361E-3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6">
        <v>610.98</v>
      </c>
      <c r="E27" s="2"/>
      <c r="F27" s="7">
        <f t="shared" si="0"/>
        <v>0</v>
      </c>
      <c r="G27" s="2"/>
      <c r="H27" s="6">
        <v>0.08</v>
      </c>
      <c r="I27" s="2"/>
      <c r="J27" s="7">
        <f t="shared" si="1"/>
        <v>0</v>
      </c>
      <c r="K27" s="2"/>
      <c r="L27" s="6">
        <f t="shared" si="2"/>
        <v>610.9</v>
      </c>
      <c r="M27" s="2"/>
      <c r="N27" s="7">
        <f t="shared" si="3"/>
        <v>7636.25</v>
      </c>
      <c r="O27" s="11"/>
      <c r="P27" s="6">
        <v>2696.27</v>
      </c>
      <c r="Q27" s="2"/>
      <c r="R27" s="7">
        <f t="shared" si="4"/>
        <v>0</v>
      </c>
      <c r="S27" s="2"/>
      <c r="T27" s="6">
        <v>1263.26</v>
      </c>
      <c r="U27" s="2"/>
      <c r="V27" s="7">
        <f t="shared" si="5"/>
        <v>0</v>
      </c>
      <c r="W27" s="2"/>
      <c r="X27" s="6">
        <f t="shared" si="6"/>
        <v>1433.01</v>
      </c>
      <c r="Y27" s="2"/>
      <c r="Z27" s="7">
        <f t="shared" si="7"/>
        <v>1.1343745547234931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22551.68</v>
      </c>
      <c r="E28" s="1"/>
      <c r="F28" s="5">
        <f t="shared" ref="F28:F31" si="8">IF(D$12=0,0,D28/D$12)</f>
        <v>0</v>
      </c>
      <c r="G28" s="1"/>
      <c r="H28" s="1">
        <f>SUM(OSRRefH22_1x_0)</f>
        <v>18048.77</v>
      </c>
      <c r="I28" s="1"/>
      <c r="J28" s="5">
        <f t="shared" ref="J28:J31" si="9">IF(H$12=0,0,H28/H$12)</f>
        <v>0</v>
      </c>
      <c r="K28" s="1"/>
      <c r="L28" s="1">
        <f t="shared" ref="L28:L31" si="10">+D28-H28</f>
        <v>4502.91</v>
      </c>
      <c r="M28" s="1"/>
      <c r="N28" s="5">
        <f t="shared" ref="N28:N31" si="11">IF(H28=0,0,L28/H28)</f>
        <v>0.24948569902547374</v>
      </c>
      <c r="O28" s="14"/>
      <c r="P28" s="1">
        <f>SUM(OSRRefP22_1x_0)</f>
        <v>117766.62</v>
      </c>
      <c r="Q28" s="1"/>
      <c r="R28" s="5">
        <f t="shared" ref="R28:R31" si="12">IF(P$12=0,0,P28/P$12)</f>
        <v>0</v>
      </c>
      <c r="S28" s="1"/>
      <c r="T28" s="1">
        <f>SUM(OSRRefT22_1x_0)</f>
        <v>107521.56</v>
      </c>
      <c r="U28" s="1"/>
      <c r="V28" s="5">
        <f t="shared" ref="V28:V31" si="13">IF(T$12=0,0,T28/T$12)</f>
        <v>0</v>
      </c>
      <c r="W28" s="1"/>
      <c r="X28" s="1">
        <f t="shared" ref="X28:X31" si="14">+P28-T28</f>
        <v>10245.059999999998</v>
      </c>
      <c r="Y28" s="1"/>
      <c r="Z28" s="5">
        <f t="shared" ref="Z28:Z31" si="15">IF(T28=0,0,X28/T28)</f>
        <v>9.5283773784532122E-2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6">
        <v>22083.200000000001</v>
      </c>
      <c r="E29" s="2"/>
      <c r="F29" s="7">
        <f t="shared" si="8"/>
        <v>0</v>
      </c>
      <c r="G29" s="2"/>
      <c r="H29" s="6">
        <v>18048.77</v>
      </c>
      <c r="I29" s="2"/>
      <c r="J29" s="7">
        <f t="shared" si="9"/>
        <v>0</v>
      </c>
      <c r="K29" s="2"/>
      <c r="L29" s="6">
        <f t="shared" si="10"/>
        <v>4034.4300000000003</v>
      </c>
      <c r="M29" s="2"/>
      <c r="N29" s="7">
        <f t="shared" si="11"/>
        <v>0.22352935961841169</v>
      </c>
      <c r="O29" s="11"/>
      <c r="P29" s="6">
        <v>115267.26</v>
      </c>
      <c r="Q29" s="2"/>
      <c r="R29" s="7">
        <f t="shared" si="12"/>
        <v>0</v>
      </c>
      <c r="S29" s="2"/>
      <c r="T29" s="6">
        <v>107139.8</v>
      </c>
      <c r="U29" s="2"/>
      <c r="V29" s="7">
        <f t="shared" si="13"/>
        <v>0</v>
      </c>
      <c r="W29" s="2"/>
      <c r="X29" s="6">
        <f t="shared" si="14"/>
        <v>8127.4599999999919</v>
      </c>
      <c r="Y29" s="2"/>
      <c r="Z29" s="7">
        <f t="shared" si="15"/>
        <v>7.585845782799662E-2</v>
      </c>
    </row>
    <row r="30" spans="1:26" s="24" customFormat="1" hidden="1" outlineLevel="2" x14ac:dyDescent="0.3">
      <c r="A30" s="27"/>
      <c r="B30" s="11" t="str">
        <f>CONCATENATE("          ", "6005", " - ", "TEMPORARY WAGES-HOURLY")</f>
        <v xml:space="preserve">          6005 - TEMPORARY WAGES-HOURLY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/>
      <c r="Q30" s="2"/>
      <c r="R30" s="7">
        <f t="shared" si="12"/>
        <v>0</v>
      </c>
      <c r="S30" s="2"/>
      <c r="T30" s="6">
        <v>265.48</v>
      </c>
      <c r="U30" s="2"/>
      <c r="V30" s="7">
        <f t="shared" si="13"/>
        <v>0</v>
      </c>
      <c r="W30" s="2"/>
      <c r="X30" s="6">
        <f t="shared" si="14"/>
        <v>-265.48</v>
      </c>
      <c r="Y30" s="2"/>
      <c r="Z30" s="7">
        <f t="shared" si="15"/>
        <v>-1</v>
      </c>
    </row>
    <row r="31" spans="1:26" s="24" customFormat="1" hidden="1" outlineLevel="2" x14ac:dyDescent="0.3">
      <c r="A31" s="27"/>
      <c r="B31" s="11" t="str">
        <f>CONCATENATE("          ", "6007", " - ", "STUDENT HOURLY")</f>
        <v xml:space="preserve">          6007 - STUDENT HOURLY</v>
      </c>
      <c r="C31" s="11"/>
      <c r="D31" s="6">
        <v>468.48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468.48</v>
      </c>
      <c r="M31" s="2"/>
      <c r="N31" s="7">
        <f t="shared" si="11"/>
        <v>0</v>
      </c>
      <c r="O31" s="11"/>
      <c r="P31" s="6">
        <v>2499.36</v>
      </c>
      <c r="Q31" s="2"/>
      <c r="R31" s="7">
        <f t="shared" si="12"/>
        <v>0</v>
      </c>
      <c r="S31" s="2"/>
      <c r="T31" s="6">
        <v>116.28</v>
      </c>
      <c r="U31" s="2"/>
      <c r="V31" s="7">
        <f t="shared" si="13"/>
        <v>0</v>
      </c>
      <c r="W31" s="2"/>
      <c r="X31" s="6">
        <f t="shared" si="14"/>
        <v>2383.08</v>
      </c>
      <c r="Y31" s="2"/>
      <c r="Z31" s="7">
        <f t="shared" si="15"/>
        <v>20.494324045407637</v>
      </c>
    </row>
    <row r="32" spans="1:26" s="29" customFormat="1" outlineLevel="1" collapsed="1" x14ac:dyDescent="0.3">
      <c r="A32" s="28"/>
      <c r="B32" s="14" t="str">
        <f>CONCATENATE("     ","Depreciation                                      ")</f>
        <v xml:space="preserve">     Depreciation                                      </v>
      </c>
      <c r="C32" s="14"/>
      <c r="D32" s="1">
        <f>SUM(OSRRefD22_2x_0)</f>
        <v>1558.88</v>
      </c>
      <c r="E32" s="1"/>
      <c r="F32" s="5">
        <f t="shared" ref="F32:F38" si="16">IF(D$12=0,0,D32/D$12)</f>
        <v>0</v>
      </c>
      <c r="G32" s="1"/>
      <c r="H32" s="1">
        <f>SUM(OSRRefH22_2x_0)</f>
        <v>1558.88</v>
      </c>
      <c r="I32" s="1"/>
      <c r="J32" s="5">
        <f t="shared" ref="J32:J38" si="17">IF(H$12=0,0,H32/H$12)</f>
        <v>0</v>
      </c>
      <c r="K32" s="1"/>
      <c r="L32" s="1">
        <f t="shared" ref="L32:L38" si="18">+D32-H32</f>
        <v>0</v>
      </c>
      <c r="M32" s="1"/>
      <c r="N32" s="5">
        <f t="shared" ref="N32:N38" si="19">IF(H32=0,0,L32/H32)</f>
        <v>0</v>
      </c>
      <c r="O32" s="14"/>
      <c r="P32" s="1">
        <f>SUM(OSRRefP22_2x_0)</f>
        <v>7794.4</v>
      </c>
      <c r="Q32" s="1"/>
      <c r="R32" s="5">
        <f t="shared" ref="R32:R38" si="20">IF(P$12=0,0,P32/P$12)</f>
        <v>0</v>
      </c>
      <c r="S32" s="1"/>
      <c r="T32" s="1">
        <f>SUM(OSRRefT22_2x_0)</f>
        <v>7794.4</v>
      </c>
      <c r="U32" s="1"/>
      <c r="V32" s="5">
        <f t="shared" ref="V32:V38" si="21">IF(T$12=0,0,T32/T$12)</f>
        <v>0</v>
      </c>
      <c r="W32" s="1"/>
      <c r="X32" s="1">
        <f t="shared" ref="X32:X38" si="22">+P32-T32</f>
        <v>0</v>
      </c>
      <c r="Y32" s="1"/>
      <c r="Z32" s="5">
        <f t="shared" ref="Z32:Z38" si="23">IF(T32=0,0,X32/T32)</f>
        <v>0</v>
      </c>
    </row>
    <row r="33" spans="1:26" s="24" customFormat="1" hidden="1" outlineLevel="2" x14ac:dyDescent="0.3">
      <c r="A33" s="27"/>
      <c r="B33" s="11" t="str">
        <f>CONCATENATE("          ", "6322", " - ", "EQUIPMENT DEPRECIATION EXPENSE")</f>
        <v xml:space="preserve">          6322 - EQUIPMENT DEPRECIATION EXPENSE</v>
      </c>
      <c r="C33" s="11"/>
      <c r="D33" s="6">
        <v>1558.88</v>
      </c>
      <c r="E33" s="2"/>
      <c r="F33" s="7">
        <f t="shared" si="16"/>
        <v>0</v>
      </c>
      <c r="G33" s="2"/>
      <c r="H33" s="6">
        <v>1558.88</v>
      </c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7794.4</v>
      </c>
      <c r="Q33" s="2"/>
      <c r="R33" s="7">
        <f t="shared" si="20"/>
        <v>0</v>
      </c>
      <c r="S33" s="2"/>
      <c r="T33" s="6">
        <v>7794.4</v>
      </c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9" customFormat="1" outlineLevel="1" collapsed="1" x14ac:dyDescent="0.3">
      <c r="A34" s="28"/>
      <c r="B34" s="14" t="str">
        <f>CONCATENATE("     ","Equipment Rental                                  ")</f>
        <v xml:space="preserve">     Equipment Rental                                  </v>
      </c>
      <c r="C34" s="14"/>
      <c r="D34" s="1">
        <f>SUM(OSRRefD22_3x_0)</f>
        <v>91.26</v>
      </c>
      <c r="E34" s="1"/>
      <c r="F34" s="5">
        <f t="shared" si="16"/>
        <v>0</v>
      </c>
      <c r="G34" s="1"/>
      <c r="H34" s="1">
        <f>SUM(OSRRefH22_3x_0)</f>
        <v>91.26</v>
      </c>
      <c r="I34" s="1"/>
      <c r="J34" s="5">
        <f t="shared" si="17"/>
        <v>0</v>
      </c>
      <c r="K34" s="1"/>
      <c r="L34" s="1">
        <f t="shared" si="18"/>
        <v>0</v>
      </c>
      <c r="M34" s="1"/>
      <c r="N34" s="5">
        <f t="shared" si="19"/>
        <v>0</v>
      </c>
      <c r="O34" s="14"/>
      <c r="P34" s="1">
        <f>SUM(OSRRefP22_3x_0)</f>
        <v>456.3</v>
      </c>
      <c r="Q34" s="1"/>
      <c r="R34" s="5">
        <f t="shared" si="20"/>
        <v>0</v>
      </c>
      <c r="S34" s="1"/>
      <c r="T34" s="1">
        <f>SUM(OSRRefT22_3x_0)</f>
        <v>456.3</v>
      </c>
      <c r="U34" s="1"/>
      <c r="V34" s="5">
        <f t="shared" si="21"/>
        <v>0</v>
      </c>
      <c r="W34" s="1"/>
      <c r="X34" s="1">
        <f t="shared" si="22"/>
        <v>0</v>
      </c>
      <c r="Y34" s="1"/>
      <c r="Z34" s="5">
        <f t="shared" si="23"/>
        <v>0</v>
      </c>
    </row>
    <row r="35" spans="1:26" s="24" customFormat="1" hidden="1" outlineLevel="2" x14ac:dyDescent="0.3">
      <c r="A35" s="27"/>
      <c r="B35" s="11" t="str">
        <f>CONCATENATE("          ", "6351", " - ", "EQUIPMENT RENTAL")</f>
        <v xml:space="preserve">          6351 - EQUIPMENT RENTAL</v>
      </c>
      <c r="C35" s="11"/>
      <c r="D35" s="6">
        <v>91.26</v>
      </c>
      <c r="E35" s="2"/>
      <c r="F35" s="7">
        <f t="shared" si="16"/>
        <v>0</v>
      </c>
      <c r="G35" s="2"/>
      <c r="H35" s="6">
        <v>91.26</v>
      </c>
      <c r="I35" s="2"/>
      <c r="J35" s="7">
        <f t="shared" si="17"/>
        <v>0</v>
      </c>
      <c r="K35" s="2"/>
      <c r="L35" s="6">
        <f t="shared" si="18"/>
        <v>0</v>
      </c>
      <c r="M35" s="2"/>
      <c r="N35" s="7">
        <f t="shared" si="19"/>
        <v>0</v>
      </c>
      <c r="O35" s="11"/>
      <c r="P35" s="6">
        <v>456.3</v>
      </c>
      <c r="Q35" s="2"/>
      <c r="R35" s="7">
        <f t="shared" si="20"/>
        <v>0</v>
      </c>
      <c r="S35" s="2"/>
      <c r="T35" s="6">
        <v>456.3</v>
      </c>
      <c r="U35" s="2"/>
      <c r="V35" s="7">
        <f t="shared" si="21"/>
        <v>0</v>
      </c>
      <c r="W35" s="2"/>
      <c r="X35" s="6">
        <f t="shared" si="22"/>
        <v>0</v>
      </c>
      <c r="Y35" s="2"/>
      <c r="Z35" s="7">
        <f t="shared" si="23"/>
        <v>0</v>
      </c>
    </row>
    <row r="36" spans="1:26" s="29" customFormat="1" outlineLevel="1" collapsed="1" x14ac:dyDescent="0.3">
      <c r="A36" s="28"/>
      <c r="B36" s="14" t="str">
        <f>CONCATENATE("     ","Freight out/Postage                               ")</f>
        <v xml:space="preserve">     Freight out/Postage                               </v>
      </c>
      <c r="C36" s="14"/>
      <c r="D36" s="1">
        <f>SUM(OSRRefD22_4x_0)</f>
        <v>123.49</v>
      </c>
      <c r="E36" s="1"/>
      <c r="F36" s="5">
        <f t="shared" si="16"/>
        <v>0</v>
      </c>
      <c r="G36" s="1"/>
      <c r="H36" s="1">
        <f>SUM(OSRRefH22_4x_0)</f>
        <v>78.5</v>
      </c>
      <c r="I36" s="1"/>
      <c r="J36" s="5">
        <f t="shared" si="17"/>
        <v>0</v>
      </c>
      <c r="K36" s="1"/>
      <c r="L36" s="1">
        <f t="shared" si="18"/>
        <v>44.989999999999995</v>
      </c>
      <c r="M36" s="1"/>
      <c r="N36" s="5">
        <f t="shared" si="19"/>
        <v>0.57312101910828017</v>
      </c>
      <c r="O36" s="14"/>
      <c r="P36" s="1">
        <f>SUM(OSRRefP22_4x_0)</f>
        <v>662.82</v>
      </c>
      <c r="Q36" s="1"/>
      <c r="R36" s="5">
        <f t="shared" si="20"/>
        <v>0</v>
      </c>
      <c r="S36" s="1"/>
      <c r="T36" s="1">
        <f>SUM(OSRRefT22_4x_0)</f>
        <v>538.36</v>
      </c>
      <c r="U36" s="1"/>
      <c r="V36" s="5">
        <f t="shared" si="21"/>
        <v>0</v>
      </c>
      <c r="W36" s="1"/>
      <c r="X36" s="1">
        <f t="shared" si="22"/>
        <v>124.46000000000004</v>
      </c>
      <c r="Y36" s="1"/>
      <c r="Z36" s="5">
        <f t="shared" si="23"/>
        <v>0.23118359462069996</v>
      </c>
    </row>
    <row r="37" spans="1:26" s="24" customFormat="1" hidden="1" outlineLevel="2" x14ac:dyDescent="0.3">
      <c r="A37" s="27"/>
      <c r="B37" s="11" t="str">
        <f>CONCATENATE("          ", "6305", " - ", "FREIGHT OUT")</f>
        <v xml:space="preserve">          6305 - FREIGHT OUT</v>
      </c>
      <c r="C37" s="11"/>
      <c r="D37" s="6"/>
      <c r="E37" s="2"/>
      <c r="F37" s="7">
        <f t="shared" si="16"/>
        <v>0</v>
      </c>
      <c r="G37" s="2"/>
      <c r="H37" s="6"/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/>
      <c r="Q37" s="2"/>
      <c r="R37" s="7">
        <f t="shared" si="20"/>
        <v>0</v>
      </c>
      <c r="S37" s="2"/>
      <c r="T37" s="6">
        <v>5.41</v>
      </c>
      <c r="U37" s="2"/>
      <c r="V37" s="7">
        <f t="shared" si="21"/>
        <v>0</v>
      </c>
      <c r="W37" s="2"/>
      <c r="X37" s="6">
        <f t="shared" si="22"/>
        <v>-5.41</v>
      </c>
      <c r="Y37" s="2"/>
      <c r="Z37" s="7">
        <f t="shared" si="23"/>
        <v>-1</v>
      </c>
    </row>
    <row r="38" spans="1:26" s="24" customFormat="1" hidden="1" outlineLevel="2" x14ac:dyDescent="0.3">
      <c r="A38" s="27"/>
      <c r="B38" s="11" t="str">
        <f>CONCATENATE("          ", "6307", " - ", "POSTAGE")</f>
        <v xml:space="preserve">          6307 - POSTAGE</v>
      </c>
      <c r="C38" s="11"/>
      <c r="D38" s="6">
        <v>123.49</v>
      </c>
      <c r="E38" s="2"/>
      <c r="F38" s="7">
        <f t="shared" si="16"/>
        <v>0</v>
      </c>
      <c r="G38" s="2"/>
      <c r="H38" s="6">
        <v>78.5</v>
      </c>
      <c r="I38" s="2"/>
      <c r="J38" s="7">
        <f t="shared" si="17"/>
        <v>0</v>
      </c>
      <c r="K38" s="2"/>
      <c r="L38" s="6">
        <f t="shared" si="18"/>
        <v>44.989999999999995</v>
      </c>
      <c r="M38" s="2"/>
      <c r="N38" s="7">
        <f t="shared" si="19"/>
        <v>0.57312101910828017</v>
      </c>
      <c r="O38" s="11"/>
      <c r="P38" s="6">
        <v>662.82</v>
      </c>
      <c r="Q38" s="2"/>
      <c r="R38" s="7">
        <f t="shared" si="20"/>
        <v>0</v>
      </c>
      <c r="S38" s="2"/>
      <c r="T38" s="6">
        <v>532.95000000000005</v>
      </c>
      <c r="U38" s="2"/>
      <c r="V38" s="7">
        <f t="shared" si="21"/>
        <v>0</v>
      </c>
      <c r="W38" s="2"/>
      <c r="X38" s="6">
        <f t="shared" si="22"/>
        <v>129.87</v>
      </c>
      <c r="Y38" s="2"/>
      <c r="Z38" s="7">
        <f t="shared" si="23"/>
        <v>0.2436813960033774</v>
      </c>
    </row>
    <row r="39" spans="1:26" s="29" customFormat="1" outlineLevel="1" collapsed="1" x14ac:dyDescent="0.3">
      <c r="A39" s="28"/>
      <c r="B39" s="14" t="str">
        <f>CONCATENATE("     ","Insurance                                         ")</f>
        <v xml:space="preserve">     Insurance                                         </v>
      </c>
      <c r="C39" s="14"/>
      <c r="D39" s="1">
        <f>SUM(OSRRefD22_5x_0)</f>
        <v>179.64</v>
      </c>
      <c r="E39" s="1"/>
      <c r="F39" s="5">
        <f t="shared" ref="F39:F44" si="24">IF(D$12=0,0,D39/D$12)</f>
        <v>0</v>
      </c>
      <c r="G39" s="1"/>
      <c r="H39" s="1">
        <f>SUM(OSRRefH22_5x_0)</f>
        <v>132.16999999999999</v>
      </c>
      <c r="I39" s="1"/>
      <c r="J39" s="5">
        <f t="shared" ref="J39:J44" si="25">IF(H$12=0,0,H39/H$12)</f>
        <v>0</v>
      </c>
      <c r="K39" s="1"/>
      <c r="L39" s="1">
        <f t="shared" ref="L39:L44" si="26">+D39-H39</f>
        <v>47.47</v>
      </c>
      <c r="M39" s="1"/>
      <c r="N39" s="5">
        <f t="shared" ref="N39:N44" si="27">IF(H39=0,0,L39/H39)</f>
        <v>0.35915865930241359</v>
      </c>
      <c r="O39" s="14"/>
      <c r="P39" s="1">
        <f>SUM(OSRRefP22_5x_0)</f>
        <v>898.2</v>
      </c>
      <c r="Q39" s="1"/>
      <c r="R39" s="5">
        <f t="shared" ref="R39:R44" si="28">IF(P$12=0,0,P39/P$12)</f>
        <v>0</v>
      </c>
      <c r="S39" s="1"/>
      <c r="T39" s="1">
        <f>SUM(OSRRefT22_5x_0)</f>
        <v>660.85</v>
      </c>
      <c r="U39" s="1"/>
      <c r="V39" s="5">
        <f t="shared" ref="V39:V44" si="29">IF(T$12=0,0,T39/T$12)</f>
        <v>0</v>
      </c>
      <c r="W39" s="1"/>
      <c r="X39" s="1">
        <f t="shared" ref="X39:X44" si="30">+P39-T39</f>
        <v>237.35000000000002</v>
      </c>
      <c r="Y39" s="1"/>
      <c r="Z39" s="5">
        <f t="shared" ref="Z39:Z44" si="31">IF(T39=0,0,X39/T39)</f>
        <v>0.35915865930241359</v>
      </c>
    </row>
    <row r="40" spans="1:26" s="24" customFormat="1" hidden="1" outlineLevel="2" x14ac:dyDescent="0.3">
      <c r="A40" s="27"/>
      <c r="B40" s="11" t="str">
        <f>CONCATENATE("          ", "6314", " - ", "LIABILITY INSURANCE")</f>
        <v xml:space="preserve">          6314 - LIABILITY INSURANCE</v>
      </c>
      <c r="C40" s="11"/>
      <c r="D40" s="6">
        <v>179.64</v>
      </c>
      <c r="E40" s="2"/>
      <c r="F40" s="7">
        <f t="shared" si="24"/>
        <v>0</v>
      </c>
      <c r="G40" s="2"/>
      <c r="H40" s="6">
        <v>132.16999999999999</v>
      </c>
      <c r="I40" s="2"/>
      <c r="J40" s="7">
        <f t="shared" si="25"/>
        <v>0</v>
      </c>
      <c r="K40" s="2"/>
      <c r="L40" s="6">
        <f t="shared" si="26"/>
        <v>47.47</v>
      </c>
      <c r="M40" s="2"/>
      <c r="N40" s="7">
        <f t="shared" si="27"/>
        <v>0.35915865930241359</v>
      </c>
      <c r="O40" s="11"/>
      <c r="P40" s="6">
        <v>898.2</v>
      </c>
      <c r="Q40" s="2"/>
      <c r="R40" s="7">
        <f t="shared" si="28"/>
        <v>0</v>
      </c>
      <c r="S40" s="2"/>
      <c r="T40" s="6">
        <v>660.85</v>
      </c>
      <c r="U40" s="2"/>
      <c r="V40" s="7">
        <f t="shared" si="29"/>
        <v>0</v>
      </c>
      <c r="W40" s="2"/>
      <c r="X40" s="6">
        <f t="shared" si="30"/>
        <v>237.35000000000002</v>
      </c>
      <c r="Y40" s="2"/>
      <c r="Z40" s="7">
        <f t="shared" si="31"/>
        <v>0.35915865930241359</v>
      </c>
    </row>
    <row r="41" spans="1:26" s="29" customFormat="1" outlineLevel="1" collapsed="1" x14ac:dyDescent="0.3">
      <c r="A41" s="28"/>
      <c r="B41" s="14" t="str">
        <f>CONCATENATE("     ","Repair and Maintenance                            ")</f>
        <v xml:space="preserve">     Repair and Maintenance                            </v>
      </c>
      <c r="C41" s="14"/>
      <c r="D41" s="1">
        <f>SUM(OSRRefD22_6x_0)</f>
        <v>70.510000000000005</v>
      </c>
      <c r="E41" s="1"/>
      <c r="F41" s="5">
        <f t="shared" si="24"/>
        <v>0</v>
      </c>
      <c r="G41" s="1"/>
      <c r="H41" s="1">
        <f>SUM(OSRRefH22_6x_0)</f>
        <v>66.67</v>
      </c>
      <c r="I41" s="1"/>
      <c r="J41" s="5">
        <f t="shared" si="25"/>
        <v>0</v>
      </c>
      <c r="K41" s="1"/>
      <c r="L41" s="1">
        <f t="shared" si="26"/>
        <v>3.8400000000000034</v>
      </c>
      <c r="M41" s="1"/>
      <c r="N41" s="5">
        <f t="shared" si="27"/>
        <v>5.7597120143992847E-2</v>
      </c>
      <c r="O41" s="14"/>
      <c r="P41" s="1">
        <f>SUM(OSRRefP22_6x_0)</f>
        <v>1900.86</v>
      </c>
      <c r="Q41" s="1"/>
      <c r="R41" s="5">
        <f t="shared" si="28"/>
        <v>0</v>
      </c>
      <c r="S41" s="1"/>
      <c r="T41" s="1">
        <f>SUM(OSRRefT22_6x_0)</f>
        <v>719.76</v>
      </c>
      <c r="U41" s="1"/>
      <c r="V41" s="5">
        <f t="shared" si="29"/>
        <v>0</v>
      </c>
      <c r="W41" s="1"/>
      <c r="X41" s="1">
        <f t="shared" si="30"/>
        <v>1181.0999999999999</v>
      </c>
      <c r="Y41" s="1"/>
      <c r="Z41" s="5">
        <f t="shared" si="31"/>
        <v>1.6409636545515172</v>
      </c>
    </row>
    <row r="42" spans="1:26" s="24" customFormat="1" hidden="1" outlineLevel="2" x14ac:dyDescent="0.3">
      <c r="A42" s="27"/>
      <c r="B42" s="11" t="str">
        <f>CONCATENATE("          ", "6371", " - ", "COMPUTER SOFTWARE MAINTENANCE")</f>
        <v xml:space="preserve">          6371 - COMPUTER SOFTWARE MAINTENANCE</v>
      </c>
      <c r="C42" s="11"/>
      <c r="D42" s="6">
        <v>59.95</v>
      </c>
      <c r="E42" s="2"/>
      <c r="F42" s="7">
        <f t="shared" si="24"/>
        <v>0</v>
      </c>
      <c r="G42" s="2"/>
      <c r="H42" s="6">
        <v>59.95</v>
      </c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299.75</v>
      </c>
      <c r="Q42" s="2"/>
      <c r="R42" s="7">
        <f t="shared" si="28"/>
        <v>0</v>
      </c>
      <c r="S42" s="2"/>
      <c r="T42" s="6">
        <v>671</v>
      </c>
      <c r="U42" s="2"/>
      <c r="V42" s="7">
        <f t="shared" si="29"/>
        <v>0</v>
      </c>
      <c r="W42" s="2"/>
      <c r="X42" s="6">
        <f t="shared" si="30"/>
        <v>-371.25</v>
      </c>
      <c r="Y42" s="2"/>
      <c r="Z42" s="7">
        <f t="shared" si="31"/>
        <v>-0.55327868852459017</v>
      </c>
    </row>
    <row r="43" spans="1:26" s="24" customFormat="1" hidden="1" outlineLevel="2" x14ac:dyDescent="0.3">
      <c r="A43" s="27"/>
      <c r="B43" s="11" t="str">
        <f>CONCATENATE("          ", "6373", " - ", "MAINTENANCE CONTRACTS")</f>
        <v xml:space="preserve">          6373 - MAINTENANCE CONTRACTS</v>
      </c>
      <c r="C43" s="11"/>
      <c r="D43" s="6">
        <v>10.56</v>
      </c>
      <c r="E43" s="2"/>
      <c r="F43" s="7">
        <f t="shared" si="24"/>
        <v>0</v>
      </c>
      <c r="G43" s="2"/>
      <c r="H43" s="6">
        <v>6.72</v>
      </c>
      <c r="I43" s="2"/>
      <c r="J43" s="7">
        <f t="shared" si="25"/>
        <v>0</v>
      </c>
      <c r="K43" s="2"/>
      <c r="L43" s="6">
        <f t="shared" si="26"/>
        <v>3.8400000000000007</v>
      </c>
      <c r="M43" s="2"/>
      <c r="N43" s="7">
        <f t="shared" si="27"/>
        <v>0.57142857142857151</v>
      </c>
      <c r="O43" s="11"/>
      <c r="P43" s="6">
        <v>43.55</v>
      </c>
      <c r="Q43" s="2"/>
      <c r="R43" s="7">
        <f t="shared" si="28"/>
        <v>0</v>
      </c>
      <c r="S43" s="2"/>
      <c r="T43" s="6">
        <v>48.76</v>
      </c>
      <c r="U43" s="2"/>
      <c r="V43" s="7">
        <f t="shared" si="29"/>
        <v>0</v>
      </c>
      <c r="W43" s="2"/>
      <c r="X43" s="6">
        <f t="shared" si="30"/>
        <v>-5.2100000000000009</v>
      </c>
      <c r="Y43" s="2"/>
      <c r="Z43" s="7">
        <f t="shared" si="31"/>
        <v>-0.10684987694831831</v>
      </c>
    </row>
    <row r="44" spans="1:26" s="24" customFormat="1" hidden="1" outlineLevel="2" x14ac:dyDescent="0.3">
      <c r="A44" s="27"/>
      <c r="B44" s="11" t="str">
        <f>CONCATENATE("          ", "6375", " - ", "OUTSIDE REPAIRS &amp; MAINTENANCE")</f>
        <v xml:space="preserve">          6375 - OUTSIDE REPAIRS &amp; MAINTENANCE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>
        <v>1557.56</v>
      </c>
      <c r="Q44" s="2"/>
      <c r="R44" s="7">
        <f t="shared" si="28"/>
        <v>0</v>
      </c>
      <c r="S44" s="2"/>
      <c r="T44" s="6"/>
      <c r="U44" s="2"/>
      <c r="V44" s="7">
        <f t="shared" si="29"/>
        <v>0</v>
      </c>
      <c r="W44" s="2"/>
      <c r="X44" s="6">
        <f t="shared" si="30"/>
        <v>1557.56</v>
      </c>
      <c r="Y44" s="2"/>
      <c r="Z44" s="7">
        <f t="shared" si="31"/>
        <v>0</v>
      </c>
    </row>
    <row r="45" spans="1:26" s="29" customFormat="1" outlineLevel="1" collapsed="1" x14ac:dyDescent="0.3">
      <c r="A45" s="28"/>
      <c r="B45" s="14" t="str">
        <f>CONCATENATE("     ","Services                                          ")</f>
        <v xml:space="preserve">     Services                                          </v>
      </c>
      <c r="C45" s="14"/>
      <c r="D45" s="1">
        <f>SUM(OSRRefD22_7x_0)</f>
        <v>657.38</v>
      </c>
      <c r="E45" s="1"/>
      <c r="F45" s="5">
        <f t="shared" ref="F45:F49" si="32">IF(D$12=0,0,D45/D$12)</f>
        <v>0</v>
      </c>
      <c r="G45" s="1"/>
      <c r="H45" s="1">
        <f>SUM(OSRRefH22_7x_0)</f>
        <v>512.48</v>
      </c>
      <c r="I45" s="1"/>
      <c r="J45" s="5">
        <f t="shared" ref="J45:J49" si="33">IF(H$12=0,0,H45/H$12)</f>
        <v>0</v>
      </c>
      <c r="K45" s="1"/>
      <c r="L45" s="1">
        <f t="shared" ref="L45:L49" si="34">+D45-H45</f>
        <v>144.89999999999998</v>
      </c>
      <c r="M45" s="1"/>
      <c r="N45" s="5">
        <f t="shared" ref="N45:N49" si="35">IF(H45=0,0,L45/H45)</f>
        <v>0.28274274118014359</v>
      </c>
      <c r="O45" s="14"/>
      <c r="P45" s="1">
        <f>SUM(OSRRefP22_7x_0)</f>
        <v>3340.03</v>
      </c>
      <c r="Q45" s="1"/>
      <c r="R45" s="5">
        <f t="shared" ref="R45:R49" si="36">IF(P$12=0,0,P45/P$12)</f>
        <v>0</v>
      </c>
      <c r="S45" s="1"/>
      <c r="T45" s="1">
        <f>SUM(OSRRefT22_7x_0)</f>
        <v>2562.4</v>
      </c>
      <c r="U45" s="1"/>
      <c r="V45" s="5">
        <f t="shared" ref="V45:V49" si="37">IF(T$12=0,0,T45/T$12)</f>
        <v>0</v>
      </c>
      <c r="W45" s="1"/>
      <c r="X45" s="1">
        <f t="shared" ref="X45:X49" si="38">+P45-T45</f>
        <v>777.63000000000011</v>
      </c>
      <c r="Y45" s="1"/>
      <c r="Z45" s="5">
        <f t="shared" ref="Z45:Z49" si="39">IF(T45=0,0,X45/T45)</f>
        <v>0.3034772088666875</v>
      </c>
    </row>
    <row r="46" spans="1:26" s="24" customFormat="1" hidden="1" outlineLevel="2" x14ac:dyDescent="0.3">
      <c r="A46" s="27"/>
      <c r="B46" s="11" t="str">
        <f>CONCATENATE("          ", "6281", " - ", "STORAGE FEE")</f>
        <v xml:space="preserve">          6281 - STORAGE FEE</v>
      </c>
      <c r="C46" s="11"/>
      <c r="D46" s="6">
        <v>657.38</v>
      </c>
      <c r="E46" s="2"/>
      <c r="F46" s="7">
        <f t="shared" si="32"/>
        <v>0</v>
      </c>
      <c r="G46" s="2"/>
      <c r="H46" s="6">
        <v>512.48</v>
      </c>
      <c r="I46" s="2"/>
      <c r="J46" s="7">
        <f t="shared" si="33"/>
        <v>0</v>
      </c>
      <c r="K46" s="2"/>
      <c r="L46" s="6">
        <f t="shared" si="34"/>
        <v>144.89999999999998</v>
      </c>
      <c r="M46" s="2"/>
      <c r="N46" s="7">
        <f t="shared" si="35"/>
        <v>0.28274274118014359</v>
      </c>
      <c r="O46" s="11"/>
      <c r="P46" s="6">
        <v>3340.03</v>
      </c>
      <c r="Q46" s="2"/>
      <c r="R46" s="7">
        <f t="shared" si="36"/>
        <v>0</v>
      </c>
      <c r="S46" s="2"/>
      <c r="T46" s="6">
        <v>2562.4</v>
      </c>
      <c r="U46" s="2"/>
      <c r="V46" s="7">
        <f t="shared" si="37"/>
        <v>0</v>
      </c>
      <c r="W46" s="2"/>
      <c r="X46" s="6">
        <f t="shared" si="38"/>
        <v>777.63000000000011</v>
      </c>
      <c r="Y46" s="2"/>
      <c r="Z46" s="7">
        <f t="shared" si="39"/>
        <v>0.3034772088666875</v>
      </c>
    </row>
    <row r="47" spans="1:26" s="29" customFormat="1" outlineLevel="1" collapsed="1" x14ac:dyDescent="0.3">
      <c r="A47" s="28"/>
      <c r="B47" s="14" t="str">
        <f>CONCATENATE("     ","Supplies                                          ")</f>
        <v xml:space="preserve">     Supplies                                          </v>
      </c>
      <c r="C47" s="14"/>
      <c r="D47" s="1">
        <f>SUM(OSRRefD22_8x_0)</f>
        <v>0</v>
      </c>
      <c r="E47" s="1"/>
      <c r="F47" s="5">
        <f t="shared" si="32"/>
        <v>0</v>
      </c>
      <c r="G47" s="1"/>
      <c r="H47" s="1">
        <f>SUM(OSRRefH22_8x_0)</f>
        <v>0</v>
      </c>
      <c r="I47" s="1"/>
      <c r="J47" s="5">
        <f t="shared" si="33"/>
        <v>0</v>
      </c>
      <c r="K47" s="1"/>
      <c r="L47" s="1">
        <f t="shared" si="34"/>
        <v>0</v>
      </c>
      <c r="M47" s="1"/>
      <c r="N47" s="5">
        <f t="shared" si="35"/>
        <v>0</v>
      </c>
      <c r="O47" s="14"/>
      <c r="P47" s="1">
        <f>SUM(OSRRefP22_8x_0)</f>
        <v>1540.82</v>
      </c>
      <c r="Q47" s="1"/>
      <c r="R47" s="5">
        <f t="shared" si="36"/>
        <v>0</v>
      </c>
      <c r="S47" s="1"/>
      <c r="T47" s="1">
        <f>SUM(OSRRefT22_8x_0)</f>
        <v>714.04</v>
      </c>
      <c r="U47" s="1"/>
      <c r="V47" s="5">
        <f t="shared" si="37"/>
        <v>0</v>
      </c>
      <c r="W47" s="1"/>
      <c r="X47" s="1">
        <f t="shared" si="38"/>
        <v>826.78</v>
      </c>
      <c r="Y47" s="1"/>
      <c r="Z47" s="5">
        <f t="shared" si="39"/>
        <v>1.1578903142681083</v>
      </c>
    </row>
    <row r="48" spans="1:26" s="24" customFormat="1" hidden="1" outlineLevel="2" x14ac:dyDescent="0.3">
      <c r="A48" s="27"/>
      <c r="B48" s="11" t="str">
        <f>CONCATENATE("          ", "6235", " - ", "COVID-19 EXPENSES")</f>
        <v xml:space="preserve">          6235 - COVID-19 EXPENSES</v>
      </c>
      <c r="C48" s="11"/>
      <c r="D48" s="6"/>
      <c r="E48" s="2"/>
      <c r="F48" s="7">
        <f t="shared" si="32"/>
        <v>0</v>
      </c>
      <c r="G48" s="2"/>
      <c r="H48" s="6"/>
      <c r="I48" s="2"/>
      <c r="J48" s="7">
        <f t="shared" si="33"/>
        <v>0</v>
      </c>
      <c r="K48" s="2"/>
      <c r="L48" s="6">
        <f t="shared" si="34"/>
        <v>0</v>
      </c>
      <c r="M48" s="2"/>
      <c r="N48" s="7">
        <f t="shared" si="35"/>
        <v>0</v>
      </c>
      <c r="O48" s="11"/>
      <c r="P48" s="6"/>
      <c r="Q48" s="2"/>
      <c r="R48" s="7">
        <f t="shared" si="36"/>
        <v>0</v>
      </c>
      <c r="S48" s="2"/>
      <c r="T48" s="6">
        <v>426.66</v>
      </c>
      <c r="U48" s="2"/>
      <c r="V48" s="7">
        <f t="shared" si="37"/>
        <v>0</v>
      </c>
      <c r="W48" s="2"/>
      <c r="X48" s="6">
        <f t="shared" si="38"/>
        <v>-426.66</v>
      </c>
      <c r="Y48" s="2"/>
      <c r="Z48" s="7">
        <f t="shared" si="39"/>
        <v>-1</v>
      </c>
    </row>
    <row r="49" spans="1:26" s="24" customFormat="1" hidden="1" outlineLevel="2" x14ac:dyDescent="0.3">
      <c r="A49" s="27"/>
      <c r="B49" s="11" t="str">
        <f>CONCATENATE("          ", "6241", " - ", "OFFICE EXPENSE")</f>
        <v xml:space="preserve">          6241 - OFFICE EXPENSE</v>
      </c>
      <c r="C49" s="11"/>
      <c r="D49" s="6"/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0</v>
      </c>
      <c r="M49" s="2"/>
      <c r="N49" s="7">
        <f t="shared" si="35"/>
        <v>0</v>
      </c>
      <c r="O49" s="11"/>
      <c r="P49" s="6">
        <v>1540.82</v>
      </c>
      <c r="Q49" s="2"/>
      <c r="R49" s="7">
        <f t="shared" si="36"/>
        <v>0</v>
      </c>
      <c r="S49" s="2"/>
      <c r="T49" s="6">
        <v>287.38</v>
      </c>
      <c r="U49" s="2"/>
      <c r="V49" s="7">
        <f t="shared" si="37"/>
        <v>0</v>
      </c>
      <c r="W49" s="2"/>
      <c r="X49" s="6">
        <f t="shared" si="38"/>
        <v>1253.44</v>
      </c>
      <c r="Y49" s="2"/>
      <c r="Z49" s="7">
        <f t="shared" si="39"/>
        <v>4.3616118031874178</v>
      </c>
    </row>
    <row r="50" spans="1:26" s="29" customFormat="1" outlineLevel="1" collapsed="1" x14ac:dyDescent="0.3">
      <c r="A50" s="28"/>
      <c r="B50" s="14" t="str">
        <f>CONCATENATE("     ","Telephone/Data Lines                              ")</f>
        <v xml:space="preserve">     Telephone/Data Lines                              </v>
      </c>
      <c r="C50" s="14"/>
      <c r="D50" s="1">
        <f>SUM(OSRRefD22_9x_0)</f>
        <v>421.9</v>
      </c>
      <c r="E50" s="1"/>
      <c r="F50" s="5">
        <f t="shared" ref="F50:F55" si="40">IF(D$12=0,0,D50/D$12)</f>
        <v>0</v>
      </c>
      <c r="G50" s="1"/>
      <c r="H50" s="1">
        <f>SUM(OSRRefH22_9x_0)</f>
        <v>413.65</v>
      </c>
      <c r="I50" s="1"/>
      <c r="J50" s="5">
        <f t="shared" ref="J50:J55" si="41">IF(H$12=0,0,H50/H$12)</f>
        <v>0</v>
      </c>
      <c r="K50" s="1"/>
      <c r="L50" s="1">
        <f t="shared" ref="L50:L55" si="42">+D50-H50</f>
        <v>8.25</v>
      </c>
      <c r="M50" s="1"/>
      <c r="N50" s="5">
        <f t="shared" ref="N50:N55" si="43">IF(H50=0,0,L50/H50)</f>
        <v>1.9944397437447119E-2</v>
      </c>
      <c r="O50" s="14"/>
      <c r="P50" s="1">
        <f>SUM(OSRRefP22_9x_0)</f>
        <v>2212.5</v>
      </c>
      <c r="Q50" s="1"/>
      <c r="R50" s="5">
        <f t="shared" ref="R50:R55" si="44">IF(P$12=0,0,P50/P$12)</f>
        <v>0</v>
      </c>
      <c r="S50" s="1"/>
      <c r="T50" s="1">
        <f>SUM(OSRRefT22_9x_0)</f>
        <v>2105.9</v>
      </c>
      <c r="U50" s="1"/>
      <c r="V50" s="5">
        <f t="shared" ref="V50:V55" si="45">IF(T$12=0,0,T50/T$12)</f>
        <v>0</v>
      </c>
      <c r="W50" s="1"/>
      <c r="X50" s="1">
        <f t="shared" ref="X50:X55" si="46">+P50-T50</f>
        <v>106.59999999999991</v>
      </c>
      <c r="Y50" s="1"/>
      <c r="Z50" s="5">
        <f t="shared" ref="Z50:Z55" si="47">IF(T50=0,0,X50/T50)</f>
        <v>5.061968754451774E-2</v>
      </c>
    </row>
    <row r="51" spans="1:26" s="24" customFormat="1" hidden="1" outlineLevel="2" x14ac:dyDescent="0.3">
      <c r="A51" s="27"/>
      <c r="B51" s="11" t="str">
        <f>CONCATENATE("          ", "6309", " - ", "TELEPHONE")</f>
        <v xml:space="preserve">          6309 - TELEPHONE</v>
      </c>
      <c r="C51" s="11"/>
      <c r="D51" s="6">
        <v>421.9</v>
      </c>
      <c r="E51" s="2"/>
      <c r="F51" s="7">
        <f t="shared" si="40"/>
        <v>0</v>
      </c>
      <c r="G51" s="2"/>
      <c r="H51" s="6">
        <v>413.65</v>
      </c>
      <c r="I51" s="2"/>
      <c r="J51" s="7">
        <f t="shared" si="41"/>
        <v>0</v>
      </c>
      <c r="K51" s="2"/>
      <c r="L51" s="6">
        <f t="shared" si="42"/>
        <v>8.25</v>
      </c>
      <c r="M51" s="2"/>
      <c r="N51" s="7">
        <f t="shared" si="43"/>
        <v>1.9944397437447119E-2</v>
      </c>
      <c r="O51" s="11"/>
      <c r="P51" s="6">
        <v>2212.5</v>
      </c>
      <c r="Q51" s="2"/>
      <c r="R51" s="7">
        <f t="shared" si="44"/>
        <v>0</v>
      </c>
      <c r="S51" s="2"/>
      <c r="T51" s="6">
        <v>2105.9</v>
      </c>
      <c r="U51" s="2"/>
      <c r="V51" s="7">
        <f t="shared" si="45"/>
        <v>0</v>
      </c>
      <c r="W51" s="2"/>
      <c r="X51" s="6">
        <f t="shared" si="46"/>
        <v>106.59999999999991</v>
      </c>
      <c r="Y51" s="2"/>
      <c r="Z51" s="7">
        <f t="shared" si="47"/>
        <v>5.061968754451774E-2</v>
      </c>
    </row>
    <row r="52" spans="1:26" s="29" customFormat="1" outlineLevel="1" collapsed="1" x14ac:dyDescent="0.3">
      <c r="A52" s="28"/>
      <c r="B52" s="14" t="str">
        <f>CONCATENATE("     ","Training                                          ")</f>
        <v xml:space="preserve">     Training                                          </v>
      </c>
      <c r="C52" s="14"/>
      <c r="D52" s="1">
        <f>SUM(OSRRefD22_10x_0)</f>
        <v>0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0</v>
      </c>
      <c r="M52" s="1"/>
      <c r="N52" s="5">
        <f t="shared" si="43"/>
        <v>0</v>
      </c>
      <c r="O52" s="14"/>
      <c r="P52" s="1">
        <f>SUM(OSRRefP22_10x_0)</f>
        <v>595</v>
      </c>
      <c r="Q52" s="1"/>
      <c r="R52" s="5">
        <f t="shared" si="44"/>
        <v>0</v>
      </c>
      <c r="S52" s="1"/>
      <c r="T52" s="1">
        <f>SUM(OSRRefT22_10x_0)</f>
        <v>398</v>
      </c>
      <c r="U52" s="1"/>
      <c r="V52" s="5">
        <f t="shared" si="45"/>
        <v>0</v>
      </c>
      <c r="W52" s="1"/>
      <c r="X52" s="1">
        <f t="shared" si="46"/>
        <v>197</v>
      </c>
      <c r="Y52" s="1"/>
      <c r="Z52" s="5">
        <f t="shared" si="47"/>
        <v>0.49497487437185927</v>
      </c>
    </row>
    <row r="53" spans="1:26" s="24" customFormat="1" hidden="1" outlineLevel="2" x14ac:dyDescent="0.3">
      <c r="A53" s="27"/>
      <c r="B53" s="11" t="str">
        <f>CONCATENATE("          ", "6376", " - ", "TRAINING")</f>
        <v xml:space="preserve">          6376 - TRAINING</v>
      </c>
      <c r="C53" s="11"/>
      <c r="D53" s="6"/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0</v>
      </c>
      <c r="M53" s="2"/>
      <c r="N53" s="7">
        <f t="shared" si="43"/>
        <v>0</v>
      </c>
      <c r="O53" s="11"/>
      <c r="P53" s="6">
        <v>595</v>
      </c>
      <c r="Q53" s="2"/>
      <c r="R53" s="7">
        <f t="shared" si="44"/>
        <v>0</v>
      </c>
      <c r="S53" s="2"/>
      <c r="T53" s="6">
        <v>398</v>
      </c>
      <c r="U53" s="2"/>
      <c r="V53" s="7">
        <f t="shared" si="45"/>
        <v>0</v>
      </c>
      <c r="W53" s="2"/>
      <c r="X53" s="6">
        <f t="shared" si="46"/>
        <v>197</v>
      </c>
      <c r="Y53" s="2"/>
      <c r="Z53" s="7">
        <f t="shared" si="47"/>
        <v>0.49497487437185927</v>
      </c>
    </row>
    <row r="54" spans="1:26" s="29" customFormat="1" outlineLevel="1" collapsed="1" x14ac:dyDescent="0.3">
      <c r="A54" s="28"/>
      <c r="B54" s="14" t="str">
        <f>CONCATENATE("     ","Travel                                            ")</f>
        <v xml:space="preserve">     Travel                                            </v>
      </c>
      <c r="C54" s="14"/>
      <c r="D54" s="1">
        <f>SUM(OSRRefD22_11x_0)</f>
        <v>0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0</v>
      </c>
      <c r="M54" s="1"/>
      <c r="N54" s="5">
        <f t="shared" si="43"/>
        <v>0</v>
      </c>
      <c r="O54" s="14"/>
      <c r="P54" s="1">
        <f>SUM(OSRRefP22_11x_0)</f>
        <v>30.4</v>
      </c>
      <c r="Q54" s="1"/>
      <c r="R54" s="5">
        <f t="shared" si="44"/>
        <v>0</v>
      </c>
      <c r="S54" s="1"/>
      <c r="T54" s="1">
        <f>SUM(OSRRefT22_11x_0)</f>
        <v>46.62</v>
      </c>
      <c r="U54" s="1"/>
      <c r="V54" s="5">
        <f t="shared" si="45"/>
        <v>0</v>
      </c>
      <c r="W54" s="1"/>
      <c r="X54" s="1">
        <f t="shared" si="46"/>
        <v>-16.22</v>
      </c>
      <c r="Y54" s="1"/>
      <c r="Z54" s="5">
        <f t="shared" si="47"/>
        <v>-0.34791934791934792</v>
      </c>
    </row>
    <row r="55" spans="1:26" s="24" customFormat="1" hidden="1" outlineLevel="2" x14ac:dyDescent="0.3">
      <c r="A55" s="27"/>
      <c r="B55" s="11" t="str">
        <f>CONCATENATE("          ", "6294", " - ", "TRAVEL OPERATIONAL")</f>
        <v xml:space="preserve">          6294 - TRAVEL OPERATIONAL</v>
      </c>
      <c r="C55" s="11"/>
      <c r="D55" s="6"/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0</v>
      </c>
      <c r="M55" s="2"/>
      <c r="N55" s="7">
        <f t="shared" si="43"/>
        <v>0</v>
      </c>
      <c r="O55" s="11"/>
      <c r="P55" s="6">
        <v>30.4</v>
      </c>
      <c r="Q55" s="2"/>
      <c r="R55" s="7">
        <f t="shared" si="44"/>
        <v>0</v>
      </c>
      <c r="S55" s="2"/>
      <c r="T55" s="6">
        <v>46.62</v>
      </c>
      <c r="U55" s="2"/>
      <c r="V55" s="7">
        <f t="shared" si="45"/>
        <v>0</v>
      </c>
      <c r="W55" s="2"/>
      <c r="X55" s="6">
        <f t="shared" si="46"/>
        <v>-16.22</v>
      </c>
      <c r="Y55" s="2"/>
      <c r="Z55" s="7">
        <f t="shared" si="47"/>
        <v>-0.34791934791934792</v>
      </c>
    </row>
    <row r="56" spans="1:26" s="62" customFormat="1" x14ac:dyDescent="0.3">
      <c r="A56" s="37"/>
      <c r="B56" s="37"/>
      <c r="C56" s="37"/>
      <c r="D56" s="1"/>
      <c r="E56" s="1"/>
      <c r="F56" s="5"/>
      <c r="G56" s="1"/>
      <c r="H56" s="1"/>
      <c r="I56" s="1"/>
      <c r="J56" s="5"/>
      <c r="K56" s="1"/>
      <c r="L56" s="1"/>
      <c r="M56" s="1"/>
      <c r="N56" s="5"/>
      <c r="O56" s="37"/>
      <c r="P56" s="1"/>
      <c r="Q56" s="1"/>
      <c r="R56" s="5"/>
      <c r="S56" s="1"/>
      <c r="T56" s="1"/>
      <c r="U56" s="1"/>
      <c r="V56" s="5"/>
      <c r="W56" s="1"/>
      <c r="X56" s="1"/>
      <c r="Y56" s="1"/>
      <c r="Z56" s="5"/>
    </row>
    <row r="57" spans="1:26" s="23" customFormat="1" x14ac:dyDescent="0.3">
      <c r="A57" s="10"/>
      <c r="B57" s="26" t="s">
        <v>292</v>
      </c>
      <c r="C57" s="10"/>
      <c r="D57" s="4">
        <f>SUM(0)</f>
        <v>0</v>
      </c>
      <c r="E57" s="4"/>
      <c r="F57" s="12">
        <f>IF(D$12=0,0,D57/D$12)</f>
        <v>0</v>
      </c>
      <c r="G57" s="4"/>
      <c r="H57" s="4">
        <f>SUM(0)</f>
        <v>0</v>
      </c>
      <c r="I57" s="4"/>
      <c r="J57" s="12">
        <f>IF(H$12=0,0,H57/H$12)</f>
        <v>0</v>
      </c>
      <c r="K57" s="4"/>
      <c r="L57" s="4">
        <f>+D57-H57</f>
        <v>0</v>
      </c>
      <c r="M57" s="4"/>
      <c r="N57" s="12">
        <f>IF(H57=0,0,L57/H57)</f>
        <v>0</v>
      </c>
      <c r="O57" s="10"/>
      <c r="P57" s="4">
        <f>SUM(0)</f>
        <v>0</v>
      </c>
      <c r="Q57" s="4"/>
      <c r="R57" s="12">
        <f>IF(P$12=0,0,P57/P$12)</f>
        <v>0</v>
      </c>
      <c r="S57" s="4"/>
      <c r="T57" s="4">
        <f>SUM(0)</f>
        <v>0</v>
      </c>
      <c r="U57" s="4"/>
      <c r="V57" s="12">
        <f>IF(T$12=0,0,T57/T$12)</f>
        <v>0</v>
      </c>
      <c r="W57" s="4"/>
      <c r="X57" s="4">
        <f>+P57-T57</f>
        <v>0</v>
      </c>
      <c r="Y57" s="4"/>
      <c r="Z57" s="12">
        <f>IF(T57=0,0,X57/T57)</f>
        <v>0</v>
      </c>
    </row>
    <row r="58" spans="1:26" x14ac:dyDescent="0.3">
      <c r="A58" s="9"/>
      <c r="B58" s="10"/>
      <c r="C58" s="10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O58" s="10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x14ac:dyDescent="0.3">
      <c r="A59" s="10"/>
      <c r="B59" s="25" t="s">
        <v>276</v>
      </c>
      <c r="C59" s="25"/>
      <c r="D59" s="21">
        <f>+D16-D18+D57</f>
        <v>-38788.509999999995</v>
      </c>
      <c r="E59" s="13"/>
      <c r="F59" s="22">
        <f>IF(D$12=0,0,D59/D$12)</f>
        <v>0</v>
      </c>
      <c r="G59" s="13"/>
      <c r="H59" s="21">
        <f>+H16-H18+H57</f>
        <v>-34438.060000000005</v>
      </c>
      <c r="I59" s="13"/>
      <c r="J59" s="22">
        <f>IF(H$12=0,0,H59/H$12)</f>
        <v>0</v>
      </c>
      <c r="K59" s="16"/>
      <c r="L59" s="21">
        <f>+D59-H59</f>
        <v>-4350.4499999999898</v>
      </c>
      <c r="M59" s="16"/>
      <c r="N59" s="22">
        <f>IF(H59=0,0,L59/H59)</f>
        <v>0.12632680238085389</v>
      </c>
      <c r="O59" s="26"/>
      <c r="P59" s="21">
        <f>+P16-P18+P57</f>
        <v>-204878.15999999997</v>
      </c>
      <c r="Q59" s="13"/>
      <c r="R59" s="22">
        <f>IF(P$12=0,0,P59/P$12)</f>
        <v>0</v>
      </c>
      <c r="S59" s="13"/>
      <c r="T59" s="21">
        <f>+T16-T18+T57</f>
        <v>-190594.6</v>
      </c>
      <c r="U59" s="13"/>
      <c r="V59" s="22">
        <f>IF(T$12=0,0,T59/T$12)</f>
        <v>0</v>
      </c>
      <c r="W59" s="16"/>
      <c r="X59" s="21">
        <f>+P59-T59</f>
        <v>-14283.559999999969</v>
      </c>
      <c r="Y59" s="16"/>
      <c r="Z59" s="22">
        <f>IF(T59=0,0,X59/T59)</f>
        <v>7.4942102242141012E-2</v>
      </c>
    </row>
    <row r="60" spans="1:26" x14ac:dyDescent="0.3">
      <c r="A60" s="9"/>
      <c r="B60" s="10"/>
      <c r="C60" s="9"/>
      <c r="D60" s="3"/>
      <c r="E60" s="3"/>
      <c r="F60" s="8"/>
      <c r="G60" s="3"/>
      <c r="H60" s="3"/>
      <c r="I60" s="3"/>
      <c r="J60" s="8"/>
      <c r="K60" s="3"/>
      <c r="L60" s="3"/>
      <c r="M60" s="3"/>
      <c r="N60" s="8"/>
      <c r="P60" s="3"/>
      <c r="Q60" s="3"/>
      <c r="R60" s="8"/>
      <c r="S60" s="3"/>
      <c r="T60" s="3"/>
      <c r="U60" s="3"/>
      <c r="V60" s="8"/>
      <c r="W60" s="3"/>
      <c r="X60" s="3"/>
      <c r="Y60" s="3"/>
      <c r="Z60" s="8"/>
    </row>
    <row r="61" spans="1:26" s="23" customFormat="1" x14ac:dyDescent="0.3">
      <c r="A61" s="51"/>
      <c r="B61" s="10" t="s">
        <v>127</v>
      </c>
      <c r="C61" s="10"/>
      <c r="D61" s="4"/>
      <c r="E61" s="4"/>
      <c r="F61" s="12">
        <f>IF(D$12=0,0,D61/D$12)</f>
        <v>0</v>
      </c>
      <c r="G61" s="4"/>
      <c r="H61" s="4"/>
      <c r="I61" s="4"/>
      <c r="J61" s="12">
        <f>IF(H$12=0,0,H61/H$12)</f>
        <v>0</v>
      </c>
      <c r="K61" s="4"/>
      <c r="L61" s="4">
        <f>+D61-H61</f>
        <v>0</v>
      </c>
      <c r="M61" s="4"/>
      <c r="N61" s="12">
        <f>IF(H61=0,0,L61/H61)</f>
        <v>0</v>
      </c>
      <c r="O61" s="10"/>
      <c r="P61" s="4"/>
      <c r="Q61" s="4"/>
      <c r="R61" s="12">
        <f>IF(P$12=0,0,P61/P$12)</f>
        <v>0</v>
      </c>
      <c r="S61" s="4"/>
      <c r="T61" s="4"/>
      <c r="U61" s="4"/>
      <c r="V61" s="12">
        <f>IF(T$12=0,0,T61/T$12)</f>
        <v>0</v>
      </c>
      <c r="W61" s="4"/>
      <c r="X61" s="4">
        <f>+P61-T61</f>
        <v>0</v>
      </c>
      <c r="Y61" s="4"/>
      <c r="Z61" s="12">
        <f>IF(T61=0,0,X61/T61)</f>
        <v>0</v>
      </c>
    </row>
    <row r="62" spans="1:26" x14ac:dyDescent="0.3">
      <c r="A62" s="9"/>
      <c r="B62" s="10"/>
      <c r="C62" s="10"/>
      <c r="D62" s="3"/>
      <c r="E62" s="3"/>
      <c r="F62" s="8"/>
      <c r="G62" s="3"/>
      <c r="H62" s="3"/>
      <c r="I62" s="3"/>
      <c r="J62" s="8"/>
      <c r="K62" s="3"/>
      <c r="L62" s="3"/>
      <c r="M62" s="3"/>
      <c r="N62" s="8"/>
      <c r="O62" s="10"/>
      <c r="P62" s="3"/>
      <c r="Q62" s="3"/>
      <c r="R62" s="8"/>
      <c r="S62" s="3"/>
      <c r="T62" s="3"/>
      <c r="U62" s="3"/>
      <c r="V62" s="8"/>
      <c r="W62" s="3"/>
      <c r="X62" s="3"/>
      <c r="Y62" s="3"/>
      <c r="Z62" s="8"/>
    </row>
    <row r="63" spans="1:26" s="23" customFormat="1" ht="15" thickBot="1" x14ac:dyDescent="0.35">
      <c r="A63" s="10"/>
      <c r="B63" s="25" t="s">
        <v>125</v>
      </c>
      <c r="C63" s="25"/>
      <c r="D63" s="35">
        <f>+D59-D61</f>
        <v>-38788.509999999995</v>
      </c>
      <c r="E63" s="13"/>
      <c r="F63" s="31">
        <f>IF(D$12=0,0,D63/D$12)</f>
        <v>0</v>
      </c>
      <c r="G63" s="13"/>
      <c r="H63" s="35">
        <f>+H59-H61</f>
        <v>-34438.060000000005</v>
      </c>
      <c r="I63" s="13"/>
      <c r="J63" s="31">
        <f>IF(H$12=0,0,H63/H$12)</f>
        <v>0</v>
      </c>
      <c r="K63" s="16"/>
      <c r="L63" s="35">
        <f>D63-H63</f>
        <v>-4350.4499999999898</v>
      </c>
      <c r="M63" s="16"/>
      <c r="N63" s="31">
        <f>IF(H63=0,0,L63/H63)</f>
        <v>0.12632680238085389</v>
      </c>
      <c r="O63" s="26"/>
      <c r="P63" s="35">
        <f>+P59-P61</f>
        <v>-204878.15999999997</v>
      </c>
      <c r="Q63" s="13"/>
      <c r="R63" s="31">
        <f>IF(P$12=0,0,P63/P$12)</f>
        <v>0</v>
      </c>
      <c r="S63" s="13"/>
      <c r="T63" s="35">
        <f>+T59-T61</f>
        <v>-190594.6</v>
      </c>
      <c r="U63" s="13"/>
      <c r="V63" s="31">
        <f>IF(T$12=0,0,T63/T$12)</f>
        <v>0</v>
      </c>
      <c r="W63" s="16"/>
      <c r="X63" s="35">
        <f>P63-T63</f>
        <v>-14283.559999999969</v>
      </c>
      <c r="Y63" s="16"/>
      <c r="Z63" s="31">
        <f>IF(T63=0,0,X63/T63)</f>
        <v>7.4942102242141012E-2</v>
      </c>
    </row>
    <row r="64" spans="1:26" ht="15" thickTop="1" x14ac:dyDescent="0.3">
      <c r="A64" s="9"/>
      <c r="B64" s="9"/>
      <c r="C64" s="9"/>
      <c r="D64" s="3"/>
      <c r="E64" s="3"/>
      <c r="F64" s="8"/>
      <c r="G64" s="3"/>
      <c r="H64" s="3"/>
      <c r="I64" s="3"/>
      <c r="J64" s="8"/>
      <c r="K64" s="3"/>
      <c r="L64" s="3"/>
      <c r="M64" s="3"/>
      <c r="N64" s="8"/>
      <c r="P64" s="3"/>
      <c r="Q64" s="3"/>
      <c r="R64" s="8"/>
      <c r="S64" s="3"/>
      <c r="T64" s="3"/>
      <c r="U64" s="3"/>
      <c r="V64" s="8"/>
      <c r="W64" s="3"/>
      <c r="X64" s="3"/>
      <c r="Y64" s="3"/>
      <c r="Z64" s="8"/>
    </row>
    <row r="65" spans="1:26" x14ac:dyDescent="0.3">
      <c r="A65" s="9"/>
      <c r="B65" s="9"/>
      <c r="C65" s="9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5" t="s">
        <v>293</v>
      </c>
      <c r="C66" s="25"/>
      <c r="D66" s="36">
        <f>SUM(D63:D65)</f>
        <v>-38788.509999999995</v>
      </c>
      <c r="E66" s="13"/>
      <c r="F66" s="33">
        <f>IF(D$12=0,0,D66/D$12)</f>
        <v>0</v>
      </c>
      <c r="G66" s="13"/>
      <c r="H66" s="36">
        <f>SUM(H63:H65)</f>
        <v>-34438.060000000005</v>
      </c>
      <c r="I66" s="13"/>
      <c r="J66" s="33">
        <f>IF(H$12=0,0,H66/H$12)</f>
        <v>0</v>
      </c>
      <c r="K66" s="16"/>
      <c r="L66" s="36">
        <f>+D66-H66</f>
        <v>-4350.4499999999898</v>
      </c>
      <c r="M66" s="16"/>
      <c r="N66" s="33">
        <f>IF(H66=0,0,L66/H66)</f>
        <v>0.12632680238085389</v>
      </c>
      <c r="O66" s="26"/>
      <c r="P66" s="36">
        <f>SUM(P63:P65)</f>
        <v>-204878.15999999997</v>
      </c>
      <c r="Q66" s="13"/>
      <c r="R66" s="33">
        <f>IF(P$12=0,0,P66/P$12)</f>
        <v>0</v>
      </c>
      <c r="S66" s="13"/>
      <c r="T66" s="36">
        <f>SUM(T63:T65)</f>
        <v>-190594.6</v>
      </c>
      <c r="U66" s="13"/>
      <c r="V66" s="33">
        <f>IF(T$12=0,0,T66/T$12)</f>
        <v>0</v>
      </c>
      <c r="W66" s="16"/>
      <c r="X66" s="36">
        <f>+P66-T66</f>
        <v>-14283.559999999969</v>
      </c>
      <c r="Y66" s="16"/>
      <c r="Z66" s="33">
        <f>IF(T66=0,0,X66/T66)</f>
        <v>7.4942102242141012E-2</v>
      </c>
    </row>
    <row r="67" spans="1:26" ht="15" thickTop="1" x14ac:dyDescent="0.3">
      <c r="A67" s="9"/>
      <c r="C67" s="9"/>
      <c r="D67" s="17"/>
      <c r="E67" s="17"/>
      <c r="G67" s="17"/>
      <c r="H67" s="17"/>
      <c r="I67" s="17"/>
      <c r="J67" s="42"/>
      <c r="K67" s="17"/>
      <c r="L67" s="17"/>
      <c r="M67" s="17"/>
      <c r="P67" s="17"/>
      <c r="Q67" s="17"/>
      <c r="R67" s="42"/>
      <c r="S67" s="17"/>
      <c r="T67" s="17"/>
      <c r="U67" s="17"/>
      <c r="V67" s="42"/>
      <c r="W67" s="17"/>
      <c r="X67" s="17"/>
    </row>
    <row r="68" spans="1:26" x14ac:dyDescent="0.3">
      <c r="A68" s="9"/>
      <c r="B68" s="52">
        <v>44543.765594675926</v>
      </c>
      <c r="D68" s="17"/>
      <c r="E68" s="17"/>
      <c r="G68" s="17"/>
      <c r="H68" s="17"/>
      <c r="I68" s="17"/>
      <c r="J68" s="42"/>
      <c r="K68" s="17"/>
      <c r="L68" s="17"/>
      <c r="M68" s="17"/>
      <c r="P68" s="17"/>
      <c r="Q68" s="17"/>
      <c r="R68" s="42"/>
      <c r="S68" s="17"/>
      <c r="T68" s="17"/>
      <c r="U68" s="17"/>
      <c r="V68" s="42"/>
      <c r="W68" s="17"/>
      <c r="X68" s="17"/>
    </row>
    <row r="69" spans="1:26" x14ac:dyDescent="0.3">
      <c r="A69" s="9"/>
      <c r="B69" s="59" t="s">
        <v>56</v>
      </c>
      <c r="D69" s="17"/>
      <c r="E69" s="17"/>
      <c r="G69" s="17"/>
      <c r="H69" s="17"/>
      <c r="I69" s="17"/>
      <c r="J69" s="42"/>
      <c r="K69" s="17"/>
      <c r="L69" s="17"/>
      <c r="M69" s="17"/>
      <c r="P69" s="17"/>
      <c r="Q69" s="17"/>
      <c r="R69" s="42"/>
      <c r="S69" s="17"/>
      <c r="T69" s="17"/>
      <c r="U69" s="17"/>
      <c r="V69" s="42"/>
      <c r="W69" s="17"/>
      <c r="X69" s="17"/>
    </row>
    <row r="70" spans="1:26" x14ac:dyDescent="0.3">
      <c r="A70" s="9"/>
      <c r="B70" s="61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</sheetData>
  <pageMargins left="0.25" right="0.25" top="0.75" bottom="0.75" header="0.3" footer="0.3"/>
  <pageSetup scale="55" fitToWidth="2" orientation="landscape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92D050"/>
    <outlinePr summaryBelow="0" summaryRight="0"/>
  </sheetPr>
  <dimension ref="A2:Z7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","203", " - ", "Human Resources")</f>
        <v>Department 203 - Human Resources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46633.59</v>
      </c>
      <c r="E18" s="20"/>
      <c r="F18" s="32">
        <f t="shared" ref="F18:F28" si="0">IF(D$12=0,0,D18/D$12)</f>
        <v>0</v>
      </c>
      <c r="G18" s="20"/>
      <c r="H18" s="20">
        <f>SUM(OSRRefH22x_0)</f>
        <v>41689.03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4944.5599999999977</v>
      </c>
      <c r="M18" s="4"/>
      <c r="N18" s="32">
        <f t="shared" ref="N18:N28" si="3">IF(H18=0,0,L18/H18)</f>
        <v>0.11860578190473604</v>
      </c>
      <c r="O18" s="10"/>
      <c r="P18" s="20">
        <f>SUM(OSRRefP22x_0)</f>
        <v>263845.96000000002</v>
      </c>
      <c r="Q18" s="20"/>
      <c r="R18" s="32">
        <f t="shared" ref="R18:R28" si="4">IF(P$12=0,0,P18/P$12)</f>
        <v>0</v>
      </c>
      <c r="S18" s="20"/>
      <c r="T18" s="20">
        <f>SUM(OSRRefT22x_0)</f>
        <v>230388.40999999992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33457.550000000105</v>
      </c>
      <c r="Y18" s="4"/>
      <c r="Z18" s="32">
        <f t="shared" ref="Z18:Z28" si="7">IF(T18=0,0,X18/T18)</f>
        <v>0.14522236600356814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13930.62</v>
      </c>
      <c r="E19" s="1"/>
      <c r="F19" s="5">
        <f t="shared" si="0"/>
        <v>0</v>
      </c>
      <c r="G19" s="1"/>
      <c r="H19" s="1">
        <f>SUM(OSRRefH22_0x_0)</f>
        <v>12995.090000000002</v>
      </c>
      <c r="I19" s="1"/>
      <c r="J19" s="5">
        <f t="shared" si="1"/>
        <v>0</v>
      </c>
      <c r="K19" s="1"/>
      <c r="L19" s="1">
        <f t="shared" si="2"/>
        <v>935.52999999999884</v>
      </c>
      <c r="M19" s="1"/>
      <c r="N19" s="5">
        <f t="shared" si="3"/>
        <v>7.1991036614598186E-2</v>
      </c>
      <c r="O19" s="14"/>
      <c r="P19" s="1">
        <f>SUM(OSRRefP22_0x_0)</f>
        <v>71173.69</v>
      </c>
      <c r="Q19" s="1"/>
      <c r="R19" s="5">
        <f t="shared" si="4"/>
        <v>0</v>
      </c>
      <c r="S19" s="1"/>
      <c r="T19" s="1">
        <f>SUM(OSRRefT22_0x_0)</f>
        <v>64996.34</v>
      </c>
      <c r="U19" s="1"/>
      <c r="V19" s="5">
        <f t="shared" si="5"/>
        <v>0</v>
      </c>
      <c r="W19" s="1"/>
      <c r="X19" s="1">
        <f t="shared" si="6"/>
        <v>6177.3500000000058</v>
      </c>
      <c r="Y19" s="1"/>
      <c r="Z19" s="5">
        <f t="shared" si="7"/>
        <v>9.5041505413997251E-2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2233.5300000000002</v>
      </c>
      <c r="E20" s="2"/>
      <c r="F20" s="7">
        <f t="shared" si="0"/>
        <v>0</v>
      </c>
      <c r="G20" s="2"/>
      <c r="H20" s="6">
        <v>1880.99</v>
      </c>
      <c r="I20" s="2"/>
      <c r="J20" s="7">
        <f t="shared" si="1"/>
        <v>0</v>
      </c>
      <c r="K20" s="2"/>
      <c r="L20" s="6">
        <f t="shared" si="2"/>
        <v>352.54000000000019</v>
      </c>
      <c r="M20" s="2"/>
      <c r="N20" s="7">
        <f t="shared" si="3"/>
        <v>0.18742258066231091</v>
      </c>
      <c r="O20" s="11"/>
      <c r="P20" s="6">
        <v>11781.35</v>
      </c>
      <c r="Q20" s="2"/>
      <c r="R20" s="7">
        <f t="shared" si="4"/>
        <v>0</v>
      </c>
      <c r="S20" s="2"/>
      <c r="T20" s="6">
        <v>11677.25</v>
      </c>
      <c r="U20" s="2"/>
      <c r="V20" s="7">
        <f t="shared" si="5"/>
        <v>0</v>
      </c>
      <c r="W20" s="2"/>
      <c r="X20" s="6">
        <f t="shared" si="6"/>
        <v>104.10000000000036</v>
      </c>
      <c r="Y20" s="2"/>
      <c r="Z20" s="7">
        <f t="shared" si="7"/>
        <v>8.9147701727718739E-3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374.33</v>
      </c>
      <c r="E21" s="2"/>
      <c r="F21" s="7">
        <f t="shared" si="0"/>
        <v>0</v>
      </c>
      <c r="G21" s="2"/>
      <c r="H21" s="6">
        <v>160.16999999999999</v>
      </c>
      <c r="I21" s="2"/>
      <c r="J21" s="7">
        <f t="shared" si="1"/>
        <v>0</v>
      </c>
      <c r="K21" s="2"/>
      <c r="L21" s="6">
        <f t="shared" si="2"/>
        <v>214.16</v>
      </c>
      <c r="M21" s="2"/>
      <c r="N21" s="7">
        <f t="shared" si="3"/>
        <v>1.3370793531872387</v>
      </c>
      <c r="O21" s="11"/>
      <c r="P21" s="6">
        <v>1975.42</v>
      </c>
      <c r="Q21" s="2"/>
      <c r="R21" s="7">
        <f t="shared" si="4"/>
        <v>0</v>
      </c>
      <c r="S21" s="2"/>
      <c r="T21" s="6">
        <v>500.61</v>
      </c>
      <c r="U21" s="2"/>
      <c r="V21" s="7">
        <f t="shared" si="5"/>
        <v>0</v>
      </c>
      <c r="W21" s="2"/>
      <c r="X21" s="6">
        <f t="shared" si="6"/>
        <v>1474.81</v>
      </c>
      <c r="Y21" s="2"/>
      <c r="Z21" s="7">
        <f t="shared" si="7"/>
        <v>2.9460258484648727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6048.94</v>
      </c>
      <c r="E22" s="2"/>
      <c r="F22" s="7">
        <f t="shared" si="0"/>
        <v>0</v>
      </c>
      <c r="G22" s="2"/>
      <c r="H22" s="6">
        <v>6091.67</v>
      </c>
      <c r="I22" s="2"/>
      <c r="J22" s="7">
        <f t="shared" si="1"/>
        <v>0</v>
      </c>
      <c r="K22" s="2"/>
      <c r="L22" s="6">
        <f t="shared" si="2"/>
        <v>-42.730000000000473</v>
      </c>
      <c r="M22" s="2"/>
      <c r="N22" s="7">
        <f t="shared" si="3"/>
        <v>-7.0144968456926377E-3</v>
      </c>
      <c r="O22" s="11"/>
      <c r="P22" s="6">
        <v>30278.45</v>
      </c>
      <c r="Q22" s="2"/>
      <c r="R22" s="7">
        <f t="shared" si="4"/>
        <v>0</v>
      </c>
      <c r="S22" s="2"/>
      <c r="T22" s="6">
        <v>30458.35</v>
      </c>
      <c r="U22" s="2"/>
      <c r="V22" s="7">
        <f t="shared" si="5"/>
        <v>0</v>
      </c>
      <c r="W22" s="2"/>
      <c r="X22" s="6">
        <f t="shared" si="6"/>
        <v>-179.89999999999782</v>
      </c>
      <c r="Y22" s="2"/>
      <c r="Z22" s="7">
        <f t="shared" si="7"/>
        <v>-5.9064263165929153E-3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75.45</v>
      </c>
      <c r="E23" s="2"/>
      <c r="F23" s="7">
        <f t="shared" si="0"/>
        <v>0</v>
      </c>
      <c r="G23" s="2"/>
      <c r="H23" s="6">
        <v>126.19</v>
      </c>
      <c r="I23" s="2"/>
      <c r="J23" s="7">
        <f t="shared" si="1"/>
        <v>0</v>
      </c>
      <c r="K23" s="2"/>
      <c r="L23" s="6">
        <f t="shared" si="2"/>
        <v>-50.739999999999995</v>
      </c>
      <c r="M23" s="2"/>
      <c r="N23" s="7">
        <f t="shared" si="3"/>
        <v>-0.40209208336635227</v>
      </c>
      <c r="O23" s="11"/>
      <c r="P23" s="6">
        <v>398.15</v>
      </c>
      <c r="Q23" s="2"/>
      <c r="R23" s="7">
        <f t="shared" si="4"/>
        <v>0</v>
      </c>
      <c r="S23" s="2"/>
      <c r="T23" s="6">
        <v>394.42</v>
      </c>
      <c r="U23" s="2"/>
      <c r="V23" s="7">
        <f t="shared" si="5"/>
        <v>0</v>
      </c>
      <c r="W23" s="2"/>
      <c r="X23" s="6">
        <f t="shared" si="6"/>
        <v>3.7299999999999613</v>
      </c>
      <c r="Y23" s="2"/>
      <c r="Z23" s="7">
        <f t="shared" si="7"/>
        <v>9.4569240910703338E-3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1287.54</v>
      </c>
      <c r="E24" s="2"/>
      <c r="F24" s="7">
        <f t="shared" si="0"/>
        <v>0</v>
      </c>
      <c r="G24" s="2"/>
      <c r="H24" s="6">
        <v>2368.52</v>
      </c>
      <c r="I24" s="2"/>
      <c r="J24" s="7">
        <f t="shared" si="1"/>
        <v>0</v>
      </c>
      <c r="K24" s="2"/>
      <c r="L24" s="6">
        <f t="shared" si="2"/>
        <v>-1080.98</v>
      </c>
      <c r="M24" s="2"/>
      <c r="N24" s="7">
        <f t="shared" si="3"/>
        <v>-0.45639471062097853</v>
      </c>
      <c r="O24" s="11"/>
      <c r="P24" s="6">
        <v>6858.63</v>
      </c>
      <c r="Q24" s="2"/>
      <c r="R24" s="7">
        <f t="shared" si="4"/>
        <v>0</v>
      </c>
      <c r="S24" s="2"/>
      <c r="T24" s="6">
        <v>7280.18</v>
      </c>
      <c r="U24" s="2"/>
      <c r="V24" s="7">
        <f t="shared" si="5"/>
        <v>0</v>
      </c>
      <c r="W24" s="2"/>
      <c r="X24" s="6">
        <f t="shared" si="6"/>
        <v>-421.55000000000018</v>
      </c>
      <c r="Y24" s="2"/>
      <c r="Z24" s="7">
        <f t="shared" si="7"/>
        <v>-5.7903788093151567E-2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6">
        <v>644.66999999999996</v>
      </c>
      <c r="E25" s="2"/>
      <c r="F25" s="7">
        <f t="shared" si="0"/>
        <v>0</v>
      </c>
      <c r="G25" s="2"/>
      <c r="H25" s="6">
        <v>585.52</v>
      </c>
      <c r="I25" s="2"/>
      <c r="J25" s="7">
        <f t="shared" si="1"/>
        <v>0</v>
      </c>
      <c r="K25" s="2"/>
      <c r="L25" s="6">
        <f t="shared" si="2"/>
        <v>59.149999999999977</v>
      </c>
      <c r="M25" s="2"/>
      <c r="N25" s="7">
        <f t="shared" si="3"/>
        <v>0.10102131438721133</v>
      </c>
      <c r="O25" s="11"/>
      <c r="P25" s="6">
        <v>3127</v>
      </c>
      <c r="Q25" s="2"/>
      <c r="R25" s="7">
        <f t="shared" si="4"/>
        <v>0</v>
      </c>
      <c r="S25" s="2"/>
      <c r="T25" s="6">
        <v>3255.16</v>
      </c>
      <c r="U25" s="2"/>
      <c r="V25" s="7">
        <f t="shared" si="5"/>
        <v>0</v>
      </c>
      <c r="W25" s="2"/>
      <c r="X25" s="6">
        <f t="shared" si="6"/>
        <v>-128.15999999999985</v>
      </c>
      <c r="Y25" s="2"/>
      <c r="Z25" s="7">
        <f t="shared" si="7"/>
        <v>-3.9371336585605578E-2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1840.24</v>
      </c>
      <c r="E26" s="2"/>
      <c r="F26" s="7">
        <f t="shared" si="0"/>
        <v>0</v>
      </c>
      <c r="G26" s="2"/>
      <c r="H26" s="6">
        <v>667.3</v>
      </c>
      <c r="I26" s="2"/>
      <c r="J26" s="7">
        <f t="shared" si="1"/>
        <v>0</v>
      </c>
      <c r="K26" s="2"/>
      <c r="L26" s="6">
        <f t="shared" si="2"/>
        <v>1172.94</v>
      </c>
      <c r="M26" s="2"/>
      <c r="N26" s="7">
        <f t="shared" si="3"/>
        <v>1.7577401468604827</v>
      </c>
      <c r="O26" s="11"/>
      <c r="P26" s="6">
        <v>9315.74</v>
      </c>
      <c r="Q26" s="2"/>
      <c r="R26" s="7">
        <f t="shared" si="4"/>
        <v>0</v>
      </c>
      <c r="S26" s="2"/>
      <c r="T26" s="6">
        <v>6095.88</v>
      </c>
      <c r="U26" s="2"/>
      <c r="V26" s="7">
        <f t="shared" si="5"/>
        <v>0</v>
      </c>
      <c r="W26" s="2"/>
      <c r="X26" s="6">
        <f t="shared" si="6"/>
        <v>3219.8599999999997</v>
      </c>
      <c r="Y26" s="2"/>
      <c r="Z26" s="7">
        <f t="shared" si="7"/>
        <v>0.52820265490790497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1207.52</v>
      </c>
      <c r="E27" s="2"/>
      <c r="F27" s="7">
        <f t="shared" si="0"/>
        <v>0</v>
      </c>
      <c r="G27" s="2"/>
      <c r="H27" s="6">
        <v>908.12</v>
      </c>
      <c r="I27" s="2"/>
      <c r="J27" s="7">
        <f t="shared" si="1"/>
        <v>0</v>
      </c>
      <c r="K27" s="2"/>
      <c r="L27" s="6">
        <f t="shared" si="2"/>
        <v>299.39999999999998</v>
      </c>
      <c r="M27" s="2"/>
      <c r="N27" s="7">
        <f t="shared" si="3"/>
        <v>0.32969211117473457</v>
      </c>
      <c r="O27" s="11"/>
      <c r="P27" s="6">
        <v>6432.38</v>
      </c>
      <c r="Q27" s="2"/>
      <c r="R27" s="7">
        <f t="shared" si="4"/>
        <v>0</v>
      </c>
      <c r="S27" s="2"/>
      <c r="T27" s="6">
        <v>4994.66</v>
      </c>
      <c r="U27" s="2"/>
      <c r="V27" s="7">
        <f t="shared" si="5"/>
        <v>0</v>
      </c>
      <c r="W27" s="2"/>
      <c r="X27" s="6">
        <f t="shared" si="6"/>
        <v>1437.7200000000003</v>
      </c>
      <c r="Y27" s="2"/>
      <c r="Z27" s="7">
        <f t="shared" si="7"/>
        <v>0.28785142532224423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218.4</v>
      </c>
      <c r="E28" s="2"/>
      <c r="F28" s="7">
        <f t="shared" si="0"/>
        <v>0</v>
      </c>
      <c r="G28" s="2"/>
      <c r="H28" s="6">
        <v>206.61</v>
      </c>
      <c r="I28" s="2"/>
      <c r="J28" s="7">
        <f t="shared" si="1"/>
        <v>0</v>
      </c>
      <c r="K28" s="2"/>
      <c r="L28" s="6">
        <f t="shared" si="2"/>
        <v>11.789999999999992</v>
      </c>
      <c r="M28" s="2"/>
      <c r="N28" s="7">
        <f t="shared" si="3"/>
        <v>5.7064033686655975E-2</v>
      </c>
      <c r="O28" s="11"/>
      <c r="P28" s="6">
        <v>1006.57</v>
      </c>
      <c r="Q28" s="2"/>
      <c r="R28" s="7">
        <f t="shared" si="4"/>
        <v>0</v>
      </c>
      <c r="S28" s="2"/>
      <c r="T28" s="6">
        <v>339.83</v>
      </c>
      <c r="U28" s="2"/>
      <c r="V28" s="7">
        <f t="shared" si="5"/>
        <v>0</v>
      </c>
      <c r="W28" s="2"/>
      <c r="X28" s="6">
        <f t="shared" si="6"/>
        <v>666.74</v>
      </c>
      <c r="Y28" s="2"/>
      <c r="Z28" s="7">
        <f t="shared" si="7"/>
        <v>1.9619809904952477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24484.95</v>
      </c>
      <c r="E29" s="1"/>
      <c r="F29" s="5">
        <f t="shared" ref="F29:F34" si="8">IF(D$12=0,0,D29/D$12)</f>
        <v>0</v>
      </c>
      <c r="G29" s="1"/>
      <c r="H29" s="1">
        <f>SUM(OSRRefH22_1x_0)</f>
        <v>23276.47</v>
      </c>
      <c r="I29" s="1"/>
      <c r="J29" s="5">
        <f t="shared" ref="J29:J34" si="9">IF(H$12=0,0,H29/H$12)</f>
        <v>0</v>
      </c>
      <c r="K29" s="1"/>
      <c r="L29" s="1">
        <f t="shared" ref="L29:L34" si="10">+D29-H29</f>
        <v>1208.4799999999996</v>
      </c>
      <c r="M29" s="1"/>
      <c r="N29" s="5">
        <f t="shared" ref="N29:N34" si="11">IF(H29=0,0,L29/H29)</f>
        <v>5.1918525446513132E-2</v>
      </c>
      <c r="O29" s="14"/>
      <c r="P29" s="1">
        <f>SUM(OSRRefP22_1x_0)</f>
        <v>142334.27000000002</v>
      </c>
      <c r="Q29" s="1"/>
      <c r="R29" s="5">
        <f t="shared" ref="R29:R34" si="12">IF(P$12=0,0,P29/P$12)</f>
        <v>0</v>
      </c>
      <c r="S29" s="1"/>
      <c r="T29" s="1">
        <f>SUM(OSRRefT22_1x_0)</f>
        <v>135679.18</v>
      </c>
      <c r="U29" s="1"/>
      <c r="V29" s="5">
        <f t="shared" ref="V29:V34" si="13">IF(T$12=0,0,T29/T$12)</f>
        <v>0</v>
      </c>
      <c r="W29" s="1"/>
      <c r="X29" s="1">
        <f t="shared" ref="X29:X34" si="14">+P29-T29</f>
        <v>6655.0900000000256</v>
      </c>
      <c r="Y29" s="1"/>
      <c r="Z29" s="5">
        <f t="shared" ref="Z29:Z34" si="15">IF(T29=0,0,X29/T29)</f>
        <v>4.9050193257359202E-2</v>
      </c>
    </row>
    <row r="30" spans="1:26" s="24" customFormat="1" hidden="1" outlineLevel="2" x14ac:dyDescent="0.3">
      <c r="A30" s="27"/>
      <c r="B30" s="11" t="str">
        <f>CONCATENATE("          ", "6001", " - ", "ADMINISTRATIVE SALARIES")</f>
        <v xml:space="preserve">          6001 - ADMINISTRATIVE SALARIES</v>
      </c>
      <c r="C30" s="11"/>
      <c r="D30" s="6">
        <v>7692.12</v>
      </c>
      <c r="E30" s="2"/>
      <c r="F30" s="7">
        <f t="shared" si="8"/>
        <v>0</v>
      </c>
      <c r="G30" s="2"/>
      <c r="H30" s="6">
        <v>9894.68</v>
      </c>
      <c r="I30" s="2"/>
      <c r="J30" s="7">
        <f t="shared" si="9"/>
        <v>0</v>
      </c>
      <c r="K30" s="2"/>
      <c r="L30" s="6">
        <f t="shared" si="10"/>
        <v>-2202.5600000000004</v>
      </c>
      <c r="M30" s="2"/>
      <c r="N30" s="7">
        <f t="shared" si="11"/>
        <v>-0.22260042770458471</v>
      </c>
      <c r="O30" s="11"/>
      <c r="P30" s="6">
        <v>55483.42</v>
      </c>
      <c r="Q30" s="2"/>
      <c r="R30" s="7">
        <f t="shared" si="12"/>
        <v>0</v>
      </c>
      <c r="S30" s="2"/>
      <c r="T30" s="6">
        <v>50957.62</v>
      </c>
      <c r="U30" s="2"/>
      <c r="V30" s="7">
        <f t="shared" si="13"/>
        <v>0</v>
      </c>
      <c r="W30" s="2"/>
      <c r="X30" s="6">
        <f t="shared" si="14"/>
        <v>4525.7999999999956</v>
      </c>
      <c r="Y30" s="2"/>
      <c r="Z30" s="7">
        <f t="shared" si="15"/>
        <v>8.8814979977479239E-2</v>
      </c>
    </row>
    <row r="31" spans="1:26" s="24" customFormat="1" hidden="1" outlineLevel="2" x14ac:dyDescent="0.3">
      <c r="A31" s="27"/>
      <c r="B31" s="11" t="str">
        <f>CONCATENATE("          ", "6002", " - ", "STAFF SALARIES")</f>
        <v xml:space="preserve">          6002 - STAFF SALARIES</v>
      </c>
      <c r="C31" s="11"/>
      <c r="D31" s="6">
        <v>18.5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18.5</v>
      </c>
      <c r="M31" s="2"/>
      <c r="N31" s="7">
        <f t="shared" si="11"/>
        <v>0</v>
      </c>
      <c r="O31" s="11"/>
      <c r="P31" s="6">
        <v>18.5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18.5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"6004", " - ", "STAFF HOURLY")</f>
        <v xml:space="preserve">          6004 - STAFF HOURLY</v>
      </c>
      <c r="C32" s="11"/>
      <c r="D32" s="6">
        <v>14748.94</v>
      </c>
      <c r="E32" s="2"/>
      <c r="F32" s="7">
        <f t="shared" si="8"/>
        <v>0</v>
      </c>
      <c r="G32" s="2"/>
      <c r="H32" s="6">
        <v>8723.0300000000007</v>
      </c>
      <c r="I32" s="2"/>
      <c r="J32" s="7">
        <f t="shared" si="9"/>
        <v>0</v>
      </c>
      <c r="K32" s="2"/>
      <c r="L32" s="6">
        <f t="shared" si="10"/>
        <v>6025.91</v>
      </c>
      <c r="M32" s="2"/>
      <c r="N32" s="7">
        <f t="shared" si="11"/>
        <v>0.69080468598640599</v>
      </c>
      <c r="O32" s="11"/>
      <c r="P32" s="6">
        <v>76925.210000000006</v>
      </c>
      <c r="Q32" s="2"/>
      <c r="R32" s="7">
        <f t="shared" si="12"/>
        <v>0</v>
      </c>
      <c r="S32" s="2"/>
      <c r="T32" s="6">
        <v>53672.79</v>
      </c>
      <c r="U32" s="2"/>
      <c r="V32" s="7">
        <f t="shared" si="13"/>
        <v>0</v>
      </c>
      <c r="W32" s="2"/>
      <c r="X32" s="6">
        <f t="shared" si="14"/>
        <v>23252.420000000006</v>
      </c>
      <c r="Y32" s="2"/>
      <c r="Z32" s="7">
        <f t="shared" si="15"/>
        <v>0.4332254760745623</v>
      </c>
    </row>
    <row r="33" spans="1:26" s="24" customFormat="1" hidden="1" outlineLevel="2" x14ac:dyDescent="0.3">
      <c r="A33" s="27"/>
      <c r="B33" s="11" t="str">
        <f>CONCATENATE("          ", "6005", " - ", "TEMPORARY WAGES-HOURLY")</f>
        <v xml:space="preserve">          6005 - TEMPORARY WAGES-HOURLY</v>
      </c>
      <c r="C33" s="11"/>
      <c r="D33" s="6">
        <v>2025.39</v>
      </c>
      <c r="E33" s="2"/>
      <c r="F33" s="7">
        <f t="shared" si="8"/>
        <v>0</v>
      </c>
      <c r="G33" s="2"/>
      <c r="H33" s="6">
        <v>4658.76</v>
      </c>
      <c r="I33" s="2"/>
      <c r="J33" s="7">
        <f t="shared" si="9"/>
        <v>0</v>
      </c>
      <c r="K33" s="2"/>
      <c r="L33" s="6">
        <f t="shared" si="10"/>
        <v>-2633.37</v>
      </c>
      <c r="M33" s="2"/>
      <c r="N33" s="7">
        <f t="shared" si="11"/>
        <v>-0.56525126857790475</v>
      </c>
      <c r="O33" s="11"/>
      <c r="P33" s="6">
        <v>9907.14</v>
      </c>
      <c r="Q33" s="2"/>
      <c r="R33" s="7">
        <f t="shared" si="12"/>
        <v>0</v>
      </c>
      <c r="S33" s="2"/>
      <c r="T33" s="6">
        <v>31048.77</v>
      </c>
      <c r="U33" s="2"/>
      <c r="V33" s="7">
        <f t="shared" si="13"/>
        <v>0</v>
      </c>
      <c r="W33" s="2"/>
      <c r="X33" s="6">
        <f t="shared" si="14"/>
        <v>-21141.63</v>
      </c>
      <c r="Y33" s="2"/>
      <c r="Z33" s="7">
        <f t="shared" si="15"/>
        <v>-0.6809168285893451</v>
      </c>
    </row>
    <row r="34" spans="1:26" s="24" customFormat="1" hidden="1" outlineLevel="2" x14ac:dyDescent="0.3">
      <c r="A34" s="27"/>
      <c r="B34" s="11" t="str">
        <f>CONCATENATE("          ", "6007", " - ", "STUDENT HOURLY")</f>
        <v xml:space="preserve">          6007 - STUDENT HOURLY</v>
      </c>
      <c r="C34" s="11"/>
      <c r="D34" s="6"/>
      <c r="E34" s="2"/>
      <c r="F34" s="7">
        <f t="shared" si="8"/>
        <v>0</v>
      </c>
      <c r="G34" s="2"/>
      <c r="H34" s="6"/>
      <c r="I34" s="2"/>
      <c r="J34" s="7">
        <f t="shared" si="9"/>
        <v>0</v>
      </c>
      <c r="K34" s="2"/>
      <c r="L34" s="6">
        <f t="shared" si="10"/>
        <v>0</v>
      </c>
      <c r="M34" s="2"/>
      <c r="N34" s="7">
        <f t="shared" si="11"/>
        <v>0</v>
      </c>
      <c r="O34" s="11"/>
      <c r="P34" s="6">
        <v>0</v>
      </c>
      <c r="Q34" s="2"/>
      <c r="R34" s="7">
        <f t="shared" si="12"/>
        <v>0</v>
      </c>
      <c r="S34" s="2"/>
      <c r="T34" s="6">
        <v>0</v>
      </c>
      <c r="U34" s="2"/>
      <c r="V34" s="7">
        <f t="shared" si="13"/>
        <v>0</v>
      </c>
      <c r="W34" s="2"/>
      <c r="X34" s="6">
        <f t="shared" si="14"/>
        <v>0</v>
      </c>
      <c r="Y34" s="2"/>
      <c r="Z34" s="7">
        <f t="shared" si="15"/>
        <v>0</v>
      </c>
    </row>
    <row r="35" spans="1:26" s="29" customFormat="1" outlineLevel="1" collapsed="1" x14ac:dyDescent="0.3">
      <c r="A35" s="28"/>
      <c r="B35" s="14" t="str">
        <f>CONCATENATE("     ","Advertising/Promo                                 ")</f>
        <v xml:space="preserve">     Advertising/Promo                                 </v>
      </c>
      <c r="C35" s="14"/>
      <c r="D35" s="1">
        <f>SUM(OSRRefD22_2x_0)</f>
        <v>255.5</v>
      </c>
      <c r="E35" s="1"/>
      <c r="F35" s="5">
        <f t="shared" ref="F35:F47" si="16">IF(D$12=0,0,D35/D$12)</f>
        <v>0</v>
      </c>
      <c r="G35" s="1"/>
      <c r="H35" s="1">
        <f>SUM(OSRRefH22_2x_0)</f>
        <v>0</v>
      </c>
      <c r="I35" s="1"/>
      <c r="J35" s="5">
        <f t="shared" ref="J35:J47" si="17">IF(H$12=0,0,H35/H$12)</f>
        <v>0</v>
      </c>
      <c r="K35" s="1"/>
      <c r="L35" s="1">
        <f t="shared" ref="L35:L47" si="18">+D35-H35</f>
        <v>255.5</v>
      </c>
      <c r="M35" s="1"/>
      <c r="N35" s="5">
        <f t="shared" ref="N35:N47" si="19">IF(H35=0,0,L35/H35)</f>
        <v>0</v>
      </c>
      <c r="O35" s="14"/>
      <c r="P35" s="1">
        <f>SUM(OSRRefP22_2x_0)</f>
        <v>343.26</v>
      </c>
      <c r="Q35" s="1"/>
      <c r="R35" s="5">
        <f t="shared" ref="R35:R47" si="20">IF(P$12=0,0,P35/P$12)</f>
        <v>0</v>
      </c>
      <c r="S35" s="1"/>
      <c r="T35" s="1">
        <f>SUM(OSRRefT22_2x_0)</f>
        <v>0</v>
      </c>
      <c r="U35" s="1"/>
      <c r="V35" s="5">
        <f t="shared" ref="V35:V47" si="21">IF(T$12=0,0,T35/T$12)</f>
        <v>0</v>
      </c>
      <c r="W35" s="1"/>
      <c r="X35" s="1">
        <f t="shared" ref="X35:X47" si="22">+P35-T35</f>
        <v>343.26</v>
      </c>
      <c r="Y35" s="1"/>
      <c r="Z35" s="5">
        <f t="shared" ref="Z35:Z47" si="23">IF(T35=0,0,X35/T35)</f>
        <v>0</v>
      </c>
    </row>
    <row r="36" spans="1:26" s="24" customFormat="1" hidden="1" outlineLevel="2" x14ac:dyDescent="0.3">
      <c r="A36" s="27"/>
      <c r="B36" s="11" t="str">
        <f>CONCATENATE("          ", "6362", " - ", "ADVERTISING EXPENSE")</f>
        <v xml:space="preserve">          6362 - ADVERTISING EXPENSE</v>
      </c>
      <c r="C36" s="11"/>
      <c r="D36" s="6">
        <v>255.5</v>
      </c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255.5</v>
      </c>
      <c r="M36" s="2"/>
      <c r="N36" s="7">
        <f t="shared" si="19"/>
        <v>0</v>
      </c>
      <c r="O36" s="11"/>
      <c r="P36" s="6">
        <v>343.26</v>
      </c>
      <c r="Q36" s="2"/>
      <c r="R36" s="7">
        <f t="shared" si="20"/>
        <v>0</v>
      </c>
      <c r="S36" s="2"/>
      <c r="T36" s="6"/>
      <c r="U36" s="2"/>
      <c r="V36" s="7">
        <f t="shared" si="21"/>
        <v>0</v>
      </c>
      <c r="W36" s="2"/>
      <c r="X36" s="6">
        <f t="shared" si="22"/>
        <v>343.26</v>
      </c>
      <c r="Y36" s="2"/>
      <c r="Z36" s="7">
        <f t="shared" si="23"/>
        <v>0</v>
      </c>
    </row>
    <row r="37" spans="1:26" s="29" customFormat="1" outlineLevel="1" collapsed="1" x14ac:dyDescent="0.3">
      <c r="A37" s="28"/>
      <c r="B37" s="14" t="str">
        <f>CONCATENATE("     ","Employees' Appreciation                           ")</f>
        <v xml:space="preserve">     Employees' Appreciation                           </v>
      </c>
      <c r="C37" s="14"/>
      <c r="D37" s="1">
        <f>SUM(OSRRefD22_3x_0)</f>
        <v>0</v>
      </c>
      <c r="E37" s="1"/>
      <c r="F37" s="5">
        <f t="shared" si="16"/>
        <v>0</v>
      </c>
      <c r="G37" s="1"/>
      <c r="H37" s="1">
        <f>SUM(OSRRefH22_3x_0)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SUM(OSRRefP22_3x_0)</f>
        <v>0</v>
      </c>
      <c r="Q37" s="1"/>
      <c r="R37" s="5">
        <f t="shared" si="20"/>
        <v>0</v>
      </c>
      <c r="S37" s="1"/>
      <c r="T37" s="1">
        <f>SUM(OSRRefT22_3x_0)</f>
        <v>81.56</v>
      </c>
      <c r="U37" s="1"/>
      <c r="V37" s="5">
        <f t="shared" si="21"/>
        <v>0</v>
      </c>
      <c r="W37" s="1"/>
      <c r="X37" s="1">
        <f t="shared" si="22"/>
        <v>-81.56</v>
      </c>
      <c r="Y37" s="1"/>
      <c r="Z37" s="5">
        <f t="shared" si="23"/>
        <v>-1</v>
      </c>
    </row>
    <row r="38" spans="1:26" s="24" customFormat="1" hidden="1" outlineLevel="2" x14ac:dyDescent="0.3">
      <c r="A38" s="27"/>
      <c r="B38" s="11" t="str">
        <f>CONCATENATE("          ", "6277", " - ", "EMPLOYEE APPRECIATION")</f>
        <v xml:space="preserve">          6277 - EMPLOYEE APPRECIATION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/>
      <c r="Q38" s="2"/>
      <c r="R38" s="7">
        <f t="shared" si="20"/>
        <v>0</v>
      </c>
      <c r="S38" s="2"/>
      <c r="T38" s="6">
        <v>81.56</v>
      </c>
      <c r="U38" s="2"/>
      <c r="V38" s="7">
        <f t="shared" si="21"/>
        <v>0</v>
      </c>
      <c r="W38" s="2"/>
      <c r="X38" s="6">
        <f t="shared" si="22"/>
        <v>-81.56</v>
      </c>
      <c r="Y38" s="2"/>
      <c r="Z38" s="7">
        <f t="shared" si="23"/>
        <v>-1</v>
      </c>
    </row>
    <row r="39" spans="1:26" s="29" customFormat="1" outlineLevel="1" collapsed="1" x14ac:dyDescent="0.3">
      <c r="A39" s="28"/>
      <c r="B39" s="14" t="str">
        <f>CONCATENATE("     ","Freight out/Postage                               ")</f>
        <v xml:space="preserve">     Freight out/Postage                               </v>
      </c>
      <c r="C39" s="14"/>
      <c r="D39" s="1">
        <f>SUM(OSRRefD22_4x_0)</f>
        <v>1.06</v>
      </c>
      <c r="E39" s="1"/>
      <c r="F39" s="5">
        <f t="shared" si="16"/>
        <v>0</v>
      </c>
      <c r="G39" s="1"/>
      <c r="H39" s="1">
        <f>SUM(OSRRefH22_4x_0)</f>
        <v>2.5</v>
      </c>
      <c r="I39" s="1"/>
      <c r="J39" s="5">
        <f t="shared" si="17"/>
        <v>0</v>
      </c>
      <c r="K39" s="1"/>
      <c r="L39" s="1">
        <f t="shared" si="18"/>
        <v>-1.44</v>
      </c>
      <c r="M39" s="1"/>
      <c r="N39" s="5">
        <f t="shared" si="19"/>
        <v>-0.57599999999999996</v>
      </c>
      <c r="O39" s="14"/>
      <c r="P39" s="1">
        <f>SUM(OSRRefP22_4x_0)</f>
        <v>170.78</v>
      </c>
      <c r="Q39" s="1"/>
      <c r="R39" s="5">
        <f t="shared" si="20"/>
        <v>0</v>
      </c>
      <c r="S39" s="1"/>
      <c r="T39" s="1">
        <f>SUM(OSRRefT22_4x_0)</f>
        <v>76.05</v>
      </c>
      <c r="U39" s="1"/>
      <c r="V39" s="5">
        <f t="shared" si="21"/>
        <v>0</v>
      </c>
      <c r="W39" s="1"/>
      <c r="X39" s="1">
        <f t="shared" si="22"/>
        <v>94.73</v>
      </c>
      <c r="Y39" s="1"/>
      <c r="Z39" s="5">
        <f t="shared" si="23"/>
        <v>1.2456278763971074</v>
      </c>
    </row>
    <row r="40" spans="1:26" s="24" customFormat="1" hidden="1" outlineLevel="2" x14ac:dyDescent="0.3">
      <c r="A40" s="27"/>
      <c r="B40" s="11" t="str">
        <f>CONCATENATE("          ", "6307", " - ", "POSTAGE")</f>
        <v xml:space="preserve">          6307 - POSTAGE</v>
      </c>
      <c r="C40" s="11"/>
      <c r="D40" s="6">
        <v>1.06</v>
      </c>
      <c r="E40" s="2"/>
      <c r="F40" s="7">
        <f t="shared" si="16"/>
        <v>0</v>
      </c>
      <c r="G40" s="2"/>
      <c r="H40" s="6">
        <v>2.5</v>
      </c>
      <c r="I40" s="2"/>
      <c r="J40" s="7">
        <f t="shared" si="17"/>
        <v>0</v>
      </c>
      <c r="K40" s="2"/>
      <c r="L40" s="6">
        <f t="shared" si="18"/>
        <v>-1.44</v>
      </c>
      <c r="M40" s="2"/>
      <c r="N40" s="7">
        <f t="shared" si="19"/>
        <v>-0.57599999999999996</v>
      </c>
      <c r="O40" s="11"/>
      <c r="P40" s="6">
        <v>170.78</v>
      </c>
      <c r="Q40" s="2"/>
      <c r="R40" s="7">
        <f t="shared" si="20"/>
        <v>0</v>
      </c>
      <c r="S40" s="2"/>
      <c r="T40" s="6">
        <v>76.05</v>
      </c>
      <c r="U40" s="2"/>
      <c r="V40" s="7">
        <f t="shared" si="21"/>
        <v>0</v>
      </c>
      <c r="W40" s="2"/>
      <c r="X40" s="6">
        <f t="shared" si="22"/>
        <v>94.73</v>
      </c>
      <c r="Y40" s="2"/>
      <c r="Z40" s="7">
        <f t="shared" si="23"/>
        <v>1.2456278763971074</v>
      </c>
    </row>
    <row r="41" spans="1:26" s="29" customFormat="1" outlineLevel="1" collapsed="1" x14ac:dyDescent="0.3">
      <c r="A41" s="28"/>
      <c r="B41" s="14" t="str">
        <f>CONCATENATE("     ","General                                           ")</f>
        <v xml:space="preserve">     General                                           </v>
      </c>
      <c r="C41" s="14"/>
      <c r="D41" s="1">
        <f>SUM(OSRRefD22_5x_0)</f>
        <v>182</v>
      </c>
      <c r="E41" s="1"/>
      <c r="F41" s="5">
        <f t="shared" si="16"/>
        <v>0</v>
      </c>
      <c r="G41" s="1"/>
      <c r="H41" s="1">
        <f>SUM(OSRRefH22_5x_0)</f>
        <v>0</v>
      </c>
      <c r="I41" s="1"/>
      <c r="J41" s="5">
        <f t="shared" si="17"/>
        <v>0</v>
      </c>
      <c r="K41" s="1"/>
      <c r="L41" s="1">
        <f t="shared" si="18"/>
        <v>182</v>
      </c>
      <c r="M41" s="1"/>
      <c r="N41" s="5">
        <f t="shared" si="19"/>
        <v>0</v>
      </c>
      <c r="O41" s="14"/>
      <c r="P41" s="1">
        <f>SUM(OSRRefP22_5x_0)</f>
        <v>2490.75</v>
      </c>
      <c r="Q41" s="1"/>
      <c r="R41" s="5">
        <f t="shared" si="20"/>
        <v>0</v>
      </c>
      <c r="S41" s="1"/>
      <c r="T41" s="1">
        <f>SUM(OSRRefT22_5x_0)</f>
        <v>166.54</v>
      </c>
      <c r="U41" s="1"/>
      <c r="V41" s="5">
        <f t="shared" si="21"/>
        <v>0</v>
      </c>
      <c r="W41" s="1"/>
      <c r="X41" s="1">
        <f t="shared" si="22"/>
        <v>2324.21</v>
      </c>
      <c r="Y41" s="1"/>
      <c r="Z41" s="5">
        <f t="shared" si="23"/>
        <v>13.955866458508467</v>
      </c>
    </row>
    <row r="42" spans="1:26" s="24" customFormat="1" hidden="1" outlineLevel="2" x14ac:dyDescent="0.3">
      <c r="A42" s="27"/>
      <c r="B42" s="11" t="str">
        <f>CONCATENATE("          ", "6279", " - ", "GENERAL EXPENSE")</f>
        <v xml:space="preserve">          6279 - GENERAL EXPENSE</v>
      </c>
      <c r="C42" s="11"/>
      <c r="D42" s="6">
        <v>182</v>
      </c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182</v>
      </c>
      <c r="M42" s="2"/>
      <c r="N42" s="7">
        <f t="shared" si="19"/>
        <v>0</v>
      </c>
      <c r="O42" s="11"/>
      <c r="P42" s="6">
        <v>2490.75</v>
      </c>
      <c r="Q42" s="2"/>
      <c r="R42" s="7">
        <f t="shared" si="20"/>
        <v>0</v>
      </c>
      <c r="S42" s="2"/>
      <c r="T42" s="6">
        <v>166.54</v>
      </c>
      <c r="U42" s="2"/>
      <c r="V42" s="7">
        <f t="shared" si="21"/>
        <v>0</v>
      </c>
      <c r="W42" s="2"/>
      <c r="X42" s="6">
        <f t="shared" si="22"/>
        <v>2324.21</v>
      </c>
      <c r="Y42" s="2"/>
      <c r="Z42" s="7">
        <f t="shared" si="23"/>
        <v>13.955866458508467</v>
      </c>
    </row>
    <row r="43" spans="1:26" s="29" customFormat="1" outlineLevel="1" collapsed="1" x14ac:dyDescent="0.3">
      <c r="A43" s="28"/>
      <c r="B43" s="14" t="str">
        <f>CONCATENATE("     ","Insurance                                         ")</f>
        <v xml:space="preserve">     Insurance                                         </v>
      </c>
      <c r="C43" s="14"/>
      <c r="D43" s="1">
        <f>SUM(OSRRefD22_6x_0)</f>
        <v>88.99</v>
      </c>
      <c r="E43" s="1"/>
      <c r="F43" s="5">
        <f t="shared" si="16"/>
        <v>0</v>
      </c>
      <c r="G43" s="1"/>
      <c r="H43" s="1">
        <f>SUM(OSRRefH22_6x_0)</f>
        <v>65.47</v>
      </c>
      <c r="I43" s="1"/>
      <c r="J43" s="5">
        <f t="shared" si="17"/>
        <v>0</v>
      </c>
      <c r="K43" s="1"/>
      <c r="L43" s="1">
        <f t="shared" si="18"/>
        <v>23.519999999999996</v>
      </c>
      <c r="M43" s="1"/>
      <c r="N43" s="5">
        <f t="shared" si="19"/>
        <v>0.35924851076829079</v>
      </c>
      <c r="O43" s="14"/>
      <c r="P43" s="1">
        <f>SUM(OSRRefP22_6x_0)</f>
        <v>444.95</v>
      </c>
      <c r="Q43" s="1"/>
      <c r="R43" s="5">
        <f t="shared" si="20"/>
        <v>0</v>
      </c>
      <c r="S43" s="1"/>
      <c r="T43" s="1">
        <f>SUM(OSRRefT22_6x_0)</f>
        <v>327.35000000000002</v>
      </c>
      <c r="U43" s="1"/>
      <c r="V43" s="5">
        <f t="shared" si="21"/>
        <v>0</v>
      </c>
      <c r="W43" s="1"/>
      <c r="X43" s="1">
        <f t="shared" si="22"/>
        <v>117.59999999999997</v>
      </c>
      <c r="Y43" s="1"/>
      <c r="Z43" s="5">
        <f t="shared" si="23"/>
        <v>0.35924851076829067</v>
      </c>
    </row>
    <row r="44" spans="1:26" s="24" customFormat="1" hidden="1" outlineLevel="2" x14ac:dyDescent="0.3">
      <c r="A44" s="27"/>
      <c r="B44" s="11" t="str">
        <f>CONCATENATE("          ", "6314", " - ", "LIABILITY INSURANCE")</f>
        <v xml:space="preserve">          6314 - LIABILITY INSURANCE</v>
      </c>
      <c r="C44" s="11"/>
      <c r="D44" s="6">
        <v>88.99</v>
      </c>
      <c r="E44" s="2"/>
      <c r="F44" s="7">
        <f t="shared" si="16"/>
        <v>0</v>
      </c>
      <c r="G44" s="2"/>
      <c r="H44" s="6">
        <v>65.47</v>
      </c>
      <c r="I44" s="2"/>
      <c r="J44" s="7">
        <f t="shared" si="17"/>
        <v>0</v>
      </c>
      <c r="K44" s="2"/>
      <c r="L44" s="6">
        <f t="shared" si="18"/>
        <v>23.519999999999996</v>
      </c>
      <c r="M44" s="2"/>
      <c r="N44" s="7">
        <f t="shared" si="19"/>
        <v>0.35924851076829079</v>
      </c>
      <c r="O44" s="11"/>
      <c r="P44" s="6">
        <v>444.95</v>
      </c>
      <c r="Q44" s="2"/>
      <c r="R44" s="7">
        <f t="shared" si="20"/>
        <v>0</v>
      </c>
      <c r="S44" s="2"/>
      <c r="T44" s="6">
        <v>327.35000000000002</v>
      </c>
      <c r="U44" s="2"/>
      <c r="V44" s="7">
        <f t="shared" si="21"/>
        <v>0</v>
      </c>
      <c r="W44" s="2"/>
      <c r="X44" s="6">
        <f t="shared" si="22"/>
        <v>117.59999999999997</v>
      </c>
      <c r="Y44" s="2"/>
      <c r="Z44" s="7">
        <f t="shared" si="23"/>
        <v>0.35924851076829067</v>
      </c>
    </row>
    <row r="45" spans="1:26" s="29" customFormat="1" outlineLevel="1" collapsed="1" x14ac:dyDescent="0.3">
      <c r="A45" s="28"/>
      <c r="B45" s="14" t="str">
        <f>CONCATENATE("     ","Professional Services                             ")</f>
        <v xml:space="preserve">     Professional Services                             </v>
      </c>
      <c r="C45" s="14"/>
      <c r="D45" s="1">
        <f>SUM(OSRRefD22_7x_0)</f>
        <v>0</v>
      </c>
      <c r="E45" s="1"/>
      <c r="F45" s="5">
        <f t="shared" si="16"/>
        <v>0</v>
      </c>
      <c r="G45" s="1"/>
      <c r="H45" s="1">
        <f>SUM(OSRRefH22_7x_0)</f>
        <v>131.37</v>
      </c>
      <c r="I45" s="1"/>
      <c r="J45" s="5">
        <f t="shared" si="17"/>
        <v>0</v>
      </c>
      <c r="K45" s="1"/>
      <c r="L45" s="1">
        <f t="shared" si="18"/>
        <v>-131.37</v>
      </c>
      <c r="M45" s="1"/>
      <c r="N45" s="5">
        <f t="shared" si="19"/>
        <v>-1</v>
      </c>
      <c r="O45" s="14"/>
      <c r="P45" s="1">
        <f>SUM(OSRRefP22_7x_0)</f>
        <v>9614.369999999999</v>
      </c>
      <c r="Q45" s="1"/>
      <c r="R45" s="5">
        <f t="shared" si="20"/>
        <v>0</v>
      </c>
      <c r="S45" s="1"/>
      <c r="T45" s="1">
        <f>SUM(OSRRefT22_7x_0)</f>
        <v>4802.58</v>
      </c>
      <c r="U45" s="1"/>
      <c r="V45" s="5">
        <f t="shared" si="21"/>
        <v>0</v>
      </c>
      <c r="W45" s="1"/>
      <c r="X45" s="1">
        <f t="shared" si="22"/>
        <v>4811.7899999999991</v>
      </c>
      <c r="Y45" s="1"/>
      <c r="Z45" s="5">
        <f t="shared" si="23"/>
        <v>1.0019177192259159</v>
      </c>
    </row>
    <row r="46" spans="1:26" s="24" customFormat="1" hidden="1" outlineLevel="2" x14ac:dyDescent="0.3">
      <c r="A46" s="27"/>
      <c r="B46" s="11" t="str">
        <f>CONCATENATE("          ", "6334", " - ", "LEGAL COUNCIL EXPENSE")</f>
        <v xml:space="preserve">          6334 - LEGAL COUNCIL EXPENSE</v>
      </c>
      <c r="C46" s="11"/>
      <c r="D46" s="6"/>
      <c r="E46" s="2"/>
      <c r="F46" s="7">
        <f t="shared" si="16"/>
        <v>0</v>
      </c>
      <c r="G46" s="2"/>
      <c r="H46" s="6"/>
      <c r="I46" s="2"/>
      <c r="J46" s="7">
        <f t="shared" si="17"/>
        <v>0</v>
      </c>
      <c r="K46" s="2"/>
      <c r="L46" s="6">
        <f t="shared" si="18"/>
        <v>0</v>
      </c>
      <c r="M46" s="2"/>
      <c r="N46" s="7">
        <f t="shared" si="19"/>
        <v>0</v>
      </c>
      <c r="O46" s="11"/>
      <c r="P46" s="6">
        <v>3255</v>
      </c>
      <c r="Q46" s="2"/>
      <c r="R46" s="7">
        <f t="shared" si="20"/>
        <v>0</v>
      </c>
      <c r="S46" s="2"/>
      <c r="T46" s="6">
        <v>385</v>
      </c>
      <c r="U46" s="2"/>
      <c r="V46" s="7">
        <f t="shared" si="21"/>
        <v>0</v>
      </c>
      <c r="W46" s="2"/>
      <c r="X46" s="6">
        <f t="shared" si="22"/>
        <v>2870</v>
      </c>
      <c r="Y46" s="2"/>
      <c r="Z46" s="7">
        <f t="shared" si="23"/>
        <v>7.4545454545454541</v>
      </c>
    </row>
    <row r="47" spans="1:26" s="24" customFormat="1" hidden="1" outlineLevel="2" x14ac:dyDescent="0.3">
      <c r="A47" s="27"/>
      <c r="B47" s="11" t="str">
        <f>CONCATENATE("          ", "6336", " - ", "PROFESSIONAL SERVICES")</f>
        <v xml:space="preserve">          6336 - PROFESSIONAL SERVICES</v>
      </c>
      <c r="C47" s="11"/>
      <c r="D47" s="6"/>
      <c r="E47" s="2"/>
      <c r="F47" s="7">
        <f t="shared" si="16"/>
        <v>0</v>
      </c>
      <c r="G47" s="2"/>
      <c r="H47" s="6">
        <v>131.37</v>
      </c>
      <c r="I47" s="2"/>
      <c r="J47" s="7">
        <f t="shared" si="17"/>
        <v>0</v>
      </c>
      <c r="K47" s="2"/>
      <c r="L47" s="6">
        <f t="shared" si="18"/>
        <v>-131.37</v>
      </c>
      <c r="M47" s="2"/>
      <c r="N47" s="7">
        <f t="shared" si="19"/>
        <v>-1</v>
      </c>
      <c r="O47" s="11"/>
      <c r="P47" s="6">
        <v>6359.37</v>
      </c>
      <c r="Q47" s="2"/>
      <c r="R47" s="7">
        <f t="shared" si="20"/>
        <v>0</v>
      </c>
      <c r="S47" s="2"/>
      <c r="T47" s="6">
        <v>4417.58</v>
      </c>
      <c r="U47" s="2"/>
      <c r="V47" s="7">
        <f t="shared" si="21"/>
        <v>0</v>
      </c>
      <c r="W47" s="2"/>
      <c r="X47" s="6">
        <f t="shared" si="22"/>
        <v>1941.79</v>
      </c>
      <c r="Y47" s="2"/>
      <c r="Z47" s="7">
        <f t="shared" si="23"/>
        <v>0.43955966841573896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SUM(OSRRefD22_8x_0)</f>
        <v>6605.92</v>
      </c>
      <c r="E48" s="1"/>
      <c r="F48" s="5">
        <f t="shared" ref="F48:F50" si="24">IF(D$12=0,0,D48/D$12)</f>
        <v>0</v>
      </c>
      <c r="G48" s="1"/>
      <c r="H48" s="1">
        <f>SUM(OSRRefH22_8x_0)</f>
        <v>4215.55</v>
      </c>
      <c r="I48" s="1"/>
      <c r="J48" s="5">
        <f t="shared" ref="J48:J50" si="25">IF(H$12=0,0,H48/H$12)</f>
        <v>0</v>
      </c>
      <c r="K48" s="1"/>
      <c r="L48" s="1">
        <f t="shared" ref="L48:L50" si="26">+D48-H48</f>
        <v>2390.37</v>
      </c>
      <c r="M48" s="1"/>
      <c r="N48" s="5">
        <f t="shared" ref="N48:N50" si="27">IF(H48=0,0,L48/H48)</f>
        <v>0.56703632977903229</v>
      </c>
      <c r="O48" s="14"/>
      <c r="P48" s="1">
        <f>SUM(OSRRefP22_8x_0)</f>
        <v>26362</v>
      </c>
      <c r="Q48" s="1"/>
      <c r="R48" s="5">
        <f t="shared" ref="R48:R50" si="28">IF(P$12=0,0,P48/P$12)</f>
        <v>0</v>
      </c>
      <c r="S48" s="1"/>
      <c r="T48" s="1">
        <f>SUM(OSRRefT22_8x_0)</f>
        <v>20153.61</v>
      </c>
      <c r="U48" s="1"/>
      <c r="V48" s="5">
        <f t="shared" ref="V48:V50" si="29">IF(T$12=0,0,T48/T$12)</f>
        <v>0</v>
      </c>
      <c r="W48" s="1"/>
      <c r="X48" s="1">
        <f t="shared" ref="X48:X50" si="30">+P48-T48</f>
        <v>6208.3899999999994</v>
      </c>
      <c r="Y48" s="1"/>
      <c r="Z48" s="5">
        <f t="shared" ref="Z48:Z50" si="31">IF(T48=0,0,X48/T48)</f>
        <v>0.308053495130649</v>
      </c>
    </row>
    <row r="49" spans="1:26" s="24" customFormat="1" hidden="1" outlineLevel="2" x14ac:dyDescent="0.3">
      <c r="A49" s="27"/>
      <c r="B49" s="11" t="str">
        <f>CONCATENATE("          ", "6371", " - ", "COMPUTER SOFTWARE MAINTENANCE")</f>
        <v xml:space="preserve">          6371 - COMPUTER SOFTWARE MAINTENANCE</v>
      </c>
      <c r="C49" s="11"/>
      <c r="D49" s="6">
        <v>6406.17</v>
      </c>
      <c r="E49" s="2"/>
      <c r="F49" s="7">
        <f t="shared" si="24"/>
        <v>0</v>
      </c>
      <c r="G49" s="2"/>
      <c r="H49" s="6">
        <v>4157.46</v>
      </c>
      <c r="I49" s="2"/>
      <c r="J49" s="7">
        <f t="shared" si="25"/>
        <v>0</v>
      </c>
      <c r="K49" s="2"/>
      <c r="L49" s="6">
        <f t="shared" si="26"/>
        <v>2248.71</v>
      </c>
      <c r="M49" s="2"/>
      <c r="N49" s="7">
        <f t="shared" si="27"/>
        <v>0.54088554069071015</v>
      </c>
      <c r="O49" s="11"/>
      <c r="P49" s="6">
        <v>26063.66</v>
      </c>
      <c r="Q49" s="2"/>
      <c r="R49" s="7">
        <f t="shared" si="28"/>
        <v>0</v>
      </c>
      <c r="S49" s="2"/>
      <c r="T49" s="6">
        <v>20095.52</v>
      </c>
      <c r="U49" s="2"/>
      <c r="V49" s="7">
        <f t="shared" si="29"/>
        <v>0</v>
      </c>
      <c r="W49" s="2"/>
      <c r="X49" s="6">
        <f t="shared" si="30"/>
        <v>5968.1399999999994</v>
      </c>
      <c r="Y49" s="2"/>
      <c r="Z49" s="7">
        <f t="shared" si="31"/>
        <v>0.29698858252983745</v>
      </c>
    </row>
    <row r="50" spans="1:26" s="24" customFormat="1" hidden="1" outlineLevel="2" x14ac:dyDescent="0.3">
      <c r="A50" s="27"/>
      <c r="B50" s="11" t="str">
        <f>CONCATENATE("          ", "6373", " - ", "MAINTENANCE CONTRACTS")</f>
        <v xml:space="preserve">          6373 - MAINTENANCE CONTRACTS</v>
      </c>
      <c r="C50" s="11"/>
      <c r="D50" s="6">
        <v>199.75</v>
      </c>
      <c r="E50" s="2"/>
      <c r="F50" s="7">
        <f t="shared" si="24"/>
        <v>0</v>
      </c>
      <c r="G50" s="2"/>
      <c r="H50" s="6">
        <v>58.09</v>
      </c>
      <c r="I50" s="2"/>
      <c r="J50" s="7">
        <f t="shared" si="25"/>
        <v>0</v>
      </c>
      <c r="K50" s="2"/>
      <c r="L50" s="6">
        <f t="shared" si="26"/>
        <v>141.66</v>
      </c>
      <c r="M50" s="2"/>
      <c r="N50" s="7">
        <f t="shared" si="27"/>
        <v>2.4386297125150627</v>
      </c>
      <c r="O50" s="11"/>
      <c r="P50" s="6">
        <v>298.33999999999997</v>
      </c>
      <c r="Q50" s="2"/>
      <c r="R50" s="7">
        <f t="shared" si="28"/>
        <v>0</v>
      </c>
      <c r="S50" s="2"/>
      <c r="T50" s="6">
        <v>58.09</v>
      </c>
      <c r="U50" s="2"/>
      <c r="V50" s="7">
        <f t="shared" si="29"/>
        <v>0</v>
      </c>
      <c r="W50" s="2"/>
      <c r="X50" s="6">
        <f t="shared" si="30"/>
        <v>240.24999999999997</v>
      </c>
      <c r="Y50" s="2"/>
      <c r="Z50" s="7">
        <f t="shared" si="31"/>
        <v>4.1358237218109819</v>
      </c>
    </row>
    <row r="51" spans="1:26" s="29" customFormat="1" outlineLevel="1" collapsed="1" x14ac:dyDescent="0.3">
      <c r="A51" s="28"/>
      <c r="B51" s="14" t="str">
        <f>CONCATENATE("     ","Subscriptions &amp; Dues                              ")</f>
        <v xml:space="preserve">     Subscriptions &amp; Dues                              </v>
      </c>
      <c r="C51" s="14"/>
      <c r="D51" s="1">
        <f>SUM(OSRRefD22_9x_0)</f>
        <v>0</v>
      </c>
      <c r="E51" s="1"/>
      <c r="F51" s="5">
        <f t="shared" ref="F51:F57" si="32">IF(D$12=0,0,D51/D$12)</f>
        <v>0</v>
      </c>
      <c r="G51" s="1"/>
      <c r="H51" s="1">
        <f>SUM(OSRRefH22_9x_0)</f>
        <v>0</v>
      </c>
      <c r="I51" s="1"/>
      <c r="J51" s="5">
        <f t="shared" ref="J51:J57" si="33">IF(H$12=0,0,H51/H$12)</f>
        <v>0</v>
      </c>
      <c r="K51" s="1"/>
      <c r="L51" s="1">
        <f t="shared" ref="L51:L57" si="34">+D51-H51</f>
        <v>0</v>
      </c>
      <c r="M51" s="1"/>
      <c r="N51" s="5">
        <f t="shared" ref="N51:N57" si="35">IF(H51=0,0,L51/H51)</f>
        <v>0</v>
      </c>
      <c r="O51" s="14"/>
      <c r="P51" s="1">
        <f>SUM(OSRRefP22_9x_0)</f>
        <v>657</v>
      </c>
      <c r="Q51" s="1"/>
      <c r="R51" s="5">
        <f t="shared" ref="R51:R57" si="36">IF(P$12=0,0,P51/P$12)</f>
        <v>0</v>
      </c>
      <c r="S51" s="1"/>
      <c r="T51" s="1">
        <f>SUM(OSRRefT22_9x_0)</f>
        <v>534.99</v>
      </c>
      <c r="U51" s="1"/>
      <c r="V51" s="5">
        <f t="shared" ref="V51:V57" si="37">IF(T$12=0,0,T51/T$12)</f>
        <v>0</v>
      </c>
      <c r="W51" s="1"/>
      <c r="X51" s="1">
        <f t="shared" ref="X51:X57" si="38">+P51-T51</f>
        <v>122.00999999999999</v>
      </c>
      <c r="Y51" s="1"/>
      <c r="Z51" s="5">
        <f t="shared" ref="Z51:Z57" si="39">IF(T51=0,0,X51/T51)</f>
        <v>0.22806033757640329</v>
      </c>
    </row>
    <row r="52" spans="1:26" s="24" customFormat="1" hidden="1" outlineLevel="2" x14ac:dyDescent="0.3">
      <c r="A52" s="27"/>
      <c r="B52" s="11" t="str">
        <f>CONCATENATE("          ", "6258", " - ", "MEMBERSHIP DUES")</f>
        <v xml:space="preserve">          6258 - MEMBERSHIP DUES</v>
      </c>
      <c r="C52" s="11"/>
      <c r="D52" s="6"/>
      <c r="E52" s="2"/>
      <c r="F52" s="7">
        <f t="shared" si="32"/>
        <v>0</v>
      </c>
      <c r="G52" s="2"/>
      <c r="H52" s="6"/>
      <c r="I52" s="2"/>
      <c r="J52" s="7">
        <f t="shared" si="33"/>
        <v>0</v>
      </c>
      <c r="K52" s="2"/>
      <c r="L52" s="6">
        <f t="shared" si="34"/>
        <v>0</v>
      </c>
      <c r="M52" s="2"/>
      <c r="N52" s="7">
        <f t="shared" si="35"/>
        <v>0</v>
      </c>
      <c r="O52" s="11"/>
      <c r="P52" s="6">
        <v>657</v>
      </c>
      <c r="Q52" s="2"/>
      <c r="R52" s="7">
        <f t="shared" si="36"/>
        <v>0</v>
      </c>
      <c r="S52" s="2"/>
      <c r="T52" s="6">
        <v>534.99</v>
      </c>
      <c r="U52" s="2"/>
      <c r="V52" s="7">
        <f t="shared" si="37"/>
        <v>0</v>
      </c>
      <c r="W52" s="2"/>
      <c r="X52" s="6">
        <f t="shared" si="38"/>
        <v>122.00999999999999</v>
      </c>
      <c r="Y52" s="2"/>
      <c r="Z52" s="7">
        <f t="shared" si="39"/>
        <v>0.22806033757640329</v>
      </c>
    </row>
    <row r="53" spans="1:26" s="29" customFormat="1" outlineLevel="1" collapsed="1" x14ac:dyDescent="0.3">
      <c r="A53" s="28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SUM(OSRRefD22_10x_0)</f>
        <v>505.25</v>
      </c>
      <c r="E53" s="1"/>
      <c r="F53" s="5">
        <f t="shared" si="32"/>
        <v>0</v>
      </c>
      <c r="G53" s="1"/>
      <c r="H53" s="1">
        <f>SUM(OSRRefH22_10x_0)</f>
        <v>-50.12</v>
      </c>
      <c r="I53" s="1"/>
      <c r="J53" s="5">
        <f t="shared" si="33"/>
        <v>0</v>
      </c>
      <c r="K53" s="1"/>
      <c r="L53" s="1">
        <f t="shared" si="34"/>
        <v>555.37</v>
      </c>
      <c r="M53" s="1"/>
      <c r="N53" s="5">
        <f t="shared" si="35"/>
        <v>-11.080806065442937</v>
      </c>
      <c r="O53" s="14"/>
      <c r="P53" s="1">
        <f>SUM(OSRRefP22_10x_0)</f>
        <v>7240.5400000000009</v>
      </c>
      <c r="Q53" s="1"/>
      <c r="R53" s="5">
        <f t="shared" si="36"/>
        <v>0</v>
      </c>
      <c r="S53" s="1"/>
      <c r="T53" s="1">
        <f>SUM(OSRRefT22_10x_0)</f>
        <v>1290.1600000000001</v>
      </c>
      <c r="U53" s="1"/>
      <c r="V53" s="5">
        <f t="shared" si="37"/>
        <v>0</v>
      </c>
      <c r="W53" s="1"/>
      <c r="X53" s="1">
        <f t="shared" si="38"/>
        <v>5950.380000000001</v>
      </c>
      <c r="Y53" s="1"/>
      <c r="Z53" s="5">
        <f t="shared" si="39"/>
        <v>4.6121256278291067</v>
      </c>
    </row>
    <row r="54" spans="1:26" s="24" customFormat="1" hidden="1" outlineLevel="2" x14ac:dyDescent="0.3">
      <c r="A54" s="27"/>
      <c r="B54" s="11" t="str">
        <f>CONCATENATE("          ", "6235", " - ", "COVID-19 EXPENSES")</f>
        <v xml:space="preserve">          6235 - COVID-19 EXPENSES</v>
      </c>
      <c r="C54" s="11"/>
      <c r="D54" s="6"/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0</v>
      </c>
      <c r="M54" s="2"/>
      <c r="N54" s="7">
        <f t="shared" si="35"/>
        <v>0</v>
      </c>
      <c r="O54" s="11"/>
      <c r="P54" s="6">
        <v>2447.77</v>
      </c>
      <c r="Q54" s="2"/>
      <c r="R54" s="7">
        <f t="shared" si="36"/>
        <v>0</v>
      </c>
      <c r="S54" s="2"/>
      <c r="T54" s="6">
        <v>210.58</v>
      </c>
      <c r="U54" s="2"/>
      <c r="V54" s="7">
        <f t="shared" si="37"/>
        <v>0</v>
      </c>
      <c r="W54" s="2"/>
      <c r="X54" s="6">
        <f t="shared" si="38"/>
        <v>2237.19</v>
      </c>
      <c r="Y54" s="2"/>
      <c r="Z54" s="7">
        <f t="shared" si="39"/>
        <v>10.623943394434418</v>
      </c>
    </row>
    <row r="55" spans="1:26" s="24" customFormat="1" hidden="1" outlineLevel="2" x14ac:dyDescent="0.3">
      <c r="A55" s="27"/>
      <c r="B55" s="11" t="str">
        <f>CONCATENATE("          ", "6241", " - ", "OFFICE EXPENSE")</f>
        <v xml:space="preserve">          6241 - OFFICE EXPENSE</v>
      </c>
      <c r="C55" s="11"/>
      <c r="D55" s="6">
        <v>455.25</v>
      </c>
      <c r="E55" s="2"/>
      <c r="F55" s="7">
        <f t="shared" si="32"/>
        <v>0</v>
      </c>
      <c r="G55" s="2"/>
      <c r="H55" s="6">
        <v>-50.12</v>
      </c>
      <c r="I55" s="2"/>
      <c r="J55" s="7">
        <f t="shared" si="33"/>
        <v>0</v>
      </c>
      <c r="K55" s="2"/>
      <c r="L55" s="6">
        <f t="shared" si="34"/>
        <v>505.37</v>
      </c>
      <c r="M55" s="2"/>
      <c r="N55" s="7">
        <f t="shared" si="35"/>
        <v>-10.083200319233839</v>
      </c>
      <c r="O55" s="11"/>
      <c r="P55" s="6">
        <v>1408.08</v>
      </c>
      <c r="Q55" s="2"/>
      <c r="R55" s="7">
        <f t="shared" si="36"/>
        <v>0</v>
      </c>
      <c r="S55" s="2"/>
      <c r="T55" s="6">
        <v>856.87</v>
      </c>
      <c r="U55" s="2"/>
      <c r="V55" s="7">
        <f t="shared" si="37"/>
        <v>0</v>
      </c>
      <c r="W55" s="2"/>
      <c r="X55" s="6">
        <f t="shared" si="38"/>
        <v>551.20999999999992</v>
      </c>
      <c r="Y55" s="2"/>
      <c r="Z55" s="7">
        <f t="shared" si="39"/>
        <v>0.64328311179058661</v>
      </c>
    </row>
    <row r="56" spans="1:26" s="24" customFormat="1" hidden="1" outlineLevel="2" x14ac:dyDescent="0.3">
      <c r="A56" s="27"/>
      <c r="B56" s="11" t="str">
        <f>CONCATENATE("          ", "6244", " - ", "SAFETY SUPPLY EXPENSE")</f>
        <v xml:space="preserve">          6244 - SAFETY SUPPLY EXPENSE</v>
      </c>
      <c r="C56" s="11"/>
      <c r="D56" s="6">
        <v>50</v>
      </c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50</v>
      </c>
      <c r="M56" s="2"/>
      <c r="N56" s="7">
        <f t="shared" si="35"/>
        <v>0</v>
      </c>
      <c r="O56" s="11"/>
      <c r="P56" s="6">
        <v>600</v>
      </c>
      <c r="Q56" s="2"/>
      <c r="R56" s="7">
        <f t="shared" si="36"/>
        <v>0</v>
      </c>
      <c r="S56" s="2"/>
      <c r="T56" s="6">
        <v>222.71</v>
      </c>
      <c r="U56" s="2"/>
      <c r="V56" s="7">
        <f t="shared" si="37"/>
        <v>0</v>
      </c>
      <c r="W56" s="2"/>
      <c r="X56" s="6">
        <f t="shared" si="38"/>
        <v>377.28999999999996</v>
      </c>
      <c r="Y56" s="2"/>
      <c r="Z56" s="7">
        <f t="shared" si="39"/>
        <v>1.6940864801760134</v>
      </c>
    </row>
    <row r="57" spans="1:26" s="24" customFormat="1" hidden="1" outlineLevel="2" x14ac:dyDescent="0.3">
      <c r="A57" s="27"/>
      <c r="B57" s="11" t="str">
        <f>CONCATENATE("          ", "6248", " - ", "UNIFORMS")</f>
        <v xml:space="preserve">          6248 - UNIFORMS</v>
      </c>
      <c r="C57" s="11"/>
      <c r="D57" s="6"/>
      <c r="E57" s="2"/>
      <c r="F57" s="7">
        <f t="shared" si="32"/>
        <v>0</v>
      </c>
      <c r="G57" s="2"/>
      <c r="H57" s="6"/>
      <c r="I57" s="2"/>
      <c r="J57" s="7">
        <f t="shared" si="33"/>
        <v>0</v>
      </c>
      <c r="K57" s="2"/>
      <c r="L57" s="6">
        <f t="shared" si="34"/>
        <v>0</v>
      </c>
      <c r="M57" s="2"/>
      <c r="N57" s="7">
        <f t="shared" si="35"/>
        <v>0</v>
      </c>
      <c r="O57" s="11"/>
      <c r="P57" s="6">
        <v>2784.69</v>
      </c>
      <c r="Q57" s="2"/>
      <c r="R57" s="7">
        <f t="shared" si="36"/>
        <v>0</v>
      </c>
      <c r="S57" s="2"/>
      <c r="T57" s="6"/>
      <c r="U57" s="2"/>
      <c r="V57" s="7">
        <f t="shared" si="37"/>
        <v>0</v>
      </c>
      <c r="W57" s="2"/>
      <c r="X57" s="6">
        <f t="shared" si="38"/>
        <v>2784.69</v>
      </c>
      <c r="Y57" s="2"/>
      <c r="Z57" s="7">
        <f t="shared" si="39"/>
        <v>0</v>
      </c>
    </row>
    <row r="58" spans="1:26" s="29" customFormat="1" outlineLevel="1" collapsed="1" x14ac:dyDescent="0.3">
      <c r="A58" s="28"/>
      <c r="B58" s="14" t="str">
        <f>CONCATENATE("     ","Telephone/Data Lines                              ")</f>
        <v xml:space="preserve">     Telephone/Data Lines                              </v>
      </c>
      <c r="C58" s="14"/>
      <c r="D58" s="1">
        <f>SUM(OSRRefD22_11x_0)</f>
        <v>579.29999999999995</v>
      </c>
      <c r="E58" s="1"/>
      <c r="F58" s="5">
        <f t="shared" ref="F58:F63" si="40">IF(D$12=0,0,D58/D$12)</f>
        <v>0</v>
      </c>
      <c r="G58" s="1"/>
      <c r="H58" s="1">
        <f>SUM(OSRRefH22_11x_0)</f>
        <v>332.7</v>
      </c>
      <c r="I58" s="1"/>
      <c r="J58" s="5">
        <f t="shared" ref="J58:J63" si="41">IF(H$12=0,0,H58/H$12)</f>
        <v>0</v>
      </c>
      <c r="K58" s="1"/>
      <c r="L58" s="1">
        <f t="shared" ref="L58:L63" si="42">+D58-H58</f>
        <v>246.59999999999997</v>
      </c>
      <c r="M58" s="1"/>
      <c r="N58" s="5">
        <f t="shared" ref="N58:N63" si="43">IF(H58=0,0,L58/H58)</f>
        <v>0.74120829576194758</v>
      </c>
      <c r="O58" s="14"/>
      <c r="P58" s="1">
        <f>SUM(OSRRefP22_11x_0)</f>
        <v>2539.35</v>
      </c>
      <c r="Q58" s="1"/>
      <c r="R58" s="5">
        <f t="shared" ref="R58:R63" si="44">IF(P$12=0,0,P58/P$12)</f>
        <v>0</v>
      </c>
      <c r="S58" s="1"/>
      <c r="T58" s="1">
        <f>SUM(OSRRefT22_11x_0)</f>
        <v>1657.05</v>
      </c>
      <c r="U58" s="1"/>
      <c r="V58" s="5">
        <f t="shared" ref="V58:V63" si="45">IF(T$12=0,0,T58/T$12)</f>
        <v>0</v>
      </c>
      <c r="W58" s="1"/>
      <c r="X58" s="1">
        <f t="shared" ref="X58:X63" si="46">+P58-T58</f>
        <v>882.3</v>
      </c>
      <c r="Y58" s="1"/>
      <c r="Z58" s="5">
        <f t="shared" ref="Z58:Z63" si="47">IF(T58=0,0,X58/T58)</f>
        <v>0.53245224947949665</v>
      </c>
    </row>
    <row r="59" spans="1:26" s="24" customFormat="1" hidden="1" outlineLevel="2" x14ac:dyDescent="0.3">
      <c r="A59" s="27"/>
      <c r="B59" s="11" t="str">
        <f>CONCATENATE("          ", "6309", " - ", "TELEPHONE")</f>
        <v xml:space="preserve">          6309 - TELEPHONE</v>
      </c>
      <c r="C59" s="11"/>
      <c r="D59" s="6">
        <v>579.29999999999995</v>
      </c>
      <c r="E59" s="2"/>
      <c r="F59" s="7">
        <f t="shared" si="40"/>
        <v>0</v>
      </c>
      <c r="G59" s="2"/>
      <c r="H59" s="6">
        <v>332.7</v>
      </c>
      <c r="I59" s="2"/>
      <c r="J59" s="7">
        <f t="shared" si="41"/>
        <v>0</v>
      </c>
      <c r="K59" s="2"/>
      <c r="L59" s="6">
        <f t="shared" si="42"/>
        <v>246.59999999999997</v>
      </c>
      <c r="M59" s="2"/>
      <c r="N59" s="7">
        <f t="shared" si="43"/>
        <v>0.74120829576194758</v>
      </c>
      <c r="O59" s="11"/>
      <c r="P59" s="6">
        <v>2539.35</v>
      </c>
      <c r="Q59" s="2"/>
      <c r="R59" s="7">
        <f t="shared" si="44"/>
        <v>0</v>
      </c>
      <c r="S59" s="2"/>
      <c r="T59" s="6">
        <v>1657.05</v>
      </c>
      <c r="U59" s="2"/>
      <c r="V59" s="7">
        <f t="shared" si="45"/>
        <v>0</v>
      </c>
      <c r="W59" s="2"/>
      <c r="X59" s="6">
        <f t="shared" si="46"/>
        <v>882.3</v>
      </c>
      <c r="Y59" s="2"/>
      <c r="Z59" s="7">
        <f t="shared" si="47"/>
        <v>0.53245224947949665</v>
      </c>
    </row>
    <row r="60" spans="1:26" s="29" customFormat="1" outlineLevel="1" collapsed="1" x14ac:dyDescent="0.3">
      <c r="A60" s="28"/>
      <c r="B60" s="14" t="str">
        <f>CONCATENATE("     ","Training                                          ")</f>
        <v xml:space="preserve">     Training                                          </v>
      </c>
      <c r="C60" s="14"/>
      <c r="D60" s="1">
        <f>SUM(OSRRefD22_12x_0)</f>
        <v>0</v>
      </c>
      <c r="E60" s="1"/>
      <c r="F60" s="5">
        <f t="shared" si="40"/>
        <v>0</v>
      </c>
      <c r="G60" s="1"/>
      <c r="H60" s="1">
        <f>SUM(OSRRefH22_12x_0)</f>
        <v>0</v>
      </c>
      <c r="I60" s="1"/>
      <c r="J60" s="5">
        <f t="shared" si="41"/>
        <v>0</v>
      </c>
      <c r="K60" s="1"/>
      <c r="L60" s="1">
        <f t="shared" si="42"/>
        <v>0</v>
      </c>
      <c r="M60" s="1"/>
      <c r="N60" s="5">
        <f t="shared" si="43"/>
        <v>0</v>
      </c>
      <c r="O60" s="14"/>
      <c r="P60" s="1">
        <f>SUM(OSRRefP22_12x_0)</f>
        <v>475</v>
      </c>
      <c r="Q60" s="1"/>
      <c r="R60" s="5">
        <f t="shared" si="44"/>
        <v>0</v>
      </c>
      <c r="S60" s="1"/>
      <c r="T60" s="1">
        <f>SUM(OSRRefT22_12x_0)</f>
        <v>-97</v>
      </c>
      <c r="U60" s="1"/>
      <c r="V60" s="5">
        <f t="shared" si="45"/>
        <v>0</v>
      </c>
      <c r="W60" s="1"/>
      <c r="X60" s="1">
        <f t="shared" si="46"/>
        <v>572</v>
      </c>
      <c r="Y60" s="1"/>
      <c r="Z60" s="5">
        <f t="shared" si="47"/>
        <v>-5.8969072164948457</v>
      </c>
    </row>
    <row r="61" spans="1:26" s="24" customFormat="1" hidden="1" outlineLevel="2" x14ac:dyDescent="0.3">
      <c r="A61" s="27"/>
      <c r="B61" s="11" t="str">
        <f>CONCATENATE("          ", "6376", " - ", "TRAINING")</f>
        <v xml:space="preserve">          6376 - TRAINING</v>
      </c>
      <c r="C61" s="11"/>
      <c r="D61" s="6"/>
      <c r="E61" s="2"/>
      <c r="F61" s="7">
        <f t="shared" si="40"/>
        <v>0</v>
      </c>
      <c r="G61" s="2"/>
      <c r="H61" s="6"/>
      <c r="I61" s="2"/>
      <c r="J61" s="7">
        <f t="shared" si="41"/>
        <v>0</v>
      </c>
      <c r="K61" s="2"/>
      <c r="L61" s="6">
        <f t="shared" si="42"/>
        <v>0</v>
      </c>
      <c r="M61" s="2"/>
      <c r="N61" s="7">
        <f t="shared" si="43"/>
        <v>0</v>
      </c>
      <c r="O61" s="11"/>
      <c r="P61" s="6">
        <v>475</v>
      </c>
      <c r="Q61" s="2"/>
      <c r="R61" s="7">
        <f t="shared" si="44"/>
        <v>0</v>
      </c>
      <c r="S61" s="2"/>
      <c r="T61" s="6">
        <v>-97</v>
      </c>
      <c r="U61" s="2"/>
      <c r="V61" s="7">
        <f t="shared" si="45"/>
        <v>0</v>
      </c>
      <c r="W61" s="2"/>
      <c r="X61" s="6">
        <f t="shared" si="46"/>
        <v>572</v>
      </c>
      <c r="Y61" s="2"/>
      <c r="Z61" s="7">
        <f t="shared" si="47"/>
        <v>-5.8969072164948457</v>
      </c>
    </row>
    <row r="62" spans="1:26" s="29" customFormat="1" outlineLevel="1" collapsed="1" x14ac:dyDescent="0.3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SUM(OSRRefD22_13x_0)</f>
        <v>0</v>
      </c>
      <c r="E62" s="1"/>
      <c r="F62" s="5">
        <f t="shared" si="40"/>
        <v>0</v>
      </c>
      <c r="G62" s="1"/>
      <c r="H62" s="1">
        <f>SUM(OSRRefH22_13x_0)</f>
        <v>720</v>
      </c>
      <c r="I62" s="1"/>
      <c r="J62" s="5">
        <f t="shared" si="41"/>
        <v>0</v>
      </c>
      <c r="K62" s="1"/>
      <c r="L62" s="1">
        <f t="shared" si="42"/>
        <v>-720</v>
      </c>
      <c r="M62" s="1"/>
      <c r="N62" s="5">
        <f t="shared" si="43"/>
        <v>-1</v>
      </c>
      <c r="O62" s="14"/>
      <c r="P62" s="1">
        <f>SUM(OSRRefP22_13x_0)</f>
        <v>0</v>
      </c>
      <c r="Q62" s="1"/>
      <c r="R62" s="5">
        <f t="shared" si="44"/>
        <v>0</v>
      </c>
      <c r="S62" s="1"/>
      <c r="T62" s="1">
        <f>SUM(OSRRefT22_13x_0)</f>
        <v>720</v>
      </c>
      <c r="U62" s="1"/>
      <c r="V62" s="5">
        <f t="shared" si="45"/>
        <v>0</v>
      </c>
      <c r="W62" s="1"/>
      <c r="X62" s="1">
        <f t="shared" si="46"/>
        <v>-720</v>
      </c>
      <c r="Y62" s="1"/>
      <c r="Z62" s="5">
        <f t="shared" si="47"/>
        <v>-1</v>
      </c>
    </row>
    <row r="63" spans="1:26" s="24" customFormat="1" hidden="1" outlineLevel="2" x14ac:dyDescent="0.3">
      <c r="A63" s="27"/>
      <c r="B63" s="11" t="str">
        <f>CONCATENATE("          ", "6292", " - ", "TRAVEL/CONFERENCE")</f>
        <v xml:space="preserve">          6292 - TRAVEL/CONFERENCE</v>
      </c>
      <c r="C63" s="11"/>
      <c r="D63" s="6"/>
      <c r="E63" s="2"/>
      <c r="F63" s="7">
        <f t="shared" si="40"/>
        <v>0</v>
      </c>
      <c r="G63" s="2"/>
      <c r="H63" s="6">
        <v>720</v>
      </c>
      <c r="I63" s="2"/>
      <c r="J63" s="7">
        <f t="shared" si="41"/>
        <v>0</v>
      </c>
      <c r="K63" s="2"/>
      <c r="L63" s="6">
        <f t="shared" si="42"/>
        <v>-720</v>
      </c>
      <c r="M63" s="2"/>
      <c r="N63" s="7">
        <f t="shared" si="43"/>
        <v>-1</v>
      </c>
      <c r="O63" s="11"/>
      <c r="P63" s="6"/>
      <c r="Q63" s="2"/>
      <c r="R63" s="7">
        <f t="shared" si="44"/>
        <v>0</v>
      </c>
      <c r="S63" s="2"/>
      <c r="T63" s="6">
        <v>720</v>
      </c>
      <c r="U63" s="2"/>
      <c r="V63" s="7">
        <f t="shared" si="45"/>
        <v>0</v>
      </c>
      <c r="W63" s="2"/>
      <c r="X63" s="6">
        <f t="shared" si="46"/>
        <v>-720</v>
      </c>
      <c r="Y63" s="2"/>
      <c r="Z63" s="7">
        <f t="shared" si="47"/>
        <v>-1</v>
      </c>
    </row>
    <row r="64" spans="1:26" s="62" customFormat="1" x14ac:dyDescent="0.3">
      <c r="A64" s="37"/>
      <c r="B64" s="37"/>
      <c r="C64" s="37"/>
      <c r="D64" s="1"/>
      <c r="E64" s="1"/>
      <c r="F64" s="5"/>
      <c r="G64" s="1"/>
      <c r="H64" s="1"/>
      <c r="I64" s="1"/>
      <c r="J64" s="5"/>
      <c r="K64" s="1"/>
      <c r="L64" s="1"/>
      <c r="M64" s="1"/>
      <c r="N64" s="5"/>
      <c r="O64" s="37"/>
      <c r="P64" s="1"/>
      <c r="Q64" s="1"/>
      <c r="R64" s="5"/>
      <c r="S64" s="1"/>
      <c r="T64" s="1"/>
      <c r="U64" s="1"/>
      <c r="V64" s="5"/>
      <c r="W64" s="1"/>
      <c r="X64" s="1"/>
      <c r="Y64" s="1"/>
      <c r="Z64" s="5"/>
    </row>
    <row r="65" spans="1:26" s="23" customFormat="1" x14ac:dyDescent="0.3">
      <c r="A65" s="10"/>
      <c r="B65" s="26" t="s">
        <v>292</v>
      </c>
      <c r="C65" s="10"/>
      <c r="D65" s="4">
        <f>SUM(0)</f>
        <v>0</v>
      </c>
      <c r="E65" s="4"/>
      <c r="F65" s="12">
        <f>IF(D$12=0,0,D65/D$12)</f>
        <v>0</v>
      </c>
      <c r="G65" s="4"/>
      <c r="H65" s="4">
        <f>SUM(0)</f>
        <v>0</v>
      </c>
      <c r="I65" s="4"/>
      <c r="J65" s="12">
        <f>IF(H$12=0,0,H65/H$12)</f>
        <v>0</v>
      </c>
      <c r="K65" s="4"/>
      <c r="L65" s="4">
        <f>+D65-H65</f>
        <v>0</v>
      </c>
      <c r="M65" s="4"/>
      <c r="N65" s="12">
        <f>IF(H65=0,0,L65/H65)</f>
        <v>0</v>
      </c>
      <c r="O65" s="10"/>
      <c r="P65" s="4">
        <f>SUM(0)</f>
        <v>0</v>
      </c>
      <c r="Q65" s="4"/>
      <c r="R65" s="12">
        <f>IF(P$12=0,0,P65/P$12)</f>
        <v>0</v>
      </c>
      <c r="S65" s="4"/>
      <c r="T65" s="4">
        <f>SUM(0)</f>
        <v>0</v>
      </c>
      <c r="U65" s="4"/>
      <c r="V65" s="12">
        <f>IF(T$12=0,0,T65/T$12)</f>
        <v>0</v>
      </c>
      <c r="W65" s="4"/>
      <c r="X65" s="4">
        <f>+P65-T65</f>
        <v>0</v>
      </c>
      <c r="Y65" s="4"/>
      <c r="Z65" s="12">
        <f>IF(T65=0,0,X65/T65)</f>
        <v>0</v>
      </c>
    </row>
    <row r="66" spans="1:26" x14ac:dyDescent="0.3">
      <c r="A66" s="9"/>
      <c r="B66" s="10"/>
      <c r="C66" s="10"/>
      <c r="D66" s="3"/>
      <c r="E66" s="3"/>
      <c r="F66" s="8"/>
      <c r="G66" s="3"/>
      <c r="H66" s="3"/>
      <c r="I66" s="3"/>
      <c r="J66" s="8"/>
      <c r="K66" s="3"/>
      <c r="L66" s="3"/>
      <c r="M66" s="3"/>
      <c r="N66" s="8"/>
      <c r="O66" s="10"/>
      <c r="P66" s="3"/>
      <c r="Q66" s="3"/>
      <c r="R66" s="8"/>
      <c r="S66" s="3"/>
      <c r="T66" s="3"/>
      <c r="U66" s="3"/>
      <c r="V66" s="8"/>
      <c r="W66" s="3"/>
      <c r="X66" s="3"/>
      <c r="Y66" s="3"/>
      <c r="Z66" s="8"/>
    </row>
    <row r="67" spans="1:26" s="23" customFormat="1" x14ac:dyDescent="0.3">
      <c r="A67" s="10"/>
      <c r="B67" s="25" t="s">
        <v>276</v>
      </c>
      <c r="C67" s="25"/>
      <c r="D67" s="21">
        <f>+D16-D18+D65</f>
        <v>-46633.59</v>
      </c>
      <c r="E67" s="13"/>
      <c r="F67" s="22">
        <f>IF(D$12=0,0,D67/D$12)</f>
        <v>0</v>
      </c>
      <c r="G67" s="13"/>
      <c r="H67" s="21">
        <f>+H16-H18+H65</f>
        <v>-41689.03</v>
      </c>
      <c r="I67" s="13"/>
      <c r="J67" s="22">
        <f>IF(H$12=0,0,H67/H$12)</f>
        <v>0</v>
      </c>
      <c r="K67" s="16"/>
      <c r="L67" s="21">
        <f>+D67-H67</f>
        <v>-4944.5599999999977</v>
      </c>
      <c r="M67" s="16"/>
      <c r="N67" s="22">
        <f>IF(H67=0,0,L67/H67)</f>
        <v>0.11860578190473604</v>
      </c>
      <c r="O67" s="26"/>
      <c r="P67" s="21">
        <f>+P16-P18+P65</f>
        <v>-263845.96000000002</v>
      </c>
      <c r="Q67" s="13"/>
      <c r="R67" s="22">
        <f>IF(P$12=0,0,P67/P$12)</f>
        <v>0</v>
      </c>
      <c r="S67" s="13"/>
      <c r="T67" s="21">
        <f>+T16-T18+T65</f>
        <v>-230388.40999999992</v>
      </c>
      <c r="U67" s="13"/>
      <c r="V67" s="22">
        <f>IF(T$12=0,0,T67/T$12)</f>
        <v>0</v>
      </c>
      <c r="W67" s="16"/>
      <c r="X67" s="21">
        <f>+P67-T67</f>
        <v>-33457.550000000105</v>
      </c>
      <c r="Y67" s="16"/>
      <c r="Z67" s="22">
        <f>IF(T67=0,0,X67/T67)</f>
        <v>0.14522236600356814</v>
      </c>
    </row>
    <row r="68" spans="1:26" x14ac:dyDescent="0.3">
      <c r="A68" s="9"/>
      <c r="B68" s="10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x14ac:dyDescent="0.3">
      <c r="A69" s="51"/>
      <c r="B69" s="10" t="s">
        <v>127</v>
      </c>
      <c r="C69" s="10"/>
      <c r="D69" s="4"/>
      <c r="E69" s="4"/>
      <c r="F69" s="12">
        <f>IF(D$12=0,0,D69/D$12)</f>
        <v>0</v>
      </c>
      <c r="G69" s="4"/>
      <c r="H69" s="4"/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/>
      <c r="Q69" s="4"/>
      <c r="R69" s="12">
        <f>IF(P$12=0,0,P69/P$12)</f>
        <v>0</v>
      </c>
      <c r="S69" s="4"/>
      <c r="T69" s="4"/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ht="15" thickBot="1" x14ac:dyDescent="0.35">
      <c r="A71" s="10"/>
      <c r="B71" s="25" t="s">
        <v>125</v>
      </c>
      <c r="C71" s="25"/>
      <c r="D71" s="35">
        <f>+D67-D69</f>
        <v>-46633.59</v>
      </c>
      <c r="E71" s="13"/>
      <c r="F71" s="31">
        <f>IF(D$12=0,0,D71/D$12)</f>
        <v>0</v>
      </c>
      <c r="G71" s="13"/>
      <c r="H71" s="35">
        <f>+H67-H69</f>
        <v>-41689.03</v>
      </c>
      <c r="I71" s="13"/>
      <c r="J71" s="31">
        <f>IF(H$12=0,0,H71/H$12)</f>
        <v>0</v>
      </c>
      <c r="K71" s="16"/>
      <c r="L71" s="35">
        <f>D71-H71</f>
        <v>-4944.5599999999977</v>
      </c>
      <c r="M71" s="16"/>
      <c r="N71" s="31">
        <f>IF(H71=0,0,L71/H71)</f>
        <v>0.11860578190473604</v>
      </c>
      <c r="O71" s="26"/>
      <c r="P71" s="35">
        <f>+P67-P69</f>
        <v>-263845.96000000002</v>
      </c>
      <c r="Q71" s="13"/>
      <c r="R71" s="31">
        <f>IF(P$12=0,0,P71/P$12)</f>
        <v>0</v>
      </c>
      <c r="S71" s="13"/>
      <c r="T71" s="35">
        <f>+T67-T69</f>
        <v>-230388.40999999992</v>
      </c>
      <c r="U71" s="13"/>
      <c r="V71" s="31">
        <f>IF(T$12=0,0,T71/T$12)</f>
        <v>0</v>
      </c>
      <c r="W71" s="16"/>
      <c r="X71" s="35">
        <f>P71-T71</f>
        <v>-33457.550000000105</v>
      </c>
      <c r="Y71" s="16"/>
      <c r="Z71" s="31">
        <f>IF(T71=0,0,X71/T71)</f>
        <v>0.14522236600356814</v>
      </c>
    </row>
    <row r="72" spans="1:26" ht="15" thickTop="1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x14ac:dyDescent="0.3">
      <c r="A73" s="9"/>
      <c r="B73" s="9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ht="15" thickBot="1" x14ac:dyDescent="0.35">
      <c r="A74" s="10"/>
      <c r="B74" s="25" t="s">
        <v>293</v>
      </c>
      <c r="C74" s="25"/>
      <c r="D74" s="36">
        <f>SUM(D71:D73)</f>
        <v>-46633.59</v>
      </c>
      <c r="E74" s="13"/>
      <c r="F74" s="33">
        <f>IF(D$12=0,0,D74/D$12)</f>
        <v>0</v>
      </c>
      <c r="G74" s="13"/>
      <c r="H74" s="36">
        <f>SUM(H71:H73)</f>
        <v>-41689.03</v>
      </c>
      <c r="I74" s="13"/>
      <c r="J74" s="33">
        <f>IF(H$12=0,0,H74/H$12)</f>
        <v>0</v>
      </c>
      <c r="K74" s="16"/>
      <c r="L74" s="36">
        <f>+D74-H74</f>
        <v>-4944.5599999999977</v>
      </c>
      <c r="M74" s="16"/>
      <c r="N74" s="33">
        <f>IF(H74=0,0,L74/H74)</f>
        <v>0.11860578190473604</v>
      </c>
      <c r="O74" s="26"/>
      <c r="P74" s="36">
        <f>SUM(P71:P73)</f>
        <v>-263845.96000000002</v>
      </c>
      <c r="Q74" s="13"/>
      <c r="R74" s="33">
        <f>IF(P$12=0,0,P74/P$12)</f>
        <v>0</v>
      </c>
      <c r="S74" s="13"/>
      <c r="T74" s="36">
        <f>SUM(T71:T73)</f>
        <v>-230388.40999999992</v>
      </c>
      <c r="U74" s="13"/>
      <c r="V74" s="33">
        <f>IF(T$12=0,0,T74/T$12)</f>
        <v>0</v>
      </c>
      <c r="W74" s="16"/>
      <c r="X74" s="36">
        <f>+P74-T74</f>
        <v>-33457.550000000105</v>
      </c>
      <c r="Y74" s="16"/>
      <c r="Z74" s="33">
        <f>IF(T74=0,0,X74/T74)</f>
        <v>0.14522236600356814</v>
      </c>
    </row>
    <row r="75" spans="1:26" ht="15" thickTop="1" x14ac:dyDescent="0.3">
      <c r="A75" s="9"/>
      <c r="C75" s="9"/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2">
        <v>44543.765594675926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59" t="s">
        <v>56</v>
      </c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A78" s="9"/>
      <c r="B78" s="61"/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  <row r="79" spans="1:26" x14ac:dyDescent="0.3"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</sheetData>
  <pageMargins left="0.25" right="0.25" top="0.75" bottom="0.75" header="0.3" footer="0.3"/>
  <pageSetup scale="55" fitToWidth="2" orientation="landscape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  <outlinePr summaryBelow="0" summaryRight="0"/>
  </sheetPr>
  <dimension ref="A2:Z6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","204", " - ", "Information Technology")</f>
        <v>Department 204 - Information Technology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39757.270000000004</v>
      </c>
      <c r="E18" s="20"/>
      <c r="F18" s="32">
        <f t="shared" ref="F18:F28" si="0">IF(D$12=0,0,D18/D$12)</f>
        <v>0</v>
      </c>
      <c r="G18" s="20"/>
      <c r="H18" s="20">
        <f>SUM(OSRRefH22x_0)</f>
        <v>50583.669999999991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-10826.399999999987</v>
      </c>
      <c r="M18" s="4"/>
      <c r="N18" s="32">
        <f t="shared" ref="N18:N28" si="3">IF(H18=0,0,L18/H18)</f>
        <v>-0.21402954748044159</v>
      </c>
      <c r="O18" s="10"/>
      <c r="P18" s="20">
        <f>SUM(OSRRefP22x_0)</f>
        <v>222427.84</v>
      </c>
      <c r="Q18" s="20"/>
      <c r="R18" s="32">
        <f t="shared" ref="R18:R28" si="4">IF(P$12=0,0,P18/P$12)</f>
        <v>0</v>
      </c>
      <c r="S18" s="20"/>
      <c r="T18" s="20">
        <f>SUM(OSRRefT22x_0)</f>
        <v>261691.25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-39263.410000000003</v>
      </c>
      <c r="Y18" s="4"/>
      <c r="Z18" s="32">
        <f t="shared" ref="Z18:Z28" si="7">IF(T18=0,0,X18/T18)</f>
        <v>-0.15003715256050787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11076</v>
      </c>
      <c r="E19" s="1"/>
      <c r="F19" s="5">
        <f t="shared" si="0"/>
        <v>0</v>
      </c>
      <c r="G19" s="1"/>
      <c r="H19" s="1">
        <f>SUM(OSRRefH22_0x_0)</f>
        <v>13374.209999999997</v>
      </c>
      <c r="I19" s="1"/>
      <c r="J19" s="5">
        <f t="shared" si="1"/>
        <v>0</v>
      </c>
      <c r="K19" s="1"/>
      <c r="L19" s="1">
        <f t="shared" si="2"/>
        <v>-2298.2099999999973</v>
      </c>
      <c r="M19" s="1"/>
      <c r="N19" s="5">
        <f t="shared" si="3"/>
        <v>-0.17183893478568063</v>
      </c>
      <c r="O19" s="14"/>
      <c r="P19" s="1">
        <f>SUM(OSRRefP22_0x_0)</f>
        <v>56245.11</v>
      </c>
      <c r="Q19" s="1"/>
      <c r="R19" s="5">
        <f t="shared" si="4"/>
        <v>0</v>
      </c>
      <c r="S19" s="1"/>
      <c r="T19" s="1">
        <f>SUM(OSRRefT22_0x_0)</f>
        <v>65802.239999999991</v>
      </c>
      <c r="U19" s="1"/>
      <c r="V19" s="5">
        <f t="shared" si="5"/>
        <v>0</v>
      </c>
      <c r="W19" s="1"/>
      <c r="X19" s="1">
        <f t="shared" si="6"/>
        <v>-9557.1299999999901</v>
      </c>
      <c r="Y19" s="1"/>
      <c r="Z19" s="5">
        <f t="shared" si="7"/>
        <v>-0.145240192431139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1475.97</v>
      </c>
      <c r="E20" s="2"/>
      <c r="F20" s="7">
        <f t="shared" si="0"/>
        <v>0</v>
      </c>
      <c r="G20" s="2"/>
      <c r="H20" s="6">
        <v>1559.82</v>
      </c>
      <c r="I20" s="2"/>
      <c r="J20" s="7">
        <f t="shared" si="1"/>
        <v>0</v>
      </c>
      <c r="K20" s="2"/>
      <c r="L20" s="6">
        <f t="shared" si="2"/>
        <v>-83.849999999999909</v>
      </c>
      <c r="M20" s="2"/>
      <c r="N20" s="7">
        <f t="shared" si="3"/>
        <v>-5.3756202638765953E-2</v>
      </c>
      <c r="O20" s="11"/>
      <c r="P20" s="6">
        <v>7844.49</v>
      </c>
      <c r="Q20" s="2"/>
      <c r="R20" s="7">
        <f t="shared" si="4"/>
        <v>0</v>
      </c>
      <c r="S20" s="2"/>
      <c r="T20" s="6">
        <v>9892.2099999999991</v>
      </c>
      <c r="U20" s="2"/>
      <c r="V20" s="7">
        <f t="shared" si="5"/>
        <v>0</v>
      </c>
      <c r="W20" s="2"/>
      <c r="X20" s="6">
        <f t="shared" si="6"/>
        <v>-2047.7199999999993</v>
      </c>
      <c r="Y20" s="2"/>
      <c r="Z20" s="7">
        <f t="shared" si="7"/>
        <v>-0.20700328844616112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248.89</v>
      </c>
      <c r="E21" s="2"/>
      <c r="F21" s="7">
        <f t="shared" si="0"/>
        <v>0</v>
      </c>
      <c r="G21" s="2"/>
      <c r="H21" s="6">
        <v>194.42</v>
      </c>
      <c r="I21" s="2"/>
      <c r="J21" s="7">
        <f t="shared" si="1"/>
        <v>0</v>
      </c>
      <c r="K21" s="2"/>
      <c r="L21" s="6">
        <f t="shared" si="2"/>
        <v>54.47</v>
      </c>
      <c r="M21" s="2"/>
      <c r="N21" s="7">
        <f t="shared" si="3"/>
        <v>0.28016664952165415</v>
      </c>
      <c r="O21" s="11"/>
      <c r="P21" s="6">
        <v>1322.8</v>
      </c>
      <c r="Q21" s="2"/>
      <c r="R21" s="7">
        <f t="shared" si="4"/>
        <v>0</v>
      </c>
      <c r="S21" s="2"/>
      <c r="T21" s="6">
        <v>479.14</v>
      </c>
      <c r="U21" s="2"/>
      <c r="V21" s="7">
        <f t="shared" si="5"/>
        <v>0</v>
      </c>
      <c r="W21" s="2"/>
      <c r="X21" s="6">
        <f t="shared" si="6"/>
        <v>843.66</v>
      </c>
      <c r="Y21" s="2"/>
      <c r="Z21" s="7">
        <f t="shared" si="7"/>
        <v>1.7607797303502108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4833.2700000000004</v>
      </c>
      <c r="E22" s="2"/>
      <c r="F22" s="7">
        <f t="shared" si="0"/>
        <v>0</v>
      </c>
      <c r="G22" s="2"/>
      <c r="H22" s="6">
        <v>5567.87</v>
      </c>
      <c r="I22" s="2"/>
      <c r="J22" s="7">
        <f t="shared" si="1"/>
        <v>0</v>
      </c>
      <c r="K22" s="2"/>
      <c r="L22" s="6">
        <f t="shared" si="2"/>
        <v>-734.59999999999945</v>
      </c>
      <c r="M22" s="2"/>
      <c r="N22" s="7">
        <f t="shared" si="3"/>
        <v>-0.13193555165619877</v>
      </c>
      <c r="O22" s="11"/>
      <c r="P22" s="6">
        <v>24200.1</v>
      </c>
      <c r="Q22" s="2"/>
      <c r="R22" s="7">
        <f t="shared" si="4"/>
        <v>0</v>
      </c>
      <c r="S22" s="2"/>
      <c r="T22" s="6">
        <v>27839.35</v>
      </c>
      <c r="U22" s="2"/>
      <c r="V22" s="7">
        <f t="shared" si="5"/>
        <v>0</v>
      </c>
      <c r="W22" s="2"/>
      <c r="X22" s="6">
        <f t="shared" si="6"/>
        <v>-3639.25</v>
      </c>
      <c r="Y22" s="2"/>
      <c r="Z22" s="7">
        <f t="shared" si="7"/>
        <v>-0.13072323886872358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50.16</v>
      </c>
      <c r="E23" s="2"/>
      <c r="F23" s="7">
        <f t="shared" si="0"/>
        <v>0</v>
      </c>
      <c r="G23" s="2"/>
      <c r="H23" s="6">
        <v>114.01</v>
      </c>
      <c r="I23" s="2"/>
      <c r="J23" s="7">
        <f t="shared" si="1"/>
        <v>0</v>
      </c>
      <c r="K23" s="2"/>
      <c r="L23" s="6">
        <f t="shared" si="2"/>
        <v>-63.850000000000009</v>
      </c>
      <c r="M23" s="2"/>
      <c r="N23" s="7">
        <f t="shared" si="3"/>
        <v>-0.56003859310586801</v>
      </c>
      <c r="O23" s="11"/>
      <c r="P23" s="6">
        <v>266.60000000000002</v>
      </c>
      <c r="Q23" s="2"/>
      <c r="R23" s="7">
        <f t="shared" si="4"/>
        <v>0</v>
      </c>
      <c r="S23" s="2"/>
      <c r="T23" s="6">
        <v>338.33</v>
      </c>
      <c r="U23" s="2"/>
      <c r="V23" s="7">
        <f t="shared" si="5"/>
        <v>0</v>
      </c>
      <c r="W23" s="2"/>
      <c r="X23" s="6">
        <f t="shared" si="6"/>
        <v>-71.729999999999961</v>
      </c>
      <c r="Y23" s="2"/>
      <c r="Z23" s="7">
        <f t="shared" si="7"/>
        <v>-0.21201194100434476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1907.46</v>
      </c>
      <c r="E24" s="2"/>
      <c r="F24" s="7">
        <f t="shared" si="0"/>
        <v>0</v>
      </c>
      <c r="G24" s="2"/>
      <c r="H24" s="6">
        <v>3316.44</v>
      </c>
      <c r="I24" s="2"/>
      <c r="J24" s="7">
        <f t="shared" si="1"/>
        <v>0</v>
      </c>
      <c r="K24" s="2"/>
      <c r="L24" s="6">
        <f t="shared" si="2"/>
        <v>-1408.98</v>
      </c>
      <c r="M24" s="2"/>
      <c r="N24" s="7">
        <f t="shared" si="3"/>
        <v>-0.42484712523066903</v>
      </c>
      <c r="O24" s="11"/>
      <c r="P24" s="6">
        <v>10160.94</v>
      </c>
      <c r="Q24" s="2"/>
      <c r="R24" s="7">
        <f t="shared" si="4"/>
        <v>0</v>
      </c>
      <c r="S24" s="2"/>
      <c r="T24" s="6">
        <v>11691.88</v>
      </c>
      <c r="U24" s="2"/>
      <c r="V24" s="7">
        <f t="shared" si="5"/>
        <v>0</v>
      </c>
      <c r="W24" s="2"/>
      <c r="X24" s="6">
        <f t="shared" si="6"/>
        <v>-1530.9399999999987</v>
      </c>
      <c r="Y24" s="2"/>
      <c r="Z24" s="7">
        <f t="shared" si="7"/>
        <v>-0.13094044755847639</v>
      </c>
    </row>
    <row r="25" spans="1:26" s="24" customFormat="1" hidden="1" outlineLevel="2" x14ac:dyDescent="0.3">
      <c r="A25" s="27"/>
      <c r="B25" s="11" t="str">
        <f>CONCATENATE("          ", "6117", " - ", "RETIREMENT STAFF HOURLY")</f>
        <v xml:space="preserve">          6117 - RETIREMENT STAFF HOURLY</v>
      </c>
      <c r="C25" s="11"/>
      <c r="D25" s="6"/>
      <c r="E25" s="2"/>
      <c r="F25" s="7">
        <f t="shared" si="0"/>
        <v>0</v>
      </c>
      <c r="G25" s="2"/>
      <c r="H25" s="6">
        <v>164.4</v>
      </c>
      <c r="I25" s="2"/>
      <c r="J25" s="7">
        <f t="shared" si="1"/>
        <v>0</v>
      </c>
      <c r="K25" s="2"/>
      <c r="L25" s="6">
        <f t="shared" si="2"/>
        <v>-164.4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912.28</v>
      </c>
      <c r="U25" s="2"/>
      <c r="V25" s="7">
        <f t="shared" si="5"/>
        <v>0</v>
      </c>
      <c r="W25" s="2"/>
      <c r="X25" s="6">
        <f t="shared" si="6"/>
        <v>-912.28</v>
      </c>
      <c r="Y25" s="2"/>
      <c r="Z25" s="7">
        <f t="shared" si="7"/>
        <v>-1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1493.96</v>
      </c>
      <c r="E26" s="2"/>
      <c r="F26" s="7">
        <f t="shared" si="0"/>
        <v>0</v>
      </c>
      <c r="G26" s="2"/>
      <c r="H26" s="6">
        <v>1409.96</v>
      </c>
      <c r="I26" s="2"/>
      <c r="J26" s="7">
        <f t="shared" si="1"/>
        <v>0</v>
      </c>
      <c r="K26" s="2"/>
      <c r="L26" s="6">
        <f t="shared" si="2"/>
        <v>84</v>
      </c>
      <c r="M26" s="2"/>
      <c r="N26" s="7">
        <f t="shared" si="3"/>
        <v>5.9576158188884787E-2</v>
      </c>
      <c r="O26" s="11"/>
      <c r="P26" s="6">
        <v>6664.26</v>
      </c>
      <c r="Q26" s="2"/>
      <c r="R26" s="7">
        <f t="shared" si="4"/>
        <v>0</v>
      </c>
      <c r="S26" s="2"/>
      <c r="T26" s="6">
        <v>8045.84</v>
      </c>
      <c r="U26" s="2"/>
      <c r="V26" s="7">
        <f t="shared" si="5"/>
        <v>0</v>
      </c>
      <c r="W26" s="2"/>
      <c r="X26" s="6">
        <f t="shared" si="6"/>
        <v>-1381.58</v>
      </c>
      <c r="Y26" s="2"/>
      <c r="Z26" s="7">
        <f t="shared" si="7"/>
        <v>-0.17171358117983951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877.84</v>
      </c>
      <c r="E27" s="2"/>
      <c r="F27" s="7">
        <f t="shared" si="0"/>
        <v>0</v>
      </c>
      <c r="G27" s="2"/>
      <c r="H27" s="6">
        <v>921.55</v>
      </c>
      <c r="I27" s="2"/>
      <c r="J27" s="7">
        <f t="shared" si="1"/>
        <v>0</v>
      </c>
      <c r="K27" s="2"/>
      <c r="L27" s="6">
        <f t="shared" si="2"/>
        <v>-43.709999999999923</v>
      </c>
      <c r="M27" s="2"/>
      <c r="N27" s="7">
        <f t="shared" si="3"/>
        <v>-4.7430958710867478E-2</v>
      </c>
      <c r="O27" s="11"/>
      <c r="P27" s="6">
        <v>4676.1099999999997</v>
      </c>
      <c r="Q27" s="2"/>
      <c r="R27" s="7">
        <f t="shared" si="4"/>
        <v>0</v>
      </c>
      <c r="S27" s="2"/>
      <c r="T27" s="6">
        <v>5417.23</v>
      </c>
      <c r="U27" s="2"/>
      <c r="V27" s="7">
        <f t="shared" si="5"/>
        <v>0</v>
      </c>
      <c r="W27" s="2"/>
      <c r="X27" s="6">
        <f t="shared" si="6"/>
        <v>-741.11999999999989</v>
      </c>
      <c r="Y27" s="2"/>
      <c r="Z27" s="7">
        <f t="shared" si="7"/>
        <v>-0.13680792582186838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188.45</v>
      </c>
      <c r="E28" s="2"/>
      <c r="F28" s="7">
        <f t="shared" si="0"/>
        <v>0</v>
      </c>
      <c r="G28" s="2"/>
      <c r="H28" s="6">
        <v>125.74</v>
      </c>
      <c r="I28" s="2"/>
      <c r="J28" s="7">
        <f t="shared" si="1"/>
        <v>0</v>
      </c>
      <c r="K28" s="2"/>
      <c r="L28" s="6">
        <f t="shared" si="2"/>
        <v>62.709999999999994</v>
      </c>
      <c r="M28" s="2"/>
      <c r="N28" s="7">
        <f t="shared" si="3"/>
        <v>0.49872753300461264</v>
      </c>
      <c r="O28" s="11"/>
      <c r="P28" s="6">
        <v>1109.81</v>
      </c>
      <c r="Q28" s="2"/>
      <c r="R28" s="7">
        <f t="shared" si="4"/>
        <v>0</v>
      </c>
      <c r="S28" s="2"/>
      <c r="T28" s="6">
        <v>1185.98</v>
      </c>
      <c r="U28" s="2"/>
      <c r="V28" s="7">
        <f t="shared" si="5"/>
        <v>0</v>
      </c>
      <c r="W28" s="2"/>
      <c r="X28" s="6">
        <f t="shared" si="6"/>
        <v>-76.170000000000073</v>
      </c>
      <c r="Y28" s="2"/>
      <c r="Z28" s="7">
        <f t="shared" si="7"/>
        <v>-6.422536636368241E-2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16170.85</v>
      </c>
      <c r="E29" s="1"/>
      <c r="F29" s="5">
        <f t="shared" ref="F29:F32" si="8">IF(D$12=0,0,D29/D$12)</f>
        <v>0</v>
      </c>
      <c r="G29" s="1"/>
      <c r="H29" s="1">
        <f>SUM(OSRRefH22_1x_0)</f>
        <v>17857.12</v>
      </c>
      <c r="I29" s="1"/>
      <c r="J29" s="5">
        <f t="shared" ref="J29:J32" si="9">IF(H$12=0,0,H29/H$12)</f>
        <v>0</v>
      </c>
      <c r="K29" s="1"/>
      <c r="L29" s="1">
        <f t="shared" ref="L29:L32" si="10">+D29-H29</f>
        <v>-1686.2699999999986</v>
      </c>
      <c r="M29" s="1"/>
      <c r="N29" s="5">
        <f t="shared" ref="N29:N32" si="11">IF(H29=0,0,L29/H29)</f>
        <v>-9.4431240871988245E-2</v>
      </c>
      <c r="O29" s="14"/>
      <c r="P29" s="1">
        <f>SUM(OSRRefP22_1x_0)</f>
        <v>92638.89</v>
      </c>
      <c r="Q29" s="1"/>
      <c r="R29" s="5">
        <f t="shared" ref="R29:R32" si="12">IF(P$12=0,0,P29/P$12)</f>
        <v>0</v>
      </c>
      <c r="S29" s="1"/>
      <c r="T29" s="1">
        <f>SUM(OSRRefT22_1x_0)</f>
        <v>107318.55</v>
      </c>
      <c r="U29" s="1"/>
      <c r="V29" s="5">
        <f t="shared" ref="V29:V32" si="13">IF(T$12=0,0,T29/T$12)</f>
        <v>0</v>
      </c>
      <c r="W29" s="1"/>
      <c r="X29" s="1">
        <f t="shared" ref="X29:X32" si="14">+P29-T29</f>
        <v>-14679.660000000003</v>
      </c>
      <c r="Y29" s="1"/>
      <c r="Z29" s="5">
        <f t="shared" ref="Z29:Z32" si="15">IF(T29=0,0,X29/T29)</f>
        <v>-0.13678585854915112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>
        <v>16170.85</v>
      </c>
      <c r="E30" s="2"/>
      <c r="F30" s="7">
        <f t="shared" si="8"/>
        <v>0</v>
      </c>
      <c r="G30" s="2"/>
      <c r="H30" s="6">
        <v>16254.92</v>
      </c>
      <c r="I30" s="2"/>
      <c r="J30" s="7">
        <f t="shared" si="9"/>
        <v>0</v>
      </c>
      <c r="K30" s="2"/>
      <c r="L30" s="6">
        <f t="shared" si="10"/>
        <v>-84.069999999999709</v>
      </c>
      <c r="M30" s="2"/>
      <c r="N30" s="7">
        <f t="shared" si="11"/>
        <v>-5.1719725473887111E-3</v>
      </c>
      <c r="O30" s="11"/>
      <c r="P30" s="6">
        <v>92638.89</v>
      </c>
      <c r="Q30" s="2"/>
      <c r="R30" s="7">
        <f t="shared" si="12"/>
        <v>0</v>
      </c>
      <c r="S30" s="2"/>
      <c r="T30" s="6">
        <v>93105.31</v>
      </c>
      <c r="U30" s="2"/>
      <c r="V30" s="7">
        <f t="shared" si="13"/>
        <v>0</v>
      </c>
      <c r="W30" s="2"/>
      <c r="X30" s="6">
        <f t="shared" si="14"/>
        <v>-466.41999999999825</v>
      </c>
      <c r="Y30" s="2"/>
      <c r="Z30" s="7">
        <f t="shared" si="15"/>
        <v>-5.0095961229278787E-3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6"/>
      <c r="E31" s="2"/>
      <c r="F31" s="7">
        <f t="shared" si="8"/>
        <v>0</v>
      </c>
      <c r="G31" s="2"/>
      <c r="H31" s="6">
        <v>1602.2</v>
      </c>
      <c r="I31" s="2"/>
      <c r="J31" s="7">
        <f t="shared" si="9"/>
        <v>0</v>
      </c>
      <c r="K31" s="2"/>
      <c r="L31" s="6">
        <f t="shared" si="10"/>
        <v>-1602.2</v>
      </c>
      <c r="M31" s="2"/>
      <c r="N31" s="7">
        <f t="shared" si="11"/>
        <v>-1</v>
      </c>
      <c r="O31" s="11"/>
      <c r="P31" s="6"/>
      <c r="Q31" s="2"/>
      <c r="R31" s="7">
        <f t="shared" si="12"/>
        <v>0</v>
      </c>
      <c r="S31" s="2"/>
      <c r="T31" s="6">
        <v>14213.24</v>
      </c>
      <c r="U31" s="2"/>
      <c r="V31" s="7">
        <f t="shared" si="13"/>
        <v>0</v>
      </c>
      <c r="W31" s="2"/>
      <c r="X31" s="6">
        <f t="shared" si="14"/>
        <v>-14213.24</v>
      </c>
      <c r="Y31" s="2"/>
      <c r="Z31" s="7">
        <f t="shared" si="15"/>
        <v>-1</v>
      </c>
    </row>
    <row r="32" spans="1:26" s="24" customFormat="1" hidden="1" outlineLevel="2" x14ac:dyDescent="0.3">
      <c r="A32" s="27"/>
      <c r="B32" s="11" t="str">
        <f>CONCATENATE("          ", "6007", " - ", "STUDENT HOURLY")</f>
        <v xml:space="preserve">          6007 - STUDENT HOURLY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0</v>
      </c>
      <c r="U32" s="2"/>
      <c r="V32" s="7">
        <f t="shared" si="13"/>
        <v>0</v>
      </c>
      <c r="W32" s="2"/>
      <c r="X32" s="6">
        <f t="shared" si="14"/>
        <v>0</v>
      </c>
      <c r="Y32" s="2"/>
      <c r="Z32" s="7">
        <f t="shared" si="15"/>
        <v>0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SUM(OSRRefD22_2x_0)</f>
        <v>2140.89</v>
      </c>
      <c r="E33" s="1"/>
      <c r="F33" s="5">
        <f t="shared" ref="F33:F43" si="16">IF(D$12=0,0,D33/D$12)</f>
        <v>0</v>
      </c>
      <c r="G33" s="1"/>
      <c r="H33" s="1">
        <f>SUM(OSRRefH22_2x_0)</f>
        <v>5077.13</v>
      </c>
      <c r="I33" s="1"/>
      <c r="J33" s="5">
        <f t="shared" ref="J33:J43" si="17">IF(H$12=0,0,H33/H$12)</f>
        <v>0</v>
      </c>
      <c r="K33" s="1"/>
      <c r="L33" s="1">
        <f t="shared" ref="L33:L43" si="18">+D33-H33</f>
        <v>-2936.2400000000002</v>
      </c>
      <c r="M33" s="1"/>
      <c r="N33" s="5">
        <f t="shared" ref="N33:N43" si="19">IF(H33=0,0,L33/H33)</f>
        <v>-0.57832673183471772</v>
      </c>
      <c r="O33" s="14"/>
      <c r="P33" s="1">
        <f>SUM(OSRRefP22_2x_0)</f>
        <v>19576.89</v>
      </c>
      <c r="Q33" s="1"/>
      <c r="R33" s="5">
        <f t="shared" ref="R33:R43" si="20">IF(P$12=0,0,P33/P$12)</f>
        <v>0</v>
      </c>
      <c r="S33" s="1"/>
      <c r="T33" s="1">
        <f>SUM(OSRRefT22_2x_0)</f>
        <v>26540.67</v>
      </c>
      <c r="U33" s="1"/>
      <c r="V33" s="5">
        <f t="shared" ref="V33:V43" si="21">IF(T$12=0,0,T33/T$12)</f>
        <v>0</v>
      </c>
      <c r="W33" s="1"/>
      <c r="X33" s="1">
        <f t="shared" ref="X33:X43" si="22">+P33-T33</f>
        <v>-6963.7799999999988</v>
      </c>
      <c r="Y33" s="1"/>
      <c r="Z33" s="5">
        <f t="shared" ref="Z33:Z43" si="23">IF(T33=0,0,X33/T33)</f>
        <v>-0.26238146964639547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6">
        <v>2140.89</v>
      </c>
      <c r="E34" s="2"/>
      <c r="F34" s="7">
        <f t="shared" si="16"/>
        <v>0</v>
      </c>
      <c r="G34" s="2"/>
      <c r="H34" s="6">
        <v>5077.13</v>
      </c>
      <c r="I34" s="2"/>
      <c r="J34" s="7">
        <f t="shared" si="17"/>
        <v>0</v>
      </c>
      <c r="K34" s="2"/>
      <c r="L34" s="6">
        <f t="shared" si="18"/>
        <v>-2936.2400000000002</v>
      </c>
      <c r="M34" s="2"/>
      <c r="N34" s="7">
        <f t="shared" si="19"/>
        <v>-0.57832673183471772</v>
      </c>
      <c r="O34" s="11"/>
      <c r="P34" s="6">
        <v>19576.89</v>
      </c>
      <c r="Q34" s="2"/>
      <c r="R34" s="7">
        <f t="shared" si="20"/>
        <v>0</v>
      </c>
      <c r="S34" s="2"/>
      <c r="T34" s="6">
        <v>26540.67</v>
      </c>
      <c r="U34" s="2"/>
      <c r="V34" s="7">
        <f t="shared" si="21"/>
        <v>0</v>
      </c>
      <c r="W34" s="2"/>
      <c r="X34" s="6">
        <f t="shared" si="22"/>
        <v>-6963.7799999999988</v>
      </c>
      <c r="Y34" s="2"/>
      <c r="Z34" s="7">
        <f t="shared" si="23"/>
        <v>-0.26238146964639547</v>
      </c>
    </row>
    <row r="35" spans="1:26" s="29" customFormat="1" outlineLevel="1" collapsed="1" x14ac:dyDescent="0.3">
      <c r="A35" s="28"/>
      <c r="B35" s="14" t="str">
        <f>CONCATENATE("     ","Freight out/Postage                               ")</f>
        <v xml:space="preserve">     Freight out/Postage                               </v>
      </c>
      <c r="C35" s="14"/>
      <c r="D35" s="1">
        <f>SUM(OSRRefD22_3x_0)</f>
        <v>0</v>
      </c>
      <c r="E35" s="1"/>
      <c r="F35" s="5">
        <f t="shared" si="16"/>
        <v>0</v>
      </c>
      <c r="G35" s="1"/>
      <c r="H35" s="1">
        <f>SUM(OSRRefH22_3x_0)</f>
        <v>5.7</v>
      </c>
      <c r="I35" s="1"/>
      <c r="J35" s="5">
        <f t="shared" si="17"/>
        <v>0</v>
      </c>
      <c r="K35" s="1"/>
      <c r="L35" s="1">
        <f t="shared" si="18"/>
        <v>-5.7</v>
      </c>
      <c r="M35" s="1"/>
      <c r="N35" s="5">
        <f t="shared" si="19"/>
        <v>-1</v>
      </c>
      <c r="O35" s="14"/>
      <c r="P35" s="1">
        <f>SUM(OSRRefP22_3x_0)</f>
        <v>0</v>
      </c>
      <c r="Q35" s="1"/>
      <c r="R35" s="5">
        <f t="shared" si="20"/>
        <v>0</v>
      </c>
      <c r="S35" s="1"/>
      <c r="T35" s="1">
        <f>SUM(OSRRefT22_3x_0)</f>
        <v>5.7</v>
      </c>
      <c r="U35" s="1"/>
      <c r="V35" s="5">
        <f t="shared" si="21"/>
        <v>0</v>
      </c>
      <c r="W35" s="1"/>
      <c r="X35" s="1">
        <f t="shared" si="22"/>
        <v>-5.7</v>
      </c>
      <c r="Y35" s="1"/>
      <c r="Z35" s="5">
        <f t="shared" si="23"/>
        <v>-1</v>
      </c>
    </row>
    <row r="36" spans="1:26" s="24" customFormat="1" hidden="1" outlineLevel="2" x14ac:dyDescent="0.3">
      <c r="A36" s="27"/>
      <c r="B36" s="11" t="str">
        <f>CONCATENATE("          ", "6307", " - ", "POSTAGE")</f>
        <v xml:space="preserve">          6307 - POSTAGE</v>
      </c>
      <c r="C36" s="11"/>
      <c r="D36" s="6"/>
      <c r="E36" s="2"/>
      <c r="F36" s="7">
        <f t="shared" si="16"/>
        <v>0</v>
      </c>
      <c r="G36" s="2"/>
      <c r="H36" s="6">
        <v>5.7</v>
      </c>
      <c r="I36" s="2"/>
      <c r="J36" s="7">
        <f t="shared" si="17"/>
        <v>0</v>
      </c>
      <c r="K36" s="2"/>
      <c r="L36" s="6">
        <f t="shared" si="18"/>
        <v>-5.7</v>
      </c>
      <c r="M36" s="2"/>
      <c r="N36" s="7">
        <f t="shared" si="19"/>
        <v>-1</v>
      </c>
      <c r="O36" s="11"/>
      <c r="P36" s="6"/>
      <c r="Q36" s="2"/>
      <c r="R36" s="7">
        <f t="shared" si="20"/>
        <v>0</v>
      </c>
      <c r="S36" s="2"/>
      <c r="T36" s="6">
        <v>5.7</v>
      </c>
      <c r="U36" s="2"/>
      <c r="V36" s="7">
        <f t="shared" si="21"/>
        <v>0</v>
      </c>
      <c r="W36" s="2"/>
      <c r="X36" s="6">
        <f t="shared" si="22"/>
        <v>-5.7</v>
      </c>
      <c r="Y36" s="2"/>
      <c r="Z36" s="7">
        <f t="shared" si="23"/>
        <v>-1</v>
      </c>
    </row>
    <row r="37" spans="1:26" s="29" customFormat="1" outlineLevel="1" collapsed="1" x14ac:dyDescent="0.3">
      <c r="A37" s="28"/>
      <c r="B37" s="14" t="str">
        <f>CONCATENATE("     ","Insurance                                         ")</f>
        <v xml:space="preserve">     Insurance                                         </v>
      </c>
      <c r="C37" s="14"/>
      <c r="D37" s="1">
        <f>SUM(OSRRefD22_4x_0)</f>
        <v>76.569999999999993</v>
      </c>
      <c r="E37" s="1"/>
      <c r="F37" s="5">
        <f t="shared" si="16"/>
        <v>0</v>
      </c>
      <c r="G37" s="1"/>
      <c r="H37" s="1">
        <f>SUM(OSRRefH22_4x_0)</f>
        <v>56.34</v>
      </c>
      <c r="I37" s="1"/>
      <c r="J37" s="5">
        <f t="shared" si="17"/>
        <v>0</v>
      </c>
      <c r="K37" s="1"/>
      <c r="L37" s="1">
        <f t="shared" si="18"/>
        <v>20.22999999999999</v>
      </c>
      <c r="M37" s="1"/>
      <c r="N37" s="5">
        <f t="shared" si="19"/>
        <v>0.35906993255236047</v>
      </c>
      <c r="O37" s="14"/>
      <c r="P37" s="1">
        <f>SUM(OSRRefP22_4x_0)</f>
        <v>382.85</v>
      </c>
      <c r="Q37" s="1"/>
      <c r="R37" s="5">
        <f t="shared" si="20"/>
        <v>0</v>
      </c>
      <c r="S37" s="1"/>
      <c r="T37" s="1">
        <f>SUM(OSRRefT22_4x_0)</f>
        <v>281.7</v>
      </c>
      <c r="U37" s="1"/>
      <c r="V37" s="5">
        <f t="shared" si="21"/>
        <v>0</v>
      </c>
      <c r="W37" s="1"/>
      <c r="X37" s="1">
        <f t="shared" si="22"/>
        <v>101.15000000000003</v>
      </c>
      <c r="Y37" s="1"/>
      <c r="Z37" s="5">
        <f t="shared" si="23"/>
        <v>0.3590699325523608</v>
      </c>
    </row>
    <row r="38" spans="1:26" s="24" customFormat="1" hidden="1" outlineLevel="2" x14ac:dyDescent="0.3">
      <c r="A38" s="27"/>
      <c r="B38" s="11" t="str">
        <f>CONCATENATE("          ", "6314", " - ", "LIABILITY INSURANCE")</f>
        <v xml:space="preserve">          6314 - LIABILITY INSURANCE</v>
      </c>
      <c r="C38" s="11"/>
      <c r="D38" s="6">
        <v>76.569999999999993</v>
      </c>
      <c r="E38" s="2"/>
      <c r="F38" s="7">
        <f t="shared" si="16"/>
        <v>0</v>
      </c>
      <c r="G38" s="2"/>
      <c r="H38" s="6">
        <v>56.34</v>
      </c>
      <c r="I38" s="2"/>
      <c r="J38" s="7">
        <f t="shared" si="17"/>
        <v>0</v>
      </c>
      <c r="K38" s="2"/>
      <c r="L38" s="6">
        <f t="shared" si="18"/>
        <v>20.22999999999999</v>
      </c>
      <c r="M38" s="2"/>
      <c r="N38" s="7">
        <f t="shared" si="19"/>
        <v>0.35906993255236047</v>
      </c>
      <c r="O38" s="11"/>
      <c r="P38" s="6">
        <v>382.85</v>
      </c>
      <c r="Q38" s="2"/>
      <c r="R38" s="7">
        <f t="shared" si="20"/>
        <v>0</v>
      </c>
      <c r="S38" s="2"/>
      <c r="T38" s="6">
        <v>281.7</v>
      </c>
      <c r="U38" s="2"/>
      <c r="V38" s="7">
        <f t="shared" si="21"/>
        <v>0</v>
      </c>
      <c r="W38" s="2"/>
      <c r="X38" s="6">
        <f t="shared" si="22"/>
        <v>101.15000000000003</v>
      </c>
      <c r="Y38" s="2"/>
      <c r="Z38" s="7">
        <f t="shared" si="23"/>
        <v>0.3590699325523608</v>
      </c>
    </row>
    <row r="39" spans="1:26" s="29" customFormat="1" outlineLevel="1" collapsed="1" x14ac:dyDescent="0.3">
      <c r="A39" s="28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SUM(OSRRefD22_5x_0)</f>
        <v>9466</v>
      </c>
      <c r="E39" s="1"/>
      <c r="F39" s="5">
        <f t="shared" si="16"/>
        <v>0</v>
      </c>
      <c r="G39" s="1"/>
      <c r="H39" s="1">
        <f>SUM(OSRRefH22_5x_0)</f>
        <v>11992</v>
      </c>
      <c r="I39" s="1"/>
      <c r="J39" s="5">
        <f t="shared" si="17"/>
        <v>0</v>
      </c>
      <c r="K39" s="1"/>
      <c r="L39" s="1">
        <f t="shared" si="18"/>
        <v>-2526</v>
      </c>
      <c r="M39" s="1"/>
      <c r="N39" s="5">
        <f t="shared" si="19"/>
        <v>-0.21064042695130086</v>
      </c>
      <c r="O39" s="14"/>
      <c r="P39" s="1">
        <f>SUM(OSRRefP22_5x_0)</f>
        <v>47837.579999999994</v>
      </c>
      <c r="Q39" s="1"/>
      <c r="R39" s="5">
        <f t="shared" si="20"/>
        <v>0</v>
      </c>
      <c r="S39" s="1"/>
      <c r="T39" s="1">
        <f>SUM(OSRRefT22_5x_0)</f>
        <v>60596.160000000003</v>
      </c>
      <c r="U39" s="1"/>
      <c r="V39" s="5">
        <f t="shared" si="21"/>
        <v>0</v>
      </c>
      <c r="W39" s="1"/>
      <c r="X39" s="1">
        <f t="shared" si="22"/>
        <v>-12758.580000000009</v>
      </c>
      <c r="Y39" s="1"/>
      <c r="Z39" s="5">
        <f t="shared" si="23"/>
        <v>-0.21055096560574149</v>
      </c>
    </row>
    <row r="40" spans="1:26" s="24" customFormat="1" hidden="1" outlineLevel="2" x14ac:dyDescent="0.3">
      <c r="A40" s="27"/>
      <c r="B40" s="11" t="str">
        <f>CONCATENATE("          ", "6371", " - ", "COMPUTER SOFTWARE MAINTENANCE")</f>
        <v xml:space="preserve">          6371 - COMPUTER SOFTWARE MAINTENANCE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1824</v>
      </c>
      <c r="Q40" s="2"/>
      <c r="R40" s="7">
        <f t="shared" si="20"/>
        <v>0</v>
      </c>
      <c r="S40" s="2"/>
      <c r="T40" s="6">
        <v>2436.16</v>
      </c>
      <c r="U40" s="2"/>
      <c r="V40" s="7">
        <f t="shared" si="21"/>
        <v>0</v>
      </c>
      <c r="W40" s="2"/>
      <c r="X40" s="6">
        <f t="shared" si="22"/>
        <v>-612.15999999999985</v>
      </c>
      <c r="Y40" s="2"/>
      <c r="Z40" s="7">
        <f t="shared" si="23"/>
        <v>-0.25128070405884667</v>
      </c>
    </row>
    <row r="41" spans="1:26" s="24" customFormat="1" hidden="1" outlineLevel="2" x14ac:dyDescent="0.3">
      <c r="A41" s="27"/>
      <c r="B41" s="11" t="str">
        <f>CONCATENATE("          ", "6372", " - ", "COMPUTER HARDWARE MAINTENANCE")</f>
        <v xml:space="preserve">          6372 - COMPUTER HARDWARE MAINTENANCE</v>
      </c>
      <c r="C41" s="11"/>
      <c r="D41" s="6"/>
      <c r="E41" s="2"/>
      <c r="F41" s="7">
        <f t="shared" si="16"/>
        <v>0</v>
      </c>
      <c r="G41" s="2"/>
      <c r="H41" s="6"/>
      <c r="I41" s="2"/>
      <c r="J41" s="7">
        <f t="shared" si="17"/>
        <v>0</v>
      </c>
      <c r="K41" s="2"/>
      <c r="L41" s="6">
        <f t="shared" si="18"/>
        <v>0</v>
      </c>
      <c r="M41" s="2"/>
      <c r="N41" s="7">
        <f t="shared" si="19"/>
        <v>0</v>
      </c>
      <c r="O41" s="11"/>
      <c r="P41" s="6">
        <v>1008.07</v>
      </c>
      <c r="Q41" s="2"/>
      <c r="R41" s="7">
        <f t="shared" si="20"/>
        <v>0</v>
      </c>
      <c r="S41" s="2"/>
      <c r="T41" s="6"/>
      <c r="U41" s="2"/>
      <c r="V41" s="7">
        <f t="shared" si="21"/>
        <v>0</v>
      </c>
      <c r="W41" s="2"/>
      <c r="X41" s="6">
        <f t="shared" si="22"/>
        <v>1008.07</v>
      </c>
      <c r="Y41" s="2"/>
      <c r="Z41" s="7">
        <f t="shared" si="23"/>
        <v>0</v>
      </c>
    </row>
    <row r="42" spans="1:26" s="24" customFormat="1" hidden="1" outlineLevel="2" x14ac:dyDescent="0.3">
      <c r="A42" s="27"/>
      <c r="B42" s="11" t="str">
        <f>CONCATENATE("          ", "6373", " - ", "MAINTENANCE CONTRACTS")</f>
        <v xml:space="preserve">          6373 - MAINTENANCE CONTRACTS</v>
      </c>
      <c r="C42" s="11"/>
      <c r="D42" s="6">
        <v>9466</v>
      </c>
      <c r="E42" s="2"/>
      <c r="F42" s="7">
        <f t="shared" si="16"/>
        <v>0</v>
      </c>
      <c r="G42" s="2"/>
      <c r="H42" s="6">
        <v>11992</v>
      </c>
      <c r="I42" s="2"/>
      <c r="J42" s="7">
        <f t="shared" si="17"/>
        <v>0</v>
      </c>
      <c r="K42" s="2"/>
      <c r="L42" s="6">
        <f t="shared" si="18"/>
        <v>-2526</v>
      </c>
      <c r="M42" s="2"/>
      <c r="N42" s="7">
        <f t="shared" si="19"/>
        <v>-0.21064042695130086</v>
      </c>
      <c r="O42" s="11"/>
      <c r="P42" s="6">
        <v>44957.99</v>
      </c>
      <c r="Q42" s="2"/>
      <c r="R42" s="7">
        <f t="shared" si="20"/>
        <v>0</v>
      </c>
      <c r="S42" s="2"/>
      <c r="T42" s="6">
        <v>58160</v>
      </c>
      <c r="U42" s="2"/>
      <c r="V42" s="7">
        <f t="shared" si="21"/>
        <v>0</v>
      </c>
      <c r="W42" s="2"/>
      <c r="X42" s="6">
        <f t="shared" si="22"/>
        <v>-13202.010000000002</v>
      </c>
      <c r="Y42" s="2"/>
      <c r="Z42" s="7">
        <f t="shared" si="23"/>
        <v>-0.22699466987620362</v>
      </c>
    </row>
    <row r="43" spans="1:26" s="24" customFormat="1" hidden="1" outlineLevel="2" x14ac:dyDescent="0.3">
      <c r="A43" s="27"/>
      <c r="B43" s="11" t="str">
        <f>CONCATENATE("          ", "6375", " - ", "OUTSIDE REPAIRS &amp; MAINTENANCE")</f>
        <v xml:space="preserve">          6375 - OUTSIDE REPAIRS &amp; MAINTENANCE</v>
      </c>
      <c r="C43" s="11"/>
      <c r="D43" s="6"/>
      <c r="E43" s="2"/>
      <c r="F43" s="7">
        <f t="shared" si="16"/>
        <v>0</v>
      </c>
      <c r="G43" s="2"/>
      <c r="H43" s="6"/>
      <c r="I43" s="2"/>
      <c r="J43" s="7">
        <f t="shared" si="17"/>
        <v>0</v>
      </c>
      <c r="K43" s="2"/>
      <c r="L43" s="6">
        <f t="shared" si="18"/>
        <v>0</v>
      </c>
      <c r="M43" s="2"/>
      <c r="N43" s="7">
        <f t="shared" si="19"/>
        <v>0</v>
      </c>
      <c r="O43" s="11"/>
      <c r="P43" s="6">
        <v>47.52</v>
      </c>
      <c r="Q43" s="2"/>
      <c r="R43" s="7">
        <f t="shared" si="20"/>
        <v>0</v>
      </c>
      <c r="S43" s="2"/>
      <c r="T43" s="6"/>
      <c r="U43" s="2"/>
      <c r="V43" s="7">
        <f t="shared" si="21"/>
        <v>0</v>
      </c>
      <c r="W43" s="2"/>
      <c r="X43" s="6">
        <f t="shared" si="22"/>
        <v>47.52</v>
      </c>
      <c r="Y43" s="2"/>
      <c r="Z43" s="7">
        <f t="shared" si="23"/>
        <v>0</v>
      </c>
    </row>
    <row r="44" spans="1:26" s="29" customFormat="1" outlineLevel="1" collapsed="1" x14ac:dyDescent="0.3">
      <c r="A44" s="28"/>
      <c r="B44" s="14" t="str">
        <f>CONCATENATE("     ","Supplies                                          ")</f>
        <v xml:space="preserve">     Supplies                                          </v>
      </c>
      <c r="C44" s="14"/>
      <c r="D44" s="1">
        <f>SUM(OSRRefD22_6x_0)</f>
        <v>5.83</v>
      </c>
      <c r="E44" s="1"/>
      <c r="F44" s="5">
        <f t="shared" ref="F44:F48" si="24">IF(D$12=0,0,D44/D$12)</f>
        <v>0</v>
      </c>
      <c r="G44" s="1"/>
      <c r="H44" s="1">
        <f>SUM(OSRRefH22_6x_0)</f>
        <v>1437.24</v>
      </c>
      <c r="I44" s="1"/>
      <c r="J44" s="5">
        <f t="shared" ref="J44:J48" si="25">IF(H$12=0,0,H44/H$12)</f>
        <v>0</v>
      </c>
      <c r="K44" s="1"/>
      <c r="L44" s="1">
        <f t="shared" ref="L44:L48" si="26">+D44-H44</f>
        <v>-1431.41</v>
      </c>
      <c r="M44" s="1"/>
      <c r="N44" s="5">
        <f t="shared" ref="N44:N48" si="27">IF(H44=0,0,L44/H44)</f>
        <v>-0.99594361414934185</v>
      </c>
      <c r="O44" s="14"/>
      <c r="P44" s="1">
        <f>SUM(OSRRefP22_6x_0)</f>
        <v>1355.57</v>
      </c>
      <c r="Q44" s="1"/>
      <c r="R44" s="5">
        <f t="shared" ref="R44:R48" si="28">IF(P$12=0,0,P44/P$12)</f>
        <v>0</v>
      </c>
      <c r="S44" s="1"/>
      <c r="T44" s="1">
        <f>SUM(OSRRefT22_6x_0)</f>
        <v>-3004.18</v>
      </c>
      <c r="U44" s="1"/>
      <c r="V44" s="5">
        <f t="shared" ref="V44:V48" si="29">IF(T$12=0,0,T44/T$12)</f>
        <v>0</v>
      </c>
      <c r="W44" s="1"/>
      <c r="X44" s="1">
        <f t="shared" ref="X44:X48" si="30">+P44-T44</f>
        <v>4359.75</v>
      </c>
      <c r="Y44" s="1"/>
      <c r="Z44" s="5">
        <f t="shared" ref="Z44:Z48" si="31">IF(T44=0,0,X44/T44)</f>
        <v>-1.4512279557150372</v>
      </c>
    </row>
    <row r="45" spans="1:26" s="24" customFormat="1" hidden="1" outlineLevel="2" x14ac:dyDescent="0.3">
      <c r="A45" s="27"/>
      <c r="B45" s="11" t="str">
        <f>CONCATENATE("          ", "6241", " - ", "OFFICE EXPENSE")</f>
        <v xml:space="preserve">          6241 - OFFICE EXPENSE</v>
      </c>
      <c r="C45" s="11"/>
      <c r="D45" s="6">
        <v>5.83</v>
      </c>
      <c r="E45" s="2"/>
      <c r="F45" s="7">
        <f t="shared" si="24"/>
        <v>0</v>
      </c>
      <c r="G45" s="2"/>
      <c r="H45" s="6">
        <v>1437.24</v>
      </c>
      <c r="I45" s="2"/>
      <c r="J45" s="7">
        <f t="shared" si="25"/>
        <v>0</v>
      </c>
      <c r="K45" s="2"/>
      <c r="L45" s="6">
        <f t="shared" si="26"/>
        <v>-1431.41</v>
      </c>
      <c r="M45" s="2"/>
      <c r="N45" s="7">
        <f t="shared" si="27"/>
        <v>-0.99594361414934185</v>
      </c>
      <c r="O45" s="11"/>
      <c r="P45" s="6">
        <v>1355.57</v>
      </c>
      <c r="Q45" s="2"/>
      <c r="R45" s="7">
        <f t="shared" si="28"/>
        <v>0</v>
      </c>
      <c r="S45" s="2"/>
      <c r="T45" s="6">
        <v>-3004.18</v>
      </c>
      <c r="U45" s="2"/>
      <c r="V45" s="7">
        <f t="shared" si="29"/>
        <v>0</v>
      </c>
      <c r="W45" s="2"/>
      <c r="X45" s="6">
        <f t="shared" si="30"/>
        <v>4359.75</v>
      </c>
      <c r="Y45" s="2"/>
      <c r="Z45" s="7">
        <f t="shared" si="31"/>
        <v>-1.4512279557150372</v>
      </c>
    </row>
    <row r="46" spans="1:26" s="29" customFormat="1" outlineLevel="1" collapsed="1" x14ac:dyDescent="0.3">
      <c r="A46" s="28"/>
      <c r="B46" s="14" t="str">
        <f>CONCATENATE("     ","Telephone/Data Lines                              ")</f>
        <v xml:space="preserve">     Telephone/Data Lines                              </v>
      </c>
      <c r="C46" s="14"/>
      <c r="D46" s="1">
        <f>SUM(OSRRefD22_7x_0)</f>
        <v>821.13</v>
      </c>
      <c r="E46" s="1"/>
      <c r="F46" s="5">
        <f t="shared" si="24"/>
        <v>0</v>
      </c>
      <c r="G46" s="1"/>
      <c r="H46" s="1">
        <f>SUM(OSRRefH22_7x_0)</f>
        <v>783.93000000000006</v>
      </c>
      <c r="I46" s="1"/>
      <c r="J46" s="5">
        <f t="shared" si="25"/>
        <v>0</v>
      </c>
      <c r="K46" s="1"/>
      <c r="L46" s="1">
        <f t="shared" si="26"/>
        <v>37.199999999999932</v>
      </c>
      <c r="M46" s="1"/>
      <c r="N46" s="5">
        <f t="shared" si="27"/>
        <v>4.7453216486165767E-2</v>
      </c>
      <c r="O46" s="14"/>
      <c r="P46" s="1">
        <f>SUM(OSRRefP22_7x_0)</f>
        <v>4390.95</v>
      </c>
      <c r="Q46" s="1"/>
      <c r="R46" s="5">
        <f t="shared" si="28"/>
        <v>0</v>
      </c>
      <c r="S46" s="1"/>
      <c r="T46" s="1">
        <f>SUM(OSRRefT22_7x_0)</f>
        <v>4150.41</v>
      </c>
      <c r="U46" s="1"/>
      <c r="V46" s="5">
        <f t="shared" si="29"/>
        <v>0</v>
      </c>
      <c r="W46" s="1"/>
      <c r="X46" s="1">
        <f t="shared" si="30"/>
        <v>240.53999999999996</v>
      </c>
      <c r="Y46" s="1"/>
      <c r="Z46" s="5">
        <f t="shared" si="31"/>
        <v>5.7955720037297515E-2</v>
      </c>
    </row>
    <row r="47" spans="1:26" s="24" customFormat="1" hidden="1" outlineLevel="2" x14ac:dyDescent="0.3">
      <c r="A47" s="27"/>
      <c r="B47" s="11" t="str">
        <f>CONCATENATE("          ", "6303", " - ", "DATA PHONE LINES")</f>
        <v xml:space="preserve">          6303 - DATA PHONE LINES</v>
      </c>
      <c r="C47" s="11"/>
      <c r="D47" s="6">
        <v>170.98</v>
      </c>
      <c r="E47" s="2"/>
      <c r="F47" s="7">
        <f t="shared" si="24"/>
        <v>0</v>
      </c>
      <c r="G47" s="2"/>
      <c r="H47" s="6">
        <v>144.97999999999999</v>
      </c>
      <c r="I47" s="2"/>
      <c r="J47" s="7">
        <f t="shared" si="25"/>
        <v>0</v>
      </c>
      <c r="K47" s="2"/>
      <c r="L47" s="6">
        <f t="shared" si="26"/>
        <v>26</v>
      </c>
      <c r="M47" s="2"/>
      <c r="N47" s="7">
        <f t="shared" si="27"/>
        <v>0.17933508070078633</v>
      </c>
      <c r="O47" s="11"/>
      <c r="P47" s="6">
        <v>827.9</v>
      </c>
      <c r="Q47" s="2"/>
      <c r="R47" s="7">
        <f t="shared" si="28"/>
        <v>0</v>
      </c>
      <c r="S47" s="2"/>
      <c r="T47" s="6">
        <v>525.92999999999995</v>
      </c>
      <c r="U47" s="2"/>
      <c r="V47" s="7">
        <f t="shared" si="29"/>
        <v>0</v>
      </c>
      <c r="W47" s="2"/>
      <c r="X47" s="6">
        <f t="shared" si="30"/>
        <v>301.97000000000003</v>
      </c>
      <c r="Y47" s="2"/>
      <c r="Z47" s="7">
        <f t="shared" si="31"/>
        <v>0.5741638621109274</v>
      </c>
    </row>
    <row r="48" spans="1:26" s="24" customFormat="1" hidden="1" outlineLevel="2" x14ac:dyDescent="0.3">
      <c r="A48" s="27"/>
      <c r="B48" s="11" t="str">
        <f>CONCATENATE("          ", "6309", " - ", "TELEPHONE")</f>
        <v xml:space="preserve">          6309 - TELEPHONE</v>
      </c>
      <c r="C48" s="11"/>
      <c r="D48" s="6">
        <v>650.15</v>
      </c>
      <c r="E48" s="2"/>
      <c r="F48" s="7">
        <f t="shared" si="24"/>
        <v>0</v>
      </c>
      <c r="G48" s="2"/>
      <c r="H48" s="6">
        <v>638.95000000000005</v>
      </c>
      <c r="I48" s="2"/>
      <c r="J48" s="7">
        <f t="shared" si="25"/>
        <v>0</v>
      </c>
      <c r="K48" s="2"/>
      <c r="L48" s="6">
        <f t="shared" si="26"/>
        <v>11.199999999999932</v>
      </c>
      <c r="M48" s="2"/>
      <c r="N48" s="7">
        <f t="shared" si="27"/>
        <v>1.752875811878853E-2</v>
      </c>
      <c r="O48" s="11"/>
      <c r="P48" s="6">
        <v>3563.05</v>
      </c>
      <c r="Q48" s="2"/>
      <c r="R48" s="7">
        <f t="shared" si="28"/>
        <v>0</v>
      </c>
      <c r="S48" s="2"/>
      <c r="T48" s="6">
        <v>3624.48</v>
      </c>
      <c r="U48" s="2"/>
      <c r="V48" s="7">
        <f t="shared" si="29"/>
        <v>0</v>
      </c>
      <c r="W48" s="2"/>
      <c r="X48" s="6">
        <f t="shared" si="30"/>
        <v>-61.429999999999836</v>
      </c>
      <c r="Y48" s="2"/>
      <c r="Z48" s="7">
        <f t="shared" si="31"/>
        <v>-1.6948638149472429E-2</v>
      </c>
    </row>
    <row r="49" spans="1:26" s="62" customFormat="1" x14ac:dyDescent="0.3">
      <c r="A49" s="37"/>
      <c r="B49" s="37"/>
      <c r="C49" s="37"/>
      <c r="D49" s="1"/>
      <c r="E49" s="1"/>
      <c r="F49" s="5"/>
      <c r="G49" s="1"/>
      <c r="H49" s="1"/>
      <c r="I49" s="1"/>
      <c r="J49" s="5"/>
      <c r="K49" s="1"/>
      <c r="L49" s="1"/>
      <c r="M49" s="1"/>
      <c r="N49" s="5"/>
      <c r="O49" s="37"/>
      <c r="P49" s="1"/>
      <c r="Q49" s="1"/>
      <c r="R49" s="5"/>
      <c r="S49" s="1"/>
      <c r="T49" s="1"/>
      <c r="U49" s="1"/>
      <c r="V49" s="5"/>
      <c r="W49" s="1"/>
      <c r="X49" s="1"/>
      <c r="Y49" s="1"/>
      <c r="Z49" s="5"/>
    </row>
    <row r="50" spans="1:26" s="23" customFormat="1" x14ac:dyDescent="0.3">
      <c r="A50" s="10"/>
      <c r="B50" s="26" t="s">
        <v>292</v>
      </c>
      <c r="C50" s="10"/>
      <c r="D50" s="4">
        <f>SUM(0)</f>
        <v>0</v>
      </c>
      <c r="E50" s="4"/>
      <c r="F50" s="12">
        <f>IF(D$12=0,0,D50/D$12)</f>
        <v>0</v>
      </c>
      <c r="G50" s="4"/>
      <c r="H50" s="4">
        <f>SUM(0)</f>
        <v>0</v>
      </c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>
        <f>SUM(0)</f>
        <v>0</v>
      </c>
      <c r="Q50" s="4"/>
      <c r="R50" s="12">
        <f>IF(P$12=0,0,P50/P$12)</f>
        <v>0</v>
      </c>
      <c r="S50" s="4"/>
      <c r="T50" s="4">
        <f>SUM(0)</f>
        <v>0</v>
      </c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3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x14ac:dyDescent="0.3">
      <c r="A52" s="10"/>
      <c r="B52" s="25" t="s">
        <v>276</v>
      </c>
      <c r="C52" s="25"/>
      <c r="D52" s="21">
        <f>+D16-D18+D50</f>
        <v>-39757.270000000004</v>
      </c>
      <c r="E52" s="13"/>
      <c r="F52" s="22">
        <f>IF(D$12=0,0,D52/D$12)</f>
        <v>0</v>
      </c>
      <c r="G52" s="13"/>
      <c r="H52" s="21">
        <f>+H16-H18+H50</f>
        <v>-50583.669999999991</v>
      </c>
      <c r="I52" s="13"/>
      <c r="J52" s="22">
        <f>IF(H$12=0,0,H52/H$12)</f>
        <v>0</v>
      </c>
      <c r="K52" s="16"/>
      <c r="L52" s="21">
        <f>+D52-H52</f>
        <v>10826.399999999987</v>
      </c>
      <c r="M52" s="16"/>
      <c r="N52" s="22">
        <f>IF(H52=0,0,L52/H52)</f>
        <v>-0.21402954748044159</v>
      </c>
      <c r="O52" s="26"/>
      <c r="P52" s="21">
        <f>+P16-P18+P50</f>
        <v>-222427.84</v>
      </c>
      <c r="Q52" s="13"/>
      <c r="R52" s="22">
        <f>IF(P$12=0,0,P52/P$12)</f>
        <v>0</v>
      </c>
      <c r="S52" s="13"/>
      <c r="T52" s="21">
        <f>+T16-T18+T50</f>
        <v>-261691.25</v>
      </c>
      <c r="U52" s="13"/>
      <c r="V52" s="22">
        <f>IF(T$12=0,0,T52/T$12)</f>
        <v>0</v>
      </c>
      <c r="W52" s="16"/>
      <c r="X52" s="21">
        <f>+P52-T52</f>
        <v>39263.410000000003</v>
      </c>
      <c r="Y52" s="16"/>
      <c r="Z52" s="22">
        <f>IF(T52=0,0,X52/T52)</f>
        <v>-0.15003715256050787</v>
      </c>
    </row>
    <row r="53" spans="1:26" x14ac:dyDescent="0.3">
      <c r="A53" s="9"/>
      <c r="B53" s="10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x14ac:dyDescent="0.3">
      <c r="A54" s="51"/>
      <c r="B54" s="10" t="s">
        <v>127</v>
      </c>
      <c r="C54" s="10"/>
      <c r="D54" s="4"/>
      <c r="E54" s="4"/>
      <c r="F54" s="12">
        <f>IF(D$12=0,0,D54/D$12)</f>
        <v>0</v>
      </c>
      <c r="G54" s="4"/>
      <c r="H54" s="4"/>
      <c r="I54" s="4"/>
      <c r="J54" s="12">
        <f>IF(H$12=0,0,H54/H$12)</f>
        <v>0</v>
      </c>
      <c r="K54" s="4"/>
      <c r="L54" s="4">
        <f>+D54-H54</f>
        <v>0</v>
      </c>
      <c r="M54" s="4"/>
      <c r="N54" s="12">
        <f>IF(H54=0,0,L54/H54)</f>
        <v>0</v>
      </c>
      <c r="O54" s="10"/>
      <c r="P54" s="4"/>
      <c r="Q54" s="4"/>
      <c r="R54" s="12">
        <f>IF(P$12=0,0,P54/P$12)</f>
        <v>0</v>
      </c>
      <c r="S54" s="4"/>
      <c r="T54" s="4"/>
      <c r="U54" s="4"/>
      <c r="V54" s="12">
        <f>IF(T$12=0,0,T54/T$12)</f>
        <v>0</v>
      </c>
      <c r="W54" s="4"/>
      <c r="X54" s="4">
        <f>+P54-T54</f>
        <v>0</v>
      </c>
      <c r="Y54" s="4"/>
      <c r="Z54" s="12">
        <f>IF(T54=0,0,X54/T54)</f>
        <v>0</v>
      </c>
    </row>
    <row r="55" spans="1:26" x14ac:dyDescent="0.3">
      <c r="A55" s="9"/>
      <c r="B55" s="10"/>
      <c r="C55" s="10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O55" s="10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ht="15" thickBot="1" x14ac:dyDescent="0.35">
      <c r="A56" s="10"/>
      <c r="B56" s="25" t="s">
        <v>125</v>
      </c>
      <c r="C56" s="25"/>
      <c r="D56" s="35">
        <f>+D52-D54</f>
        <v>-39757.270000000004</v>
      </c>
      <c r="E56" s="13"/>
      <c r="F56" s="31">
        <f>IF(D$12=0,0,D56/D$12)</f>
        <v>0</v>
      </c>
      <c r="G56" s="13"/>
      <c r="H56" s="35">
        <f>+H52-H54</f>
        <v>-50583.669999999991</v>
      </c>
      <c r="I56" s="13"/>
      <c r="J56" s="31">
        <f>IF(H$12=0,0,H56/H$12)</f>
        <v>0</v>
      </c>
      <c r="K56" s="16"/>
      <c r="L56" s="35">
        <f>D56-H56</f>
        <v>10826.399999999987</v>
      </c>
      <c r="M56" s="16"/>
      <c r="N56" s="31">
        <f>IF(H56=0,0,L56/H56)</f>
        <v>-0.21402954748044159</v>
      </c>
      <c r="O56" s="26"/>
      <c r="P56" s="35">
        <f>+P52-P54</f>
        <v>-222427.84</v>
      </c>
      <c r="Q56" s="13"/>
      <c r="R56" s="31">
        <f>IF(P$12=0,0,P56/P$12)</f>
        <v>0</v>
      </c>
      <c r="S56" s="13"/>
      <c r="T56" s="35">
        <f>+T52-T54</f>
        <v>-261691.25</v>
      </c>
      <c r="U56" s="13"/>
      <c r="V56" s="31">
        <f>IF(T$12=0,0,T56/T$12)</f>
        <v>0</v>
      </c>
      <c r="W56" s="16"/>
      <c r="X56" s="35">
        <f>P56-T56</f>
        <v>39263.410000000003</v>
      </c>
      <c r="Y56" s="16"/>
      <c r="Z56" s="31">
        <f>IF(T56=0,0,X56/T56)</f>
        <v>-0.15003715256050787</v>
      </c>
    </row>
    <row r="57" spans="1:26" ht="15" thickTop="1" x14ac:dyDescent="0.3">
      <c r="A57" s="9"/>
      <c r="B57" s="9"/>
      <c r="C57" s="9"/>
      <c r="D57" s="3"/>
      <c r="E57" s="3"/>
      <c r="F57" s="8"/>
      <c r="G57" s="3"/>
      <c r="H57" s="3"/>
      <c r="I57" s="3"/>
      <c r="J57" s="8"/>
      <c r="K57" s="3"/>
      <c r="L57" s="3"/>
      <c r="M57" s="3"/>
      <c r="N57" s="8"/>
      <c r="P57" s="3"/>
      <c r="Q57" s="3"/>
      <c r="R57" s="8"/>
      <c r="S57" s="3"/>
      <c r="T57" s="3"/>
      <c r="U57" s="3"/>
      <c r="V57" s="8"/>
      <c r="W57" s="3"/>
      <c r="X57" s="3"/>
      <c r="Y57" s="3"/>
      <c r="Z57" s="8"/>
    </row>
    <row r="58" spans="1:26" x14ac:dyDescent="0.3">
      <c r="A58" s="9"/>
      <c r="B58" s="9"/>
      <c r="C58" s="9"/>
      <c r="D58" s="3"/>
      <c r="E58" s="3"/>
      <c r="F58" s="8"/>
      <c r="G58" s="3"/>
      <c r="H58" s="3"/>
      <c r="I58" s="3"/>
      <c r="J58" s="8"/>
      <c r="K58" s="3"/>
      <c r="L58" s="3"/>
      <c r="M58" s="3"/>
      <c r="N58" s="8"/>
      <c r="P58" s="3"/>
      <c r="Q58" s="3"/>
      <c r="R58" s="8"/>
      <c r="S58" s="3"/>
      <c r="T58" s="3"/>
      <c r="U58" s="3"/>
      <c r="V58" s="8"/>
      <c r="W58" s="3"/>
      <c r="X58" s="3"/>
      <c r="Y58" s="3"/>
      <c r="Z58" s="8"/>
    </row>
    <row r="59" spans="1:26" s="23" customFormat="1" ht="15" thickBot="1" x14ac:dyDescent="0.35">
      <c r="A59" s="10"/>
      <c r="B59" s="25" t="s">
        <v>293</v>
      </c>
      <c r="C59" s="25"/>
      <c r="D59" s="36">
        <f>SUM(D56:D58)</f>
        <v>-39757.270000000004</v>
      </c>
      <c r="E59" s="13"/>
      <c r="F59" s="33">
        <f>IF(D$12=0,0,D59/D$12)</f>
        <v>0</v>
      </c>
      <c r="G59" s="13"/>
      <c r="H59" s="36">
        <f>SUM(H56:H58)</f>
        <v>-50583.669999999991</v>
      </c>
      <c r="I59" s="13"/>
      <c r="J59" s="33">
        <f>IF(H$12=0,0,H59/H$12)</f>
        <v>0</v>
      </c>
      <c r="K59" s="16"/>
      <c r="L59" s="36">
        <f>+D59-H59</f>
        <v>10826.399999999987</v>
      </c>
      <c r="M59" s="16"/>
      <c r="N59" s="33">
        <f>IF(H59=0,0,L59/H59)</f>
        <v>-0.21402954748044159</v>
      </c>
      <c r="O59" s="26"/>
      <c r="P59" s="36">
        <f>SUM(P56:P58)</f>
        <v>-222427.84</v>
      </c>
      <c r="Q59" s="13"/>
      <c r="R59" s="33">
        <f>IF(P$12=0,0,P59/P$12)</f>
        <v>0</v>
      </c>
      <c r="S59" s="13"/>
      <c r="T59" s="36">
        <f>SUM(T56:T58)</f>
        <v>-261691.25</v>
      </c>
      <c r="U59" s="13"/>
      <c r="V59" s="33">
        <f>IF(T$12=0,0,T59/T$12)</f>
        <v>0</v>
      </c>
      <c r="W59" s="16"/>
      <c r="X59" s="36">
        <f>+P59-T59</f>
        <v>39263.410000000003</v>
      </c>
      <c r="Y59" s="16"/>
      <c r="Z59" s="33">
        <f>IF(T59=0,0,X59/T59)</f>
        <v>-0.15003715256050787</v>
      </c>
    </row>
    <row r="60" spans="1:26" ht="15" thickTop="1" x14ac:dyDescent="0.3">
      <c r="A60" s="9"/>
      <c r="C60" s="9"/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  <row r="61" spans="1:26" x14ac:dyDescent="0.3">
      <c r="A61" s="9"/>
      <c r="B61" s="52">
        <v>44543.765594675926</v>
      </c>
      <c r="D61" s="17"/>
      <c r="E61" s="17"/>
      <c r="G61" s="17"/>
      <c r="H61" s="17"/>
      <c r="I61" s="17"/>
      <c r="J61" s="42"/>
      <c r="K61" s="17"/>
      <c r="L61" s="17"/>
      <c r="M61" s="17"/>
      <c r="P61" s="17"/>
      <c r="Q61" s="17"/>
      <c r="R61" s="42"/>
      <c r="S61" s="17"/>
      <c r="T61" s="17"/>
      <c r="U61" s="17"/>
      <c r="V61" s="42"/>
      <c r="W61" s="17"/>
      <c r="X61" s="17"/>
    </row>
    <row r="62" spans="1:26" x14ac:dyDescent="0.3">
      <c r="A62" s="9"/>
      <c r="B62" s="59" t="s">
        <v>56</v>
      </c>
      <c r="D62" s="17"/>
      <c r="E62" s="17"/>
      <c r="G62" s="17"/>
      <c r="H62" s="17"/>
      <c r="I62" s="17"/>
      <c r="J62" s="42"/>
      <c r="K62" s="17"/>
      <c r="L62" s="17"/>
      <c r="M62" s="17"/>
      <c r="P62" s="17"/>
      <c r="Q62" s="17"/>
      <c r="R62" s="42"/>
      <c r="S62" s="17"/>
      <c r="T62" s="17"/>
      <c r="U62" s="17"/>
      <c r="V62" s="42"/>
      <c r="W62" s="17"/>
      <c r="X62" s="17"/>
    </row>
    <row r="63" spans="1:26" x14ac:dyDescent="0.3">
      <c r="A63" s="9"/>
      <c r="B63" s="61"/>
      <c r="D63" s="17"/>
      <c r="E63" s="17"/>
      <c r="G63" s="17"/>
      <c r="H63" s="17"/>
      <c r="I63" s="17"/>
      <c r="J63" s="42"/>
      <c r="K63" s="17"/>
      <c r="L63" s="17"/>
      <c r="M63" s="17"/>
      <c r="P63" s="17"/>
      <c r="Q63" s="17"/>
      <c r="R63" s="42"/>
      <c r="S63" s="17"/>
      <c r="T63" s="17"/>
      <c r="U63" s="17"/>
      <c r="V63" s="42"/>
      <c r="W63" s="17"/>
      <c r="X63" s="17"/>
    </row>
    <row r="64" spans="1:26" x14ac:dyDescent="0.3">
      <c r="D64" s="17"/>
      <c r="E64" s="17"/>
      <c r="G64" s="17"/>
      <c r="H64" s="17"/>
      <c r="I64" s="17"/>
      <c r="J64" s="42"/>
      <c r="K64" s="17"/>
      <c r="L64" s="17"/>
      <c r="M64" s="17"/>
      <c r="P64" s="17"/>
      <c r="Q64" s="17"/>
      <c r="R64" s="42"/>
      <c r="S64" s="17"/>
      <c r="T64" s="17"/>
      <c r="U64" s="17"/>
      <c r="V64" s="42"/>
      <c r="W64" s="17"/>
      <c r="X64" s="17"/>
    </row>
  </sheetData>
  <pageMargins left="0.25" right="0.25" top="0.75" bottom="0.75" header="0.3" footer="0.3"/>
  <pageSetup scale="55" fitToWidth="2" orientation="landscape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","205", " - ", "Maintenance")</f>
        <v>Department 205 - Maintenance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6608.87</v>
      </c>
      <c r="E18" s="20"/>
      <c r="F18" s="32">
        <f t="shared" ref="F18:F27" si="0">IF(D$12=0,0,D18/D$12)</f>
        <v>0</v>
      </c>
      <c r="G18" s="20"/>
      <c r="H18" s="20">
        <f>SUM(OSRRefH22x_0)</f>
        <v>6414.7800000000007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194.08999999999924</v>
      </c>
      <c r="M18" s="4"/>
      <c r="N18" s="32">
        <f t="shared" ref="N18:N27" si="3">IF(H18=0,0,L18/H18)</f>
        <v>3.0256688460087364E-2</v>
      </c>
      <c r="O18" s="10"/>
      <c r="P18" s="20">
        <f>SUM(OSRRefP22x_0)</f>
        <v>38049.19</v>
      </c>
      <c r="Q18" s="20"/>
      <c r="R18" s="32">
        <f t="shared" ref="R18:R27" si="4">IF(P$12=0,0,P18/P$12)</f>
        <v>0</v>
      </c>
      <c r="S18" s="20"/>
      <c r="T18" s="20">
        <f>SUM(OSRRefT22x_0)</f>
        <v>39867.550000000003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-1818.3600000000006</v>
      </c>
      <c r="Y18" s="4"/>
      <c r="Z18" s="32">
        <f t="shared" ref="Z18:Z27" si="7">IF(T18=0,0,X18/T18)</f>
        <v>-4.5610026199252286E-2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2501.3500000000004</v>
      </c>
      <c r="E19" s="1"/>
      <c r="F19" s="5">
        <f t="shared" si="0"/>
        <v>0</v>
      </c>
      <c r="G19" s="1"/>
      <c r="H19" s="1">
        <f>SUM(OSRRefH22_0x_0)</f>
        <v>2616.1999999999998</v>
      </c>
      <c r="I19" s="1"/>
      <c r="J19" s="5">
        <f t="shared" si="1"/>
        <v>0</v>
      </c>
      <c r="K19" s="1"/>
      <c r="L19" s="1">
        <f t="shared" si="2"/>
        <v>-114.84999999999945</v>
      </c>
      <c r="M19" s="1"/>
      <c r="N19" s="5">
        <f t="shared" si="3"/>
        <v>-4.3899548964146266E-2</v>
      </c>
      <c r="O19" s="14"/>
      <c r="P19" s="1">
        <f>SUM(OSRRefP22_0x_0)</f>
        <v>12747.6</v>
      </c>
      <c r="Q19" s="1"/>
      <c r="R19" s="5">
        <f t="shared" si="4"/>
        <v>0</v>
      </c>
      <c r="S19" s="1"/>
      <c r="T19" s="1">
        <f>SUM(OSRRefT22_0x_0)</f>
        <v>12265.76</v>
      </c>
      <c r="U19" s="1"/>
      <c r="V19" s="5">
        <f t="shared" si="5"/>
        <v>0</v>
      </c>
      <c r="W19" s="1"/>
      <c r="X19" s="1">
        <f t="shared" si="6"/>
        <v>481.84000000000015</v>
      </c>
      <c r="Y19" s="1"/>
      <c r="Z19" s="5">
        <f t="shared" si="7"/>
        <v>3.9283338333702934E-2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335.16</v>
      </c>
      <c r="E20" s="2"/>
      <c r="F20" s="7">
        <f t="shared" si="0"/>
        <v>0</v>
      </c>
      <c r="G20" s="2"/>
      <c r="H20" s="6">
        <v>316.89999999999998</v>
      </c>
      <c r="I20" s="2"/>
      <c r="J20" s="7">
        <f t="shared" si="1"/>
        <v>0</v>
      </c>
      <c r="K20" s="2"/>
      <c r="L20" s="6">
        <f t="shared" si="2"/>
        <v>18.260000000000048</v>
      </c>
      <c r="M20" s="2"/>
      <c r="N20" s="7">
        <f t="shared" si="3"/>
        <v>5.7620700536446981E-2</v>
      </c>
      <c r="O20" s="11"/>
      <c r="P20" s="6">
        <v>1813.62</v>
      </c>
      <c r="Q20" s="2"/>
      <c r="R20" s="7">
        <f t="shared" si="4"/>
        <v>0</v>
      </c>
      <c r="S20" s="2"/>
      <c r="T20" s="6">
        <v>1740.9</v>
      </c>
      <c r="U20" s="2"/>
      <c r="V20" s="7">
        <f t="shared" si="5"/>
        <v>0</v>
      </c>
      <c r="W20" s="2"/>
      <c r="X20" s="6">
        <f t="shared" si="6"/>
        <v>72.7199999999998</v>
      </c>
      <c r="Y20" s="2"/>
      <c r="Z20" s="7">
        <f t="shared" si="7"/>
        <v>4.1771497501292318E-2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242.27</v>
      </c>
      <c r="E21" s="2"/>
      <c r="F21" s="7">
        <f t="shared" si="0"/>
        <v>0</v>
      </c>
      <c r="G21" s="2"/>
      <c r="H21" s="6">
        <v>429.19</v>
      </c>
      <c r="I21" s="2"/>
      <c r="J21" s="7">
        <f t="shared" si="1"/>
        <v>0</v>
      </c>
      <c r="K21" s="2"/>
      <c r="L21" s="6">
        <f t="shared" si="2"/>
        <v>-186.92</v>
      </c>
      <c r="M21" s="2"/>
      <c r="N21" s="7">
        <f t="shared" si="3"/>
        <v>-0.43551806892052469</v>
      </c>
      <c r="O21" s="11"/>
      <c r="P21" s="6">
        <v>1304.1199999999999</v>
      </c>
      <c r="Q21" s="2"/>
      <c r="R21" s="7">
        <f t="shared" si="4"/>
        <v>0</v>
      </c>
      <c r="S21" s="2"/>
      <c r="T21" s="6">
        <v>1576.17</v>
      </c>
      <c r="U21" s="2"/>
      <c r="V21" s="7">
        <f t="shared" si="5"/>
        <v>0</v>
      </c>
      <c r="W21" s="2"/>
      <c r="X21" s="6">
        <f t="shared" si="6"/>
        <v>-272.05000000000018</v>
      </c>
      <c r="Y21" s="2"/>
      <c r="Z21" s="7">
        <f t="shared" si="7"/>
        <v>-0.17260194014605035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696.16</v>
      </c>
      <c r="E22" s="2"/>
      <c r="F22" s="7">
        <f t="shared" si="0"/>
        <v>0</v>
      </c>
      <c r="G22" s="2"/>
      <c r="H22" s="6">
        <v>696.16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3492.05</v>
      </c>
      <c r="Q22" s="2"/>
      <c r="R22" s="7">
        <f t="shared" si="4"/>
        <v>0</v>
      </c>
      <c r="S22" s="2"/>
      <c r="T22" s="6">
        <v>3480.8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3.2320156285911283E-3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11.39</v>
      </c>
      <c r="E23" s="2"/>
      <c r="F23" s="7">
        <f t="shared" si="0"/>
        <v>0</v>
      </c>
      <c r="G23" s="2"/>
      <c r="H23" s="6">
        <v>16.100000000000001</v>
      </c>
      <c r="I23" s="2"/>
      <c r="J23" s="7">
        <f t="shared" si="1"/>
        <v>0</v>
      </c>
      <c r="K23" s="2"/>
      <c r="L23" s="6">
        <f t="shared" si="2"/>
        <v>-4.7100000000000009</v>
      </c>
      <c r="M23" s="2"/>
      <c r="N23" s="7">
        <f t="shared" si="3"/>
        <v>-0.29254658385093169</v>
      </c>
      <c r="O23" s="11"/>
      <c r="P23" s="6">
        <v>61.31</v>
      </c>
      <c r="Q23" s="2"/>
      <c r="R23" s="7">
        <f t="shared" si="4"/>
        <v>0</v>
      </c>
      <c r="S23" s="2"/>
      <c r="T23" s="6">
        <v>59.15</v>
      </c>
      <c r="U23" s="2"/>
      <c r="V23" s="7">
        <f t="shared" si="5"/>
        <v>0</v>
      </c>
      <c r="W23" s="2"/>
      <c r="X23" s="6">
        <f t="shared" si="6"/>
        <v>2.1600000000000037</v>
      </c>
      <c r="Y23" s="2"/>
      <c r="Z23" s="7">
        <f t="shared" si="7"/>
        <v>3.6517328825021199E-2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475.21</v>
      </c>
      <c r="E24" s="2"/>
      <c r="F24" s="7">
        <f t="shared" si="0"/>
        <v>0</v>
      </c>
      <c r="G24" s="2"/>
      <c r="H24" s="6">
        <v>463.27</v>
      </c>
      <c r="I24" s="2"/>
      <c r="J24" s="7">
        <f t="shared" si="1"/>
        <v>0</v>
      </c>
      <c r="K24" s="2"/>
      <c r="L24" s="6">
        <f t="shared" si="2"/>
        <v>11.939999999999998</v>
      </c>
      <c r="M24" s="2"/>
      <c r="N24" s="7">
        <f t="shared" si="3"/>
        <v>2.5773307142702956E-2</v>
      </c>
      <c r="O24" s="11"/>
      <c r="P24" s="6">
        <v>2531.4</v>
      </c>
      <c r="Q24" s="2"/>
      <c r="R24" s="7">
        <f t="shared" si="4"/>
        <v>0</v>
      </c>
      <c r="S24" s="2"/>
      <c r="T24" s="6">
        <v>2547.9899999999998</v>
      </c>
      <c r="U24" s="2"/>
      <c r="V24" s="7">
        <f t="shared" si="5"/>
        <v>0</v>
      </c>
      <c r="W24" s="2"/>
      <c r="X24" s="6">
        <f t="shared" si="6"/>
        <v>-16.589999999999691</v>
      </c>
      <c r="Y24" s="2"/>
      <c r="Z24" s="7">
        <f t="shared" si="7"/>
        <v>-6.5110145644212466E-3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>
        <v>403.46</v>
      </c>
      <c r="E25" s="2"/>
      <c r="F25" s="7">
        <f t="shared" si="0"/>
        <v>0</v>
      </c>
      <c r="G25" s="2"/>
      <c r="H25" s="6">
        <v>387.96</v>
      </c>
      <c r="I25" s="2"/>
      <c r="J25" s="7">
        <f t="shared" si="1"/>
        <v>0</v>
      </c>
      <c r="K25" s="2"/>
      <c r="L25" s="6">
        <f t="shared" si="2"/>
        <v>15.5</v>
      </c>
      <c r="M25" s="2"/>
      <c r="N25" s="7">
        <f t="shared" si="3"/>
        <v>3.9952572430147437E-2</v>
      </c>
      <c r="O25" s="11"/>
      <c r="P25" s="6">
        <v>1655.8</v>
      </c>
      <c r="Q25" s="2"/>
      <c r="R25" s="7">
        <f t="shared" si="4"/>
        <v>0</v>
      </c>
      <c r="S25" s="2"/>
      <c r="T25" s="6">
        <v>1033.94</v>
      </c>
      <c r="U25" s="2"/>
      <c r="V25" s="7">
        <f t="shared" si="5"/>
        <v>0</v>
      </c>
      <c r="W25" s="2"/>
      <c r="X25" s="6">
        <f t="shared" si="6"/>
        <v>621.8599999999999</v>
      </c>
      <c r="Y25" s="2"/>
      <c r="Z25" s="7">
        <f t="shared" si="7"/>
        <v>0.60144689246958227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>
        <v>201.46</v>
      </c>
      <c r="E26" s="2"/>
      <c r="F26" s="7">
        <f t="shared" si="0"/>
        <v>0</v>
      </c>
      <c r="G26" s="2"/>
      <c r="H26" s="6">
        <v>193.72</v>
      </c>
      <c r="I26" s="2"/>
      <c r="J26" s="7">
        <f t="shared" si="1"/>
        <v>0</v>
      </c>
      <c r="K26" s="2"/>
      <c r="L26" s="6">
        <f t="shared" si="2"/>
        <v>7.7400000000000091</v>
      </c>
      <c r="M26" s="2"/>
      <c r="N26" s="7">
        <f t="shared" si="3"/>
        <v>3.9954573611397939E-2</v>
      </c>
      <c r="O26" s="11"/>
      <c r="P26" s="6">
        <v>1073.2</v>
      </c>
      <c r="Q26" s="2"/>
      <c r="R26" s="7">
        <f t="shared" si="4"/>
        <v>0</v>
      </c>
      <c r="S26" s="2"/>
      <c r="T26" s="6">
        <v>1065.46</v>
      </c>
      <c r="U26" s="2"/>
      <c r="V26" s="7">
        <f t="shared" si="5"/>
        <v>0</v>
      </c>
      <c r="W26" s="2"/>
      <c r="X26" s="6">
        <f t="shared" si="6"/>
        <v>7.7400000000000091</v>
      </c>
      <c r="Y26" s="2"/>
      <c r="Z26" s="7">
        <f t="shared" si="7"/>
        <v>7.2644679293450802E-3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6">
        <v>136.24</v>
      </c>
      <c r="E27" s="2"/>
      <c r="F27" s="7">
        <f t="shared" si="0"/>
        <v>0</v>
      </c>
      <c r="G27" s="2"/>
      <c r="H27" s="6">
        <v>112.9</v>
      </c>
      <c r="I27" s="2"/>
      <c r="J27" s="7">
        <f t="shared" si="1"/>
        <v>0</v>
      </c>
      <c r="K27" s="2"/>
      <c r="L27" s="6">
        <f t="shared" si="2"/>
        <v>23.340000000000003</v>
      </c>
      <c r="M27" s="2"/>
      <c r="N27" s="7">
        <f t="shared" si="3"/>
        <v>0.2067316209034544</v>
      </c>
      <c r="O27" s="11"/>
      <c r="P27" s="6">
        <v>816.1</v>
      </c>
      <c r="Q27" s="2"/>
      <c r="R27" s="7">
        <f t="shared" si="4"/>
        <v>0</v>
      </c>
      <c r="S27" s="2"/>
      <c r="T27" s="6">
        <v>761.35</v>
      </c>
      <c r="U27" s="2"/>
      <c r="V27" s="7">
        <f t="shared" si="5"/>
        <v>0</v>
      </c>
      <c r="W27" s="2"/>
      <c r="X27" s="6">
        <f t="shared" si="6"/>
        <v>54.75</v>
      </c>
      <c r="Y27" s="2"/>
      <c r="Z27" s="7">
        <f t="shared" si="7"/>
        <v>7.1911735732580279E-2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3057.4</v>
      </c>
      <c r="E28" s="1"/>
      <c r="F28" s="5">
        <f t="shared" ref="F28:F36" si="8">IF(D$12=0,0,D28/D$12)</f>
        <v>0</v>
      </c>
      <c r="G28" s="1"/>
      <c r="H28" s="1">
        <f>SUM(OSRRefH22_1x_0)</f>
        <v>3149.8</v>
      </c>
      <c r="I28" s="1"/>
      <c r="J28" s="5">
        <f t="shared" ref="J28:J36" si="9">IF(H$12=0,0,H28/H$12)</f>
        <v>0</v>
      </c>
      <c r="K28" s="1"/>
      <c r="L28" s="1">
        <f t="shared" ref="L28:L36" si="10">+D28-H28</f>
        <v>-92.400000000000091</v>
      </c>
      <c r="M28" s="1"/>
      <c r="N28" s="5">
        <f t="shared" ref="N28:N36" si="11">IF(H28=0,0,L28/H28)</f>
        <v>-2.9335195885453073E-2</v>
      </c>
      <c r="O28" s="14"/>
      <c r="P28" s="1">
        <f>SUM(OSRRefP22_1x_0)</f>
        <v>20860.38</v>
      </c>
      <c r="Q28" s="1"/>
      <c r="R28" s="5">
        <f t="shared" ref="R28:R36" si="12">IF(P$12=0,0,P28/P$12)</f>
        <v>0</v>
      </c>
      <c r="S28" s="1"/>
      <c r="T28" s="1">
        <f>SUM(OSRRefT22_1x_0)</f>
        <v>21418.66</v>
      </c>
      <c r="U28" s="1"/>
      <c r="V28" s="5">
        <f t="shared" ref="V28:V36" si="13">IF(T$12=0,0,T28/T$12)</f>
        <v>0</v>
      </c>
      <c r="W28" s="1"/>
      <c r="X28" s="1">
        <f t="shared" ref="X28:X36" si="14">+P28-T28</f>
        <v>-558.27999999999884</v>
      </c>
      <c r="Y28" s="1"/>
      <c r="Z28" s="5">
        <f t="shared" ref="Z28:Z36" si="15">IF(T28=0,0,X28/T28)</f>
        <v>-2.6065122654731848E-2</v>
      </c>
    </row>
    <row r="29" spans="1:26" s="24" customFormat="1" hidden="1" outlineLevel="2" x14ac:dyDescent="0.3">
      <c r="A29" s="27"/>
      <c r="B29" s="11" t="str">
        <f>CONCATENATE("          ", "6002", " - ", "STAFF SALARIES")</f>
        <v xml:space="preserve">          6002 - STAFF SALARIES</v>
      </c>
      <c r="C29" s="11"/>
      <c r="D29" s="6">
        <v>3057.4</v>
      </c>
      <c r="E29" s="2"/>
      <c r="F29" s="7">
        <f t="shared" si="8"/>
        <v>0</v>
      </c>
      <c r="G29" s="2"/>
      <c r="H29" s="6">
        <v>3149.8</v>
      </c>
      <c r="I29" s="2"/>
      <c r="J29" s="7">
        <f t="shared" si="9"/>
        <v>0</v>
      </c>
      <c r="K29" s="2"/>
      <c r="L29" s="6">
        <f t="shared" si="10"/>
        <v>-92.400000000000091</v>
      </c>
      <c r="M29" s="2"/>
      <c r="N29" s="7">
        <f t="shared" si="11"/>
        <v>-2.9335195885453073E-2</v>
      </c>
      <c r="O29" s="11"/>
      <c r="P29" s="6">
        <v>20860.38</v>
      </c>
      <c r="Q29" s="2"/>
      <c r="R29" s="7">
        <f t="shared" si="12"/>
        <v>0</v>
      </c>
      <c r="S29" s="2"/>
      <c r="T29" s="6">
        <v>21418.66</v>
      </c>
      <c r="U29" s="2"/>
      <c r="V29" s="7">
        <f t="shared" si="13"/>
        <v>0</v>
      </c>
      <c r="W29" s="2"/>
      <c r="X29" s="6">
        <f t="shared" si="14"/>
        <v>-558.27999999999884</v>
      </c>
      <c r="Y29" s="2"/>
      <c r="Z29" s="7">
        <f t="shared" si="15"/>
        <v>-2.6065122654731848E-2</v>
      </c>
    </row>
    <row r="30" spans="1:26" s="29" customFormat="1" outlineLevel="1" collapsed="1" x14ac:dyDescent="0.3">
      <c r="A30" s="28"/>
      <c r="B30" s="14" t="str">
        <f>CONCATENATE("     ","General                                           ")</f>
        <v xml:space="preserve">     General          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-906.57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-906.57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1" t="str">
        <f>CONCATENATE("          ", "6279", " - ", "GENERAL EXPENSE")</f>
        <v xml:space="preserve">          6279 - GENERAL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-906.57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-906.57</v>
      </c>
      <c r="Y31" s="2"/>
      <c r="Z31" s="7">
        <f t="shared" si="15"/>
        <v>0</v>
      </c>
    </row>
    <row r="32" spans="1:26" s="29" customFormat="1" outlineLevel="1" collapsed="1" x14ac:dyDescent="0.3">
      <c r="A32" s="28"/>
      <c r="B32" s="14" t="str">
        <f>CONCATENATE("     ","Insurance                                         ")</f>
        <v xml:space="preserve">     Insurance                                         </v>
      </c>
      <c r="C32" s="14"/>
      <c r="D32" s="1">
        <f>SUM(OSRRefD22_3x_0)</f>
        <v>33.380000000000003</v>
      </c>
      <c r="E32" s="1"/>
      <c r="F32" s="5">
        <f t="shared" si="8"/>
        <v>0</v>
      </c>
      <c r="G32" s="1"/>
      <c r="H32" s="1">
        <f>SUM(OSRRefH22_3x_0)</f>
        <v>24.56</v>
      </c>
      <c r="I32" s="1"/>
      <c r="J32" s="5">
        <f t="shared" si="9"/>
        <v>0</v>
      </c>
      <c r="K32" s="1"/>
      <c r="L32" s="1">
        <f t="shared" si="10"/>
        <v>8.8200000000000038</v>
      </c>
      <c r="M32" s="1"/>
      <c r="N32" s="5">
        <f t="shared" si="11"/>
        <v>0.3591205211726386</v>
      </c>
      <c r="O32" s="14"/>
      <c r="P32" s="1">
        <f>SUM(OSRRefP22_3x_0)</f>
        <v>166.9</v>
      </c>
      <c r="Q32" s="1"/>
      <c r="R32" s="5">
        <f t="shared" si="12"/>
        <v>0</v>
      </c>
      <c r="S32" s="1"/>
      <c r="T32" s="1">
        <f>SUM(OSRRefT22_3x_0)</f>
        <v>122.8</v>
      </c>
      <c r="U32" s="1"/>
      <c r="V32" s="5">
        <f t="shared" si="13"/>
        <v>0</v>
      </c>
      <c r="W32" s="1"/>
      <c r="X32" s="1">
        <f t="shared" si="14"/>
        <v>44.100000000000009</v>
      </c>
      <c r="Y32" s="1"/>
      <c r="Z32" s="5">
        <f t="shared" si="15"/>
        <v>0.35912052117263854</v>
      </c>
    </row>
    <row r="33" spans="1:26" s="24" customFormat="1" hidden="1" outlineLevel="2" x14ac:dyDescent="0.3">
      <c r="A33" s="27"/>
      <c r="B33" s="11" t="str">
        <f>CONCATENATE("          ", "6314", " - ", "LIABILITY INSURANCE")</f>
        <v xml:space="preserve">          6314 - LIABILITY INSURANCE</v>
      </c>
      <c r="C33" s="11"/>
      <c r="D33" s="6">
        <v>33.380000000000003</v>
      </c>
      <c r="E33" s="2"/>
      <c r="F33" s="7">
        <f t="shared" si="8"/>
        <v>0</v>
      </c>
      <c r="G33" s="2"/>
      <c r="H33" s="6">
        <v>24.56</v>
      </c>
      <c r="I33" s="2"/>
      <c r="J33" s="7">
        <f t="shared" si="9"/>
        <v>0</v>
      </c>
      <c r="K33" s="2"/>
      <c r="L33" s="6">
        <f t="shared" si="10"/>
        <v>8.8200000000000038</v>
      </c>
      <c r="M33" s="2"/>
      <c r="N33" s="7">
        <f t="shared" si="11"/>
        <v>0.3591205211726386</v>
      </c>
      <c r="O33" s="11"/>
      <c r="P33" s="6">
        <v>166.9</v>
      </c>
      <c r="Q33" s="2"/>
      <c r="R33" s="7">
        <f t="shared" si="12"/>
        <v>0</v>
      </c>
      <c r="S33" s="2"/>
      <c r="T33" s="6">
        <v>122.8</v>
      </c>
      <c r="U33" s="2"/>
      <c r="V33" s="7">
        <f t="shared" si="13"/>
        <v>0</v>
      </c>
      <c r="W33" s="2"/>
      <c r="X33" s="6">
        <f t="shared" si="14"/>
        <v>44.100000000000009</v>
      </c>
      <c r="Y33" s="2"/>
      <c r="Z33" s="7">
        <f t="shared" si="15"/>
        <v>0.35912052117263854</v>
      </c>
    </row>
    <row r="34" spans="1:26" s="29" customFormat="1" outlineLevel="1" collapsed="1" x14ac:dyDescent="0.3">
      <c r="A34" s="28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918.74</v>
      </c>
      <c r="E34" s="1"/>
      <c r="F34" s="5">
        <f t="shared" si="8"/>
        <v>0</v>
      </c>
      <c r="G34" s="1"/>
      <c r="H34" s="1">
        <f>SUM(OSRRefH22_4x_0)</f>
        <v>485.1</v>
      </c>
      <c r="I34" s="1"/>
      <c r="J34" s="5">
        <f t="shared" si="9"/>
        <v>0</v>
      </c>
      <c r="K34" s="1"/>
      <c r="L34" s="1">
        <f t="shared" si="10"/>
        <v>433.64</v>
      </c>
      <c r="M34" s="1"/>
      <c r="N34" s="5">
        <f t="shared" si="11"/>
        <v>0.89391877963306532</v>
      </c>
      <c r="O34" s="14"/>
      <c r="P34" s="1">
        <f>SUM(OSRRefP22_4x_0)</f>
        <v>4639.78</v>
      </c>
      <c r="Q34" s="1"/>
      <c r="R34" s="5">
        <f t="shared" si="12"/>
        <v>0</v>
      </c>
      <c r="S34" s="1"/>
      <c r="T34" s="1">
        <f>SUM(OSRRefT22_4x_0)</f>
        <v>5634.29</v>
      </c>
      <c r="U34" s="1"/>
      <c r="V34" s="5">
        <f t="shared" si="13"/>
        <v>0</v>
      </c>
      <c r="W34" s="1"/>
      <c r="X34" s="1">
        <f t="shared" si="14"/>
        <v>-994.51000000000022</v>
      </c>
      <c r="Y34" s="1"/>
      <c r="Z34" s="5">
        <f t="shared" si="15"/>
        <v>-0.17651026127515626</v>
      </c>
    </row>
    <row r="35" spans="1:26" s="24" customFormat="1" hidden="1" outlineLevel="2" x14ac:dyDescent="0.3">
      <c r="A35" s="27"/>
      <c r="B35" s="11" t="str">
        <f>CONCATENATE("          ", "6373", " - ", "MAINTENANCE CONTRACTS")</f>
        <v xml:space="preserve">          6373 - MAINTENANCE CONTRACTS</v>
      </c>
      <c r="C35" s="11"/>
      <c r="D35" s="6">
        <v>918.74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918.74</v>
      </c>
      <c r="M35" s="2"/>
      <c r="N35" s="7">
        <f t="shared" si="11"/>
        <v>0</v>
      </c>
      <c r="O35" s="11"/>
      <c r="P35" s="6">
        <v>4566.9399999999996</v>
      </c>
      <c r="Q35" s="2"/>
      <c r="R35" s="7">
        <f t="shared" si="12"/>
        <v>0</v>
      </c>
      <c r="S35" s="2"/>
      <c r="T35" s="6">
        <v>3464</v>
      </c>
      <c r="U35" s="2"/>
      <c r="V35" s="7">
        <f t="shared" si="13"/>
        <v>0</v>
      </c>
      <c r="W35" s="2"/>
      <c r="X35" s="6">
        <f t="shared" si="14"/>
        <v>1102.9399999999996</v>
      </c>
      <c r="Y35" s="2"/>
      <c r="Z35" s="7">
        <f t="shared" si="15"/>
        <v>0.31840069284064654</v>
      </c>
    </row>
    <row r="36" spans="1:26" s="24" customFormat="1" hidden="1" outlineLevel="2" x14ac:dyDescent="0.3">
      <c r="A36" s="27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8"/>
        <v>0</v>
      </c>
      <c r="G36" s="2"/>
      <c r="H36" s="6">
        <v>485.1</v>
      </c>
      <c r="I36" s="2"/>
      <c r="J36" s="7">
        <f t="shared" si="9"/>
        <v>0</v>
      </c>
      <c r="K36" s="2"/>
      <c r="L36" s="6">
        <f t="shared" si="10"/>
        <v>-485.1</v>
      </c>
      <c r="M36" s="2"/>
      <c r="N36" s="7">
        <f t="shared" si="11"/>
        <v>-1</v>
      </c>
      <c r="O36" s="11"/>
      <c r="P36" s="6">
        <v>72.84</v>
      </c>
      <c r="Q36" s="2"/>
      <c r="R36" s="7">
        <f t="shared" si="12"/>
        <v>0</v>
      </c>
      <c r="S36" s="2"/>
      <c r="T36" s="6">
        <v>2170.29</v>
      </c>
      <c r="U36" s="2"/>
      <c r="V36" s="7">
        <f t="shared" si="13"/>
        <v>0</v>
      </c>
      <c r="W36" s="2"/>
      <c r="X36" s="6">
        <f t="shared" si="14"/>
        <v>-2097.4499999999998</v>
      </c>
      <c r="Y36" s="2"/>
      <c r="Z36" s="7">
        <f t="shared" si="15"/>
        <v>-0.96643766501250983</v>
      </c>
    </row>
    <row r="37" spans="1:26" s="29" customFormat="1" outlineLevel="1" collapsed="1" x14ac:dyDescent="0.3">
      <c r="A37" s="28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ref="F37:F40" si="16">IF(D$12=0,0,D37/D$12)</f>
        <v>0</v>
      </c>
      <c r="G37" s="1"/>
      <c r="H37" s="1">
        <f>SUM(OSRRefH22_5x_0)</f>
        <v>66.12</v>
      </c>
      <c r="I37" s="1"/>
      <c r="J37" s="5">
        <f t="shared" ref="J37:J40" si="17">IF(H$12=0,0,H37/H$12)</f>
        <v>0</v>
      </c>
      <c r="K37" s="1"/>
      <c r="L37" s="1">
        <f t="shared" ref="L37:L40" si="18">+D37-H37</f>
        <v>-66.12</v>
      </c>
      <c r="M37" s="1"/>
      <c r="N37" s="5">
        <f t="shared" ref="N37:N40" si="19">IF(H37=0,0,L37/H37)</f>
        <v>-1</v>
      </c>
      <c r="O37" s="14"/>
      <c r="P37" s="1">
        <f>SUM(OSRRefP22_5x_0)</f>
        <v>26.1</v>
      </c>
      <c r="Q37" s="1"/>
      <c r="R37" s="5">
        <f t="shared" ref="R37:R40" si="20">IF(P$12=0,0,P37/P$12)</f>
        <v>0</v>
      </c>
      <c r="S37" s="1"/>
      <c r="T37" s="1">
        <f>SUM(OSRRefT22_5x_0)</f>
        <v>82.04</v>
      </c>
      <c r="U37" s="1"/>
      <c r="V37" s="5">
        <f t="shared" ref="V37:V40" si="21">IF(T$12=0,0,T37/T$12)</f>
        <v>0</v>
      </c>
      <c r="W37" s="1"/>
      <c r="X37" s="1">
        <f t="shared" ref="X37:X40" si="22">+P37-T37</f>
        <v>-55.940000000000005</v>
      </c>
      <c r="Y37" s="1"/>
      <c r="Z37" s="5">
        <f t="shared" ref="Z37:Z40" si="23">IF(T37=0,0,X37/T37)</f>
        <v>-0.68186250609458798</v>
      </c>
    </row>
    <row r="38" spans="1:26" s="24" customFormat="1" hidden="1" outlineLevel="2" x14ac:dyDescent="0.3">
      <c r="A38" s="27"/>
      <c r="B38" s="11" t="str">
        <f>CONCATENATE("          ", "6234", " - ", "EXPENDABLE SUPPLIES &amp; EQUIPMEN")</f>
        <v xml:space="preserve">          6234 - EXPENDABLE SUPPLIES &amp; EQUIPMEN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26.1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26.1</v>
      </c>
      <c r="Y38" s="2"/>
      <c r="Z38" s="7">
        <f t="shared" si="23"/>
        <v>0</v>
      </c>
    </row>
    <row r="39" spans="1:26" s="24" customFormat="1" hidden="1" outlineLevel="2" x14ac:dyDescent="0.3">
      <c r="A39" s="27"/>
      <c r="B39" s="11" t="str">
        <f>CONCATENATE("          ", "6235", " - ", "COVID-19 EXPENSES")</f>
        <v xml:space="preserve">          6235 - COVID-19 EXPENSES</v>
      </c>
      <c r="C39" s="11"/>
      <c r="D39" s="6"/>
      <c r="E39" s="2"/>
      <c r="F39" s="7">
        <f t="shared" si="16"/>
        <v>0</v>
      </c>
      <c r="G39" s="2"/>
      <c r="H39" s="6">
        <v>66.12</v>
      </c>
      <c r="I39" s="2"/>
      <c r="J39" s="7">
        <f t="shared" si="17"/>
        <v>0</v>
      </c>
      <c r="K39" s="2"/>
      <c r="L39" s="6">
        <f t="shared" si="18"/>
        <v>-66.12</v>
      </c>
      <c r="M39" s="2"/>
      <c r="N39" s="7">
        <f t="shared" si="19"/>
        <v>-1</v>
      </c>
      <c r="O39" s="11"/>
      <c r="P39" s="6"/>
      <c r="Q39" s="2"/>
      <c r="R39" s="7">
        <f t="shared" si="20"/>
        <v>0</v>
      </c>
      <c r="S39" s="2"/>
      <c r="T39" s="6">
        <v>66.12</v>
      </c>
      <c r="U39" s="2"/>
      <c r="V39" s="7">
        <f t="shared" si="21"/>
        <v>0</v>
      </c>
      <c r="W39" s="2"/>
      <c r="X39" s="6">
        <f t="shared" si="22"/>
        <v>-66.12</v>
      </c>
      <c r="Y39" s="2"/>
      <c r="Z39" s="7">
        <f t="shared" si="23"/>
        <v>-1</v>
      </c>
    </row>
    <row r="40" spans="1:26" s="24" customFormat="1" hidden="1" outlineLevel="2" x14ac:dyDescent="0.3">
      <c r="A40" s="27"/>
      <c r="B40" s="11" t="str">
        <f>CONCATENATE("          ", "6241", " - ", "OFFICE EXPENSE")</f>
        <v xml:space="preserve">          6241 - OFFICE EXPENSE</v>
      </c>
      <c r="C40" s="11"/>
      <c r="D40" s="6"/>
      <c r="E40" s="2"/>
      <c r="F40" s="7">
        <f t="shared" si="16"/>
        <v>0</v>
      </c>
      <c r="G40" s="2"/>
      <c r="H40" s="6"/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/>
      <c r="Q40" s="2"/>
      <c r="R40" s="7">
        <f t="shared" si="20"/>
        <v>0</v>
      </c>
      <c r="S40" s="2"/>
      <c r="T40" s="6">
        <v>15.92</v>
      </c>
      <c r="U40" s="2"/>
      <c r="V40" s="7">
        <f t="shared" si="21"/>
        <v>0</v>
      </c>
      <c r="W40" s="2"/>
      <c r="X40" s="6">
        <f t="shared" si="22"/>
        <v>-15.92</v>
      </c>
      <c r="Y40" s="2"/>
      <c r="Z40" s="7">
        <f t="shared" si="23"/>
        <v>-1</v>
      </c>
    </row>
    <row r="41" spans="1:26" s="29" customFormat="1" outlineLevel="1" collapsed="1" x14ac:dyDescent="0.3">
      <c r="A41" s="28"/>
      <c r="B41" s="14" t="str">
        <f>CONCATENATE("     ","Telephone/Data Lines                              ")</f>
        <v xml:space="preserve">     Telephone/Data Lines                              </v>
      </c>
      <c r="C41" s="14"/>
      <c r="D41" s="1">
        <f>SUM(OSRRefD22_6x_0)</f>
        <v>98</v>
      </c>
      <c r="E41" s="1"/>
      <c r="F41" s="5">
        <f t="shared" ref="F41:F42" si="24">IF(D$12=0,0,D41/D$12)</f>
        <v>0</v>
      </c>
      <c r="G41" s="1"/>
      <c r="H41" s="1">
        <f>SUM(OSRRefH22_6x_0)</f>
        <v>73</v>
      </c>
      <c r="I41" s="1"/>
      <c r="J41" s="5">
        <f t="shared" ref="J41:J42" si="25">IF(H$12=0,0,H41/H$12)</f>
        <v>0</v>
      </c>
      <c r="K41" s="1"/>
      <c r="L41" s="1">
        <f t="shared" ref="L41:L42" si="26">+D41-H41</f>
        <v>25</v>
      </c>
      <c r="M41" s="1"/>
      <c r="N41" s="5">
        <f t="shared" ref="N41:N42" si="27">IF(H41=0,0,L41/H41)</f>
        <v>0.34246575342465752</v>
      </c>
      <c r="O41" s="14"/>
      <c r="P41" s="1">
        <f>SUM(OSRRefP22_6x_0)</f>
        <v>515</v>
      </c>
      <c r="Q41" s="1"/>
      <c r="R41" s="5">
        <f t="shared" ref="R41:R42" si="28">IF(P$12=0,0,P41/P$12)</f>
        <v>0</v>
      </c>
      <c r="S41" s="1"/>
      <c r="T41" s="1">
        <f>SUM(OSRRefT22_6x_0)</f>
        <v>344</v>
      </c>
      <c r="U41" s="1"/>
      <c r="V41" s="5">
        <f t="shared" ref="V41:V42" si="29">IF(T$12=0,0,T41/T$12)</f>
        <v>0</v>
      </c>
      <c r="W41" s="1"/>
      <c r="X41" s="1">
        <f t="shared" ref="X41:X42" si="30">+P41-T41</f>
        <v>171</v>
      </c>
      <c r="Y41" s="1"/>
      <c r="Z41" s="5">
        <f t="shared" ref="Z41:Z42" si="31">IF(T41=0,0,X41/T41)</f>
        <v>0.49709302325581395</v>
      </c>
    </row>
    <row r="42" spans="1:26" s="24" customFormat="1" hidden="1" outlineLevel="2" x14ac:dyDescent="0.3">
      <c r="A42" s="27"/>
      <c r="B42" s="11" t="str">
        <f>CONCATENATE("          ", "6309", " - ", "TELEPHONE")</f>
        <v xml:space="preserve">          6309 - TELEPHONE</v>
      </c>
      <c r="C42" s="11"/>
      <c r="D42" s="6">
        <v>98</v>
      </c>
      <c r="E42" s="2"/>
      <c r="F42" s="7">
        <f t="shared" si="24"/>
        <v>0</v>
      </c>
      <c r="G42" s="2"/>
      <c r="H42" s="6">
        <v>73</v>
      </c>
      <c r="I42" s="2"/>
      <c r="J42" s="7">
        <f t="shared" si="25"/>
        <v>0</v>
      </c>
      <c r="K42" s="2"/>
      <c r="L42" s="6">
        <f t="shared" si="26"/>
        <v>25</v>
      </c>
      <c r="M42" s="2"/>
      <c r="N42" s="7">
        <f t="shared" si="27"/>
        <v>0.34246575342465752</v>
      </c>
      <c r="O42" s="11"/>
      <c r="P42" s="6">
        <v>515</v>
      </c>
      <c r="Q42" s="2"/>
      <c r="R42" s="7">
        <f t="shared" si="28"/>
        <v>0</v>
      </c>
      <c r="S42" s="2"/>
      <c r="T42" s="6">
        <v>344</v>
      </c>
      <c r="U42" s="2"/>
      <c r="V42" s="7">
        <f t="shared" si="29"/>
        <v>0</v>
      </c>
      <c r="W42" s="2"/>
      <c r="X42" s="6">
        <f t="shared" si="30"/>
        <v>171</v>
      </c>
      <c r="Y42" s="2"/>
      <c r="Z42" s="7">
        <f t="shared" si="31"/>
        <v>0.49709302325581395</v>
      </c>
    </row>
    <row r="43" spans="1:26" s="62" customFormat="1" x14ac:dyDescent="0.3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6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10"/>
      <c r="B46" s="25" t="s">
        <v>276</v>
      </c>
      <c r="C46" s="25"/>
      <c r="D46" s="21">
        <f>+D16-D18+D44</f>
        <v>-6608.87</v>
      </c>
      <c r="E46" s="13"/>
      <c r="F46" s="22">
        <f>IF(D$12=0,0,D46/D$12)</f>
        <v>0</v>
      </c>
      <c r="G46" s="13"/>
      <c r="H46" s="21">
        <f>+H16-H18+H44</f>
        <v>-6414.7800000000007</v>
      </c>
      <c r="I46" s="13"/>
      <c r="J46" s="22">
        <f>IF(H$12=0,0,H46/H$12)</f>
        <v>0</v>
      </c>
      <c r="K46" s="16"/>
      <c r="L46" s="21">
        <f>+D46-H46</f>
        <v>-194.08999999999924</v>
      </c>
      <c r="M46" s="16"/>
      <c r="N46" s="22">
        <f>IF(H46=0,0,L46/H46)</f>
        <v>3.0256688460087364E-2</v>
      </c>
      <c r="O46" s="26"/>
      <c r="P46" s="21">
        <f>+P16-P18+P44</f>
        <v>-38049.19</v>
      </c>
      <c r="Q46" s="13"/>
      <c r="R46" s="22">
        <f>IF(P$12=0,0,P46/P$12)</f>
        <v>0</v>
      </c>
      <c r="S46" s="13"/>
      <c r="T46" s="21">
        <f>+T16-T18+T44</f>
        <v>-39867.550000000003</v>
      </c>
      <c r="U46" s="13"/>
      <c r="V46" s="22">
        <f>IF(T$12=0,0,T46/T$12)</f>
        <v>0</v>
      </c>
      <c r="W46" s="16"/>
      <c r="X46" s="21">
        <f>+P46-T46</f>
        <v>1818.3600000000006</v>
      </c>
      <c r="Y46" s="16"/>
      <c r="Z46" s="22">
        <f>IF(T46=0,0,X46/T46)</f>
        <v>-4.5610026199252286E-2</v>
      </c>
    </row>
    <row r="47" spans="1:26" x14ac:dyDescent="0.3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" thickBot="1" x14ac:dyDescent="0.35">
      <c r="A50" s="10"/>
      <c r="B50" s="25" t="s">
        <v>125</v>
      </c>
      <c r="C50" s="25"/>
      <c r="D50" s="35">
        <f>+D46-D48</f>
        <v>-6608.87</v>
      </c>
      <c r="E50" s="13"/>
      <c r="F50" s="31">
        <f>IF(D$12=0,0,D50/D$12)</f>
        <v>0</v>
      </c>
      <c r="G50" s="13"/>
      <c r="H50" s="35">
        <f>+H46-H48</f>
        <v>-6414.7800000000007</v>
      </c>
      <c r="I50" s="13"/>
      <c r="J50" s="31">
        <f>IF(H$12=0,0,H50/H$12)</f>
        <v>0</v>
      </c>
      <c r="K50" s="16"/>
      <c r="L50" s="35">
        <f>D50-H50</f>
        <v>-194.08999999999924</v>
      </c>
      <c r="M50" s="16"/>
      <c r="N50" s="31">
        <f>IF(H50=0,0,L50/H50)</f>
        <v>3.0256688460087364E-2</v>
      </c>
      <c r="O50" s="26"/>
      <c r="P50" s="35">
        <f>+P46-P48</f>
        <v>-38049.19</v>
      </c>
      <c r="Q50" s="13"/>
      <c r="R50" s="31">
        <f>IF(P$12=0,0,P50/P$12)</f>
        <v>0</v>
      </c>
      <c r="S50" s="13"/>
      <c r="T50" s="35">
        <f>+T46-T48</f>
        <v>-39867.550000000003</v>
      </c>
      <c r="U50" s="13"/>
      <c r="V50" s="31">
        <f>IF(T$12=0,0,T50/T$12)</f>
        <v>0</v>
      </c>
      <c r="W50" s="16"/>
      <c r="X50" s="35">
        <f>P50-T50</f>
        <v>1818.3600000000006</v>
      </c>
      <c r="Y50" s="16"/>
      <c r="Z50" s="31">
        <f>IF(T50=0,0,X50/T50)</f>
        <v>-4.5610026199252286E-2</v>
      </c>
    </row>
    <row r="51" spans="1:26" ht="15" thickTop="1" x14ac:dyDescent="0.3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35">
      <c r="A53" s="10"/>
      <c r="B53" s="25" t="s">
        <v>293</v>
      </c>
      <c r="C53" s="25"/>
      <c r="D53" s="36">
        <f>SUM(D50:D52)</f>
        <v>-6608.87</v>
      </c>
      <c r="E53" s="13"/>
      <c r="F53" s="33">
        <f>IF(D$12=0,0,D53/D$12)</f>
        <v>0</v>
      </c>
      <c r="G53" s="13"/>
      <c r="H53" s="36">
        <f>SUM(H50:H52)</f>
        <v>-6414.7800000000007</v>
      </c>
      <c r="I53" s="13"/>
      <c r="J53" s="33">
        <f>IF(H$12=0,0,H53/H$12)</f>
        <v>0</v>
      </c>
      <c r="K53" s="16"/>
      <c r="L53" s="36">
        <f>+D53-H53</f>
        <v>-194.08999999999924</v>
      </c>
      <c r="M53" s="16"/>
      <c r="N53" s="33">
        <f>IF(H53=0,0,L53/H53)</f>
        <v>3.0256688460087364E-2</v>
      </c>
      <c r="O53" s="26"/>
      <c r="P53" s="36">
        <f>SUM(P50:P52)</f>
        <v>-38049.19</v>
      </c>
      <c r="Q53" s="13"/>
      <c r="R53" s="33">
        <f>IF(P$12=0,0,P53/P$12)</f>
        <v>0</v>
      </c>
      <c r="S53" s="13"/>
      <c r="T53" s="36">
        <f>SUM(T50:T52)</f>
        <v>-39867.550000000003</v>
      </c>
      <c r="U53" s="13"/>
      <c r="V53" s="33">
        <f>IF(T$12=0,0,T53/T$12)</f>
        <v>0</v>
      </c>
      <c r="W53" s="16"/>
      <c r="X53" s="36">
        <f>+P53-T53</f>
        <v>1818.3600000000006</v>
      </c>
      <c r="Y53" s="16"/>
      <c r="Z53" s="33">
        <f>IF(T53=0,0,X53/T53)</f>
        <v>-4.5610026199252286E-2</v>
      </c>
    </row>
    <row r="54" spans="1:26" ht="15" thickTop="1" x14ac:dyDescent="0.3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2">
        <v>44543.765594675926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9" t="s">
        <v>56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61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","206", " - ", "Communications")</f>
        <v>Department 206 - Communications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9325.01</v>
      </c>
      <c r="E18" s="20"/>
      <c r="F18" s="32">
        <f t="shared" ref="F18:F26" si="0">IF(D$12=0,0,D18/D$12)</f>
        <v>0</v>
      </c>
      <c r="G18" s="20"/>
      <c r="H18" s="20">
        <f>SUM(OSRRefH22x_0)</f>
        <v>7104.2199999999993</v>
      </c>
      <c r="I18" s="20"/>
      <c r="J18" s="32">
        <f t="shared" ref="J18:J26" si="1">IF(H$12=0,0,H18/H$12)</f>
        <v>0</v>
      </c>
      <c r="K18" s="4"/>
      <c r="L18" s="20">
        <f t="shared" ref="L18:L26" si="2">+D18-H18</f>
        <v>2220.7900000000009</v>
      </c>
      <c r="M18" s="4"/>
      <c r="N18" s="32">
        <f t="shared" ref="N18:N26" si="3">IF(H18=0,0,L18/H18)</f>
        <v>0.31260152416451081</v>
      </c>
      <c r="O18" s="10"/>
      <c r="P18" s="20">
        <f>SUM(OSRRefP22x_0)</f>
        <v>45216.119999999995</v>
      </c>
      <c r="Q18" s="20"/>
      <c r="R18" s="32">
        <f t="shared" ref="R18:R26" si="4">IF(P$12=0,0,P18/P$12)</f>
        <v>0</v>
      </c>
      <c r="S18" s="20"/>
      <c r="T18" s="20">
        <f>SUM(OSRRefT22x_0)</f>
        <v>43759.709999999992</v>
      </c>
      <c r="U18" s="20"/>
      <c r="V18" s="32">
        <f t="shared" ref="V18:V26" si="5">IF(T$12=0,0,T18/T$12)</f>
        <v>0</v>
      </c>
      <c r="W18" s="4"/>
      <c r="X18" s="20">
        <f t="shared" ref="X18:X26" si="6">+P18-T18</f>
        <v>1456.4100000000035</v>
      </c>
      <c r="Y18" s="4"/>
      <c r="Z18" s="32">
        <f t="shared" ref="Z18:Z26" si="7">IF(T18=0,0,X18/T18)</f>
        <v>3.3281984729789202E-2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1880.25</v>
      </c>
      <c r="E19" s="1"/>
      <c r="F19" s="5">
        <f t="shared" si="0"/>
        <v>0</v>
      </c>
      <c r="G19" s="1"/>
      <c r="H19" s="1">
        <f>SUM(OSRRefH22_0x_0)</f>
        <v>1496.02</v>
      </c>
      <c r="I19" s="1"/>
      <c r="J19" s="5">
        <f t="shared" si="1"/>
        <v>0</v>
      </c>
      <c r="K19" s="1"/>
      <c r="L19" s="1">
        <f t="shared" si="2"/>
        <v>384.23</v>
      </c>
      <c r="M19" s="1"/>
      <c r="N19" s="5">
        <f t="shared" si="3"/>
        <v>0.25683480167377443</v>
      </c>
      <c r="O19" s="14"/>
      <c r="P19" s="1">
        <f>SUM(OSRRefP22_0x_0)</f>
        <v>9824.6099999999988</v>
      </c>
      <c r="Q19" s="1"/>
      <c r="R19" s="5">
        <f t="shared" si="4"/>
        <v>0</v>
      </c>
      <c r="S19" s="1"/>
      <c r="T19" s="1">
        <f>SUM(OSRRefT22_0x_0)</f>
        <v>7955.3399999999992</v>
      </c>
      <c r="U19" s="1"/>
      <c r="V19" s="5">
        <f t="shared" si="5"/>
        <v>0</v>
      </c>
      <c r="W19" s="1"/>
      <c r="X19" s="1">
        <f t="shared" si="6"/>
        <v>1869.2699999999995</v>
      </c>
      <c r="Y19" s="1"/>
      <c r="Z19" s="5">
        <f t="shared" si="7"/>
        <v>0.23497047266364476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363.08</v>
      </c>
      <c r="E20" s="2"/>
      <c r="F20" s="7">
        <f t="shared" si="0"/>
        <v>0</v>
      </c>
      <c r="G20" s="2"/>
      <c r="H20" s="6">
        <v>338.48</v>
      </c>
      <c r="I20" s="2"/>
      <c r="J20" s="7">
        <f t="shared" si="1"/>
        <v>0</v>
      </c>
      <c r="K20" s="2"/>
      <c r="L20" s="6">
        <f t="shared" si="2"/>
        <v>24.599999999999966</v>
      </c>
      <c r="M20" s="2"/>
      <c r="N20" s="7">
        <f t="shared" si="3"/>
        <v>7.2677853935239789E-2</v>
      </c>
      <c r="O20" s="11"/>
      <c r="P20" s="6">
        <v>2211.9</v>
      </c>
      <c r="Q20" s="2"/>
      <c r="R20" s="7">
        <f t="shared" si="4"/>
        <v>0</v>
      </c>
      <c r="S20" s="2"/>
      <c r="T20" s="6">
        <v>2023.65</v>
      </c>
      <c r="U20" s="2"/>
      <c r="V20" s="7">
        <f t="shared" si="5"/>
        <v>0</v>
      </c>
      <c r="W20" s="2"/>
      <c r="X20" s="6">
        <f t="shared" si="6"/>
        <v>188.25</v>
      </c>
      <c r="Y20" s="2"/>
      <c r="Z20" s="7">
        <f t="shared" si="7"/>
        <v>9.3024979616040324E-2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87.67</v>
      </c>
      <c r="E21" s="2"/>
      <c r="F21" s="7">
        <f t="shared" si="0"/>
        <v>0</v>
      </c>
      <c r="G21" s="2"/>
      <c r="H21" s="6">
        <v>28.23</v>
      </c>
      <c r="I21" s="2"/>
      <c r="J21" s="7">
        <f t="shared" si="1"/>
        <v>0</v>
      </c>
      <c r="K21" s="2"/>
      <c r="L21" s="6">
        <f t="shared" si="2"/>
        <v>59.44</v>
      </c>
      <c r="M21" s="2"/>
      <c r="N21" s="7">
        <f t="shared" si="3"/>
        <v>2.1055614594403118</v>
      </c>
      <c r="O21" s="11"/>
      <c r="P21" s="6">
        <v>444.37</v>
      </c>
      <c r="Q21" s="2"/>
      <c r="R21" s="7">
        <f t="shared" si="4"/>
        <v>0</v>
      </c>
      <c r="S21" s="2"/>
      <c r="T21" s="6">
        <v>108.08</v>
      </c>
      <c r="U21" s="2"/>
      <c r="V21" s="7">
        <f t="shared" si="5"/>
        <v>0</v>
      </c>
      <c r="W21" s="2"/>
      <c r="X21" s="6">
        <f t="shared" si="6"/>
        <v>336.29</v>
      </c>
      <c r="Y21" s="2"/>
      <c r="Z21" s="7">
        <f t="shared" si="7"/>
        <v>3.1114914877868247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700.87</v>
      </c>
      <c r="E22" s="2"/>
      <c r="F22" s="7">
        <f t="shared" si="0"/>
        <v>0</v>
      </c>
      <c r="G22" s="2"/>
      <c r="H22" s="6">
        <v>700.87</v>
      </c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>
        <v>3515.6</v>
      </c>
      <c r="Q22" s="2"/>
      <c r="R22" s="7">
        <f t="shared" si="4"/>
        <v>0</v>
      </c>
      <c r="S22" s="2"/>
      <c r="T22" s="6">
        <v>3504.35</v>
      </c>
      <c r="U22" s="2"/>
      <c r="V22" s="7">
        <f t="shared" si="5"/>
        <v>0</v>
      </c>
      <c r="W22" s="2"/>
      <c r="X22" s="6">
        <f t="shared" si="6"/>
        <v>11.25</v>
      </c>
      <c r="Y22" s="2"/>
      <c r="Z22" s="7">
        <f t="shared" si="7"/>
        <v>3.21029577525076E-3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17.670000000000002</v>
      </c>
      <c r="E23" s="2"/>
      <c r="F23" s="7">
        <f t="shared" si="0"/>
        <v>0</v>
      </c>
      <c r="G23" s="2"/>
      <c r="H23" s="6">
        <v>22.24</v>
      </c>
      <c r="I23" s="2"/>
      <c r="J23" s="7">
        <f t="shared" si="1"/>
        <v>0</v>
      </c>
      <c r="K23" s="2"/>
      <c r="L23" s="6">
        <f t="shared" si="2"/>
        <v>-4.5699999999999967</v>
      </c>
      <c r="M23" s="2"/>
      <c r="N23" s="7">
        <f t="shared" si="3"/>
        <v>-0.20548561151079123</v>
      </c>
      <c r="O23" s="11"/>
      <c r="P23" s="6">
        <v>89.57</v>
      </c>
      <c r="Q23" s="2"/>
      <c r="R23" s="7">
        <f t="shared" si="4"/>
        <v>0</v>
      </c>
      <c r="S23" s="2"/>
      <c r="T23" s="6">
        <v>85.16</v>
      </c>
      <c r="U23" s="2"/>
      <c r="V23" s="7">
        <f t="shared" si="5"/>
        <v>0</v>
      </c>
      <c r="W23" s="2"/>
      <c r="X23" s="6">
        <f t="shared" si="6"/>
        <v>4.4099999999999966</v>
      </c>
      <c r="Y23" s="2"/>
      <c r="Z23" s="7">
        <f t="shared" si="7"/>
        <v>5.1784875528417061E-2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6">
        <v>287.66000000000003</v>
      </c>
      <c r="E24" s="2"/>
      <c r="F24" s="7">
        <f t="shared" si="0"/>
        <v>0</v>
      </c>
      <c r="G24" s="2"/>
      <c r="H24" s="6">
        <v>184.8</v>
      </c>
      <c r="I24" s="2"/>
      <c r="J24" s="7">
        <f t="shared" si="1"/>
        <v>0</v>
      </c>
      <c r="K24" s="2"/>
      <c r="L24" s="6">
        <f t="shared" si="2"/>
        <v>102.86000000000001</v>
      </c>
      <c r="M24" s="2"/>
      <c r="N24" s="7">
        <f t="shared" si="3"/>
        <v>0.55660173160173165</v>
      </c>
      <c r="O24" s="11"/>
      <c r="P24" s="6">
        <v>1532.36</v>
      </c>
      <c r="Q24" s="2"/>
      <c r="R24" s="7">
        <f t="shared" si="4"/>
        <v>0</v>
      </c>
      <c r="S24" s="2"/>
      <c r="T24" s="6">
        <v>1016.4</v>
      </c>
      <c r="U24" s="2"/>
      <c r="V24" s="7">
        <f t="shared" si="5"/>
        <v>0</v>
      </c>
      <c r="W24" s="2"/>
      <c r="X24" s="6">
        <f t="shared" si="6"/>
        <v>515.95999999999992</v>
      </c>
      <c r="Y24" s="2"/>
      <c r="Z24" s="7">
        <f t="shared" si="7"/>
        <v>0.50763478945297125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6">
        <v>230.26</v>
      </c>
      <c r="E25" s="2"/>
      <c r="F25" s="7">
        <f t="shared" si="0"/>
        <v>0</v>
      </c>
      <c r="G25" s="2"/>
      <c r="H25" s="6">
        <v>221.4</v>
      </c>
      <c r="I25" s="2"/>
      <c r="J25" s="7">
        <f t="shared" si="1"/>
        <v>0</v>
      </c>
      <c r="K25" s="2"/>
      <c r="L25" s="6">
        <f t="shared" si="2"/>
        <v>8.8599999999999852</v>
      </c>
      <c r="M25" s="2"/>
      <c r="N25" s="7">
        <f t="shared" si="3"/>
        <v>4.0018066847335075E-2</v>
      </c>
      <c r="O25" s="11"/>
      <c r="P25" s="6">
        <v>1226.56</v>
      </c>
      <c r="Q25" s="2"/>
      <c r="R25" s="7">
        <f t="shared" si="4"/>
        <v>0</v>
      </c>
      <c r="S25" s="2"/>
      <c r="T25" s="6">
        <v>1217.7</v>
      </c>
      <c r="U25" s="2"/>
      <c r="V25" s="7">
        <f t="shared" si="5"/>
        <v>0</v>
      </c>
      <c r="W25" s="2"/>
      <c r="X25" s="6">
        <f t="shared" si="6"/>
        <v>8.8599999999999</v>
      </c>
      <c r="Y25" s="2"/>
      <c r="Z25" s="7">
        <f t="shared" si="7"/>
        <v>7.2760121540608519E-3</v>
      </c>
    </row>
    <row r="26" spans="1:26" s="24" customFormat="1" hidden="1" outlineLevel="2" x14ac:dyDescent="0.3">
      <c r="A26" s="27"/>
      <c r="B26" s="11" t="str">
        <f>CONCATENATE("          ", "6156", " - ", "EMPLOYEE MEALS")</f>
        <v xml:space="preserve">          6156 - EMPLOYEE MEALS</v>
      </c>
      <c r="C26" s="11"/>
      <c r="D26" s="6">
        <v>193.04</v>
      </c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193.04</v>
      </c>
      <c r="M26" s="2"/>
      <c r="N26" s="7">
        <f t="shared" si="3"/>
        <v>0</v>
      </c>
      <c r="O26" s="11"/>
      <c r="P26" s="6">
        <v>804.25</v>
      </c>
      <c r="Q26" s="2"/>
      <c r="R26" s="7">
        <f t="shared" si="4"/>
        <v>0</v>
      </c>
      <c r="S26" s="2"/>
      <c r="T26" s="6"/>
      <c r="U26" s="2"/>
      <c r="V26" s="7">
        <f t="shared" si="5"/>
        <v>0</v>
      </c>
      <c r="W26" s="2"/>
      <c r="X26" s="6">
        <f t="shared" si="6"/>
        <v>804.25</v>
      </c>
      <c r="Y26" s="2"/>
      <c r="Z26" s="7">
        <f t="shared" si="7"/>
        <v>0</v>
      </c>
    </row>
    <row r="27" spans="1:26" s="29" customFormat="1" outlineLevel="1" collapsed="1" x14ac:dyDescent="0.3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7062.34</v>
      </c>
      <c r="E27" s="1"/>
      <c r="F27" s="5">
        <f t="shared" ref="F27:F30" si="8">IF(D$12=0,0,D27/D$12)</f>
        <v>0</v>
      </c>
      <c r="G27" s="1"/>
      <c r="H27" s="1">
        <f>SUM(OSRRefH22_1x_0)</f>
        <v>5127.7199999999993</v>
      </c>
      <c r="I27" s="1"/>
      <c r="J27" s="5">
        <f t="shared" ref="J27:J30" si="9">IF(H$12=0,0,H27/H$12)</f>
        <v>0</v>
      </c>
      <c r="K27" s="1"/>
      <c r="L27" s="1">
        <f t="shared" ref="L27:L30" si="10">+D27-H27</f>
        <v>1934.6200000000008</v>
      </c>
      <c r="M27" s="1"/>
      <c r="N27" s="5">
        <f t="shared" ref="N27:N30" si="11">IF(H27=0,0,L27/H27)</f>
        <v>0.3772865913115383</v>
      </c>
      <c r="O27" s="14"/>
      <c r="P27" s="1">
        <f>SUM(OSRRefP22_1x_0)</f>
        <v>33978.79</v>
      </c>
      <c r="Q27" s="1"/>
      <c r="R27" s="5">
        <f t="shared" ref="R27:R30" si="12">IF(P$12=0,0,P27/P$12)</f>
        <v>0</v>
      </c>
      <c r="S27" s="1"/>
      <c r="T27" s="1">
        <f>SUM(OSRRefT22_1x_0)</f>
        <v>33611.18</v>
      </c>
      <c r="U27" s="1"/>
      <c r="V27" s="5">
        <f t="shared" ref="V27:V30" si="13">IF(T$12=0,0,T27/T$12)</f>
        <v>0</v>
      </c>
      <c r="W27" s="1"/>
      <c r="X27" s="1">
        <f t="shared" ref="X27:X30" si="14">+P27-T27</f>
        <v>367.61000000000058</v>
      </c>
      <c r="Y27" s="1"/>
      <c r="Z27" s="5">
        <f t="shared" ref="Z27:Z30" si="15">IF(T27=0,0,X27/T27)</f>
        <v>1.0937134608186936E-2</v>
      </c>
    </row>
    <row r="28" spans="1:26" s="24" customFormat="1" hidden="1" outlineLevel="2" x14ac:dyDescent="0.3">
      <c r="A28" s="27"/>
      <c r="B28" s="11" t="str">
        <f>CONCATENATE("          ", "6004", " - ", "STAFF HOURLY")</f>
        <v xml:space="preserve">          6004 - STAFF HOURLY</v>
      </c>
      <c r="C28" s="11"/>
      <c r="D28" s="6">
        <v>5004.96</v>
      </c>
      <c r="E28" s="2"/>
      <c r="F28" s="7">
        <f t="shared" si="8"/>
        <v>0</v>
      </c>
      <c r="G28" s="2"/>
      <c r="H28" s="6">
        <v>3965.1</v>
      </c>
      <c r="I28" s="2"/>
      <c r="J28" s="7">
        <f t="shared" si="9"/>
        <v>0</v>
      </c>
      <c r="K28" s="2"/>
      <c r="L28" s="6">
        <f t="shared" si="10"/>
        <v>1039.8600000000001</v>
      </c>
      <c r="M28" s="2"/>
      <c r="N28" s="7">
        <f t="shared" si="11"/>
        <v>0.26225315881062272</v>
      </c>
      <c r="O28" s="11"/>
      <c r="P28" s="6">
        <v>24713.16</v>
      </c>
      <c r="Q28" s="2"/>
      <c r="R28" s="7">
        <f t="shared" si="12"/>
        <v>0</v>
      </c>
      <c r="S28" s="2"/>
      <c r="T28" s="6">
        <v>26487.599999999999</v>
      </c>
      <c r="U28" s="2"/>
      <c r="V28" s="7">
        <f t="shared" si="13"/>
        <v>0</v>
      </c>
      <c r="W28" s="2"/>
      <c r="X28" s="6">
        <f t="shared" si="14"/>
        <v>-1774.4399999999987</v>
      </c>
      <c r="Y28" s="2"/>
      <c r="Z28" s="7">
        <f t="shared" si="15"/>
        <v>-6.6991346894395828E-2</v>
      </c>
    </row>
    <row r="29" spans="1:26" s="24" customFormat="1" hidden="1" outlineLevel="2" x14ac:dyDescent="0.3">
      <c r="A29" s="27"/>
      <c r="B29" s="11" t="str">
        <f>CONCATENATE("          ", "6007", " - ", "STUDENT HOURLY")</f>
        <v xml:space="preserve">          6007 - STUDENT HOURLY</v>
      </c>
      <c r="C29" s="11"/>
      <c r="D29" s="6"/>
      <c r="E29" s="2"/>
      <c r="F29" s="7">
        <f t="shared" si="8"/>
        <v>0</v>
      </c>
      <c r="G29" s="2"/>
      <c r="H29" s="6"/>
      <c r="I29" s="2"/>
      <c r="J29" s="7">
        <f t="shared" si="9"/>
        <v>0</v>
      </c>
      <c r="K29" s="2"/>
      <c r="L29" s="6">
        <f t="shared" si="10"/>
        <v>0</v>
      </c>
      <c r="M29" s="2"/>
      <c r="N29" s="7">
        <f t="shared" si="11"/>
        <v>0</v>
      </c>
      <c r="O29" s="11"/>
      <c r="P29" s="6">
        <v>0</v>
      </c>
      <c r="Q29" s="2"/>
      <c r="R29" s="7">
        <f t="shared" si="12"/>
        <v>0</v>
      </c>
      <c r="S29" s="2"/>
      <c r="T29" s="6">
        <v>0</v>
      </c>
      <c r="U29" s="2"/>
      <c r="V29" s="7">
        <f t="shared" si="13"/>
        <v>0</v>
      </c>
      <c r="W29" s="2"/>
      <c r="X29" s="6">
        <f t="shared" si="14"/>
        <v>0</v>
      </c>
      <c r="Y29" s="2"/>
      <c r="Z29" s="7">
        <f t="shared" si="15"/>
        <v>0</v>
      </c>
    </row>
    <row r="30" spans="1:26" s="24" customFormat="1" hidden="1" outlineLevel="2" x14ac:dyDescent="0.3">
      <c r="A30" s="27"/>
      <c r="B30" s="11" t="str">
        <f>CONCATENATE("          ", "6008", " - ", "STUDENT HOURLY-FICA EXEMPT")</f>
        <v xml:space="preserve">          6008 - STUDENT HOURLY-FICA EXEMPT</v>
      </c>
      <c r="C30" s="11"/>
      <c r="D30" s="6">
        <v>2057.38</v>
      </c>
      <c r="E30" s="2"/>
      <c r="F30" s="7">
        <f t="shared" si="8"/>
        <v>0</v>
      </c>
      <c r="G30" s="2"/>
      <c r="H30" s="6">
        <v>1162.6199999999999</v>
      </c>
      <c r="I30" s="2"/>
      <c r="J30" s="7">
        <f t="shared" si="9"/>
        <v>0</v>
      </c>
      <c r="K30" s="2"/>
      <c r="L30" s="6">
        <f t="shared" si="10"/>
        <v>894.76000000000022</v>
      </c>
      <c r="M30" s="2"/>
      <c r="N30" s="7">
        <f t="shared" si="11"/>
        <v>0.76960657824568668</v>
      </c>
      <c r="O30" s="11"/>
      <c r="P30" s="6">
        <v>9265.6299999999992</v>
      </c>
      <c r="Q30" s="2"/>
      <c r="R30" s="7">
        <f t="shared" si="12"/>
        <v>0</v>
      </c>
      <c r="S30" s="2"/>
      <c r="T30" s="6">
        <v>7123.58</v>
      </c>
      <c r="U30" s="2"/>
      <c r="V30" s="7">
        <f t="shared" si="13"/>
        <v>0</v>
      </c>
      <c r="W30" s="2"/>
      <c r="X30" s="6">
        <f t="shared" si="14"/>
        <v>2142.0499999999993</v>
      </c>
      <c r="Y30" s="2"/>
      <c r="Z30" s="7">
        <f t="shared" si="15"/>
        <v>0.30069852517975504</v>
      </c>
    </row>
    <row r="31" spans="1:26" s="29" customFormat="1" outlineLevel="1" collapsed="1" x14ac:dyDescent="0.3">
      <c r="A31" s="28"/>
      <c r="B31" s="14" t="str">
        <f>CONCATENATE("     ","Advertising/Promo                                 ")</f>
        <v xml:space="preserve">     Advertising/Promo                                 </v>
      </c>
      <c r="C31" s="14"/>
      <c r="D31" s="1">
        <f>SUM(OSRRefD22_2x_0)</f>
        <v>346.42</v>
      </c>
      <c r="E31" s="1"/>
      <c r="F31" s="5">
        <f t="shared" ref="F31:F40" si="16">IF(D$12=0,0,D31/D$12)</f>
        <v>0</v>
      </c>
      <c r="G31" s="1"/>
      <c r="H31" s="1">
        <f>SUM(OSRRefH22_2x_0)</f>
        <v>173.21</v>
      </c>
      <c r="I31" s="1"/>
      <c r="J31" s="5">
        <f t="shared" ref="J31:J40" si="17">IF(H$12=0,0,H31/H$12)</f>
        <v>0</v>
      </c>
      <c r="K31" s="1"/>
      <c r="L31" s="1">
        <f t="shared" ref="L31:L40" si="18">+D31-H31</f>
        <v>173.21</v>
      </c>
      <c r="M31" s="1"/>
      <c r="N31" s="5">
        <f t="shared" ref="N31:N40" si="19">IF(H31=0,0,L31/H31)</f>
        <v>1</v>
      </c>
      <c r="O31" s="14"/>
      <c r="P31" s="1">
        <f>SUM(OSRRefP22_2x_0)</f>
        <v>1092.8599999999999</v>
      </c>
      <c r="Q31" s="1"/>
      <c r="R31" s="5">
        <f t="shared" ref="R31:R40" si="20">IF(P$12=0,0,P31/P$12)</f>
        <v>0</v>
      </c>
      <c r="S31" s="1"/>
      <c r="T31" s="1">
        <f>SUM(OSRRefT22_2x_0)</f>
        <v>692.84</v>
      </c>
      <c r="U31" s="1"/>
      <c r="V31" s="5">
        <f t="shared" ref="V31:V40" si="21">IF(T$12=0,0,T31/T$12)</f>
        <v>0</v>
      </c>
      <c r="W31" s="1"/>
      <c r="X31" s="1">
        <f t="shared" ref="X31:X40" si="22">+P31-T31</f>
        <v>400.01999999999987</v>
      </c>
      <c r="Y31" s="1"/>
      <c r="Z31" s="5">
        <f t="shared" ref="Z31:Z40" si="23">IF(T31=0,0,X31/T31)</f>
        <v>0.57736273887188938</v>
      </c>
    </row>
    <row r="32" spans="1:26" s="24" customFormat="1" hidden="1" outlineLevel="2" x14ac:dyDescent="0.3">
      <c r="A32" s="27"/>
      <c r="B32" s="11" t="str">
        <f>CONCATENATE("          ", "6362", " - ", "ADVERTISING EXPENSE")</f>
        <v xml:space="preserve">          6362 - ADVERTISING EXPENSE</v>
      </c>
      <c r="C32" s="11"/>
      <c r="D32" s="6">
        <v>346.42</v>
      </c>
      <c r="E32" s="2"/>
      <c r="F32" s="7">
        <f t="shared" si="16"/>
        <v>0</v>
      </c>
      <c r="G32" s="2"/>
      <c r="H32" s="6">
        <v>173.21</v>
      </c>
      <c r="I32" s="2"/>
      <c r="J32" s="7">
        <f t="shared" si="17"/>
        <v>0</v>
      </c>
      <c r="K32" s="2"/>
      <c r="L32" s="6">
        <f t="shared" si="18"/>
        <v>173.21</v>
      </c>
      <c r="M32" s="2"/>
      <c r="N32" s="7">
        <f t="shared" si="19"/>
        <v>1</v>
      </c>
      <c r="O32" s="11"/>
      <c r="P32" s="6">
        <v>1092.8599999999999</v>
      </c>
      <c r="Q32" s="2"/>
      <c r="R32" s="7">
        <f t="shared" si="20"/>
        <v>0</v>
      </c>
      <c r="S32" s="2"/>
      <c r="T32" s="6">
        <v>692.84</v>
      </c>
      <c r="U32" s="2"/>
      <c r="V32" s="7">
        <f t="shared" si="21"/>
        <v>0</v>
      </c>
      <c r="W32" s="2"/>
      <c r="X32" s="6">
        <f t="shared" si="22"/>
        <v>400.01999999999987</v>
      </c>
      <c r="Y32" s="2"/>
      <c r="Z32" s="7">
        <f t="shared" si="23"/>
        <v>0.57736273887188938</v>
      </c>
    </row>
    <row r="33" spans="1:26" s="29" customFormat="1" outlineLevel="1" collapsed="1" x14ac:dyDescent="0.3">
      <c r="A33" s="28"/>
      <c r="B33" s="14" t="str">
        <f>CONCATENATE("     ","Depreciation                                      ")</f>
        <v xml:space="preserve">     Depreciation                                      </v>
      </c>
      <c r="C33" s="14"/>
      <c r="D33" s="1">
        <f>SUM(OSRRefD22_3x_0)</f>
        <v>0</v>
      </c>
      <c r="E33" s="1"/>
      <c r="F33" s="5">
        <f t="shared" si="16"/>
        <v>0</v>
      </c>
      <c r="G33" s="1"/>
      <c r="H33" s="1">
        <f>SUM(OSRRefH22_3x_0)</f>
        <v>271.27</v>
      </c>
      <c r="I33" s="1"/>
      <c r="J33" s="5">
        <f t="shared" si="17"/>
        <v>0</v>
      </c>
      <c r="K33" s="1"/>
      <c r="L33" s="1">
        <f t="shared" si="18"/>
        <v>-271.27</v>
      </c>
      <c r="M33" s="1"/>
      <c r="N33" s="5">
        <f t="shared" si="19"/>
        <v>-1</v>
      </c>
      <c r="O33" s="14"/>
      <c r="P33" s="1">
        <f>SUM(OSRRefP22_3x_0)</f>
        <v>0</v>
      </c>
      <c r="Q33" s="1"/>
      <c r="R33" s="5">
        <f t="shared" si="20"/>
        <v>0</v>
      </c>
      <c r="S33" s="1"/>
      <c r="T33" s="1">
        <f>SUM(OSRRefT22_3x_0)</f>
        <v>1356.35</v>
      </c>
      <c r="U33" s="1"/>
      <c r="V33" s="5">
        <f t="shared" si="21"/>
        <v>0</v>
      </c>
      <c r="W33" s="1"/>
      <c r="X33" s="1">
        <f t="shared" si="22"/>
        <v>-1356.35</v>
      </c>
      <c r="Y33" s="1"/>
      <c r="Z33" s="5">
        <f t="shared" si="23"/>
        <v>-1</v>
      </c>
    </row>
    <row r="34" spans="1:26" s="24" customFormat="1" hidden="1" outlineLevel="2" x14ac:dyDescent="0.3">
      <c r="A34" s="27"/>
      <c r="B34" s="11" t="str">
        <f>CONCATENATE("          ", "6322", " - ", "EQUIPMENT DEPRECIATION EXPENSE")</f>
        <v xml:space="preserve">          6322 - EQUIPMENT DEPRECIATION EXPENSE</v>
      </c>
      <c r="C34" s="11"/>
      <c r="D34" s="6"/>
      <c r="E34" s="2"/>
      <c r="F34" s="7">
        <f t="shared" si="16"/>
        <v>0</v>
      </c>
      <c r="G34" s="2"/>
      <c r="H34" s="6">
        <v>271.27</v>
      </c>
      <c r="I34" s="2"/>
      <c r="J34" s="7">
        <f t="shared" si="17"/>
        <v>0</v>
      </c>
      <c r="K34" s="2"/>
      <c r="L34" s="6">
        <f t="shared" si="18"/>
        <v>-271.27</v>
      </c>
      <c r="M34" s="2"/>
      <c r="N34" s="7">
        <f t="shared" si="19"/>
        <v>-1</v>
      </c>
      <c r="O34" s="11"/>
      <c r="P34" s="6"/>
      <c r="Q34" s="2"/>
      <c r="R34" s="7">
        <f t="shared" si="20"/>
        <v>0</v>
      </c>
      <c r="S34" s="2"/>
      <c r="T34" s="6">
        <v>1356.35</v>
      </c>
      <c r="U34" s="2"/>
      <c r="V34" s="7">
        <f t="shared" si="21"/>
        <v>0</v>
      </c>
      <c r="W34" s="2"/>
      <c r="X34" s="6">
        <f t="shared" si="22"/>
        <v>-1356.35</v>
      </c>
      <c r="Y34" s="2"/>
      <c r="Z34" s="7">
        <f t="shared" si="23"/>
        <v>-1</v>
      </c>
    </row>
    <row r="35" spans="1:26" s="29" customFormat="1" outlineLevel="1" collapsed="1" x14ac:dyDescent="0.3">
      <c r="A35" s="28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SUM(OSRRefD22_4x_0)</f>
        <v>0</v>
      </c>
      <c r="E35" s="1"/>
      <c r="F35" s="5">
        <f t="shared" si="16"/>
        <v>0</v>
      </c>
      <c r="G35" s="1"/>
      <c r="H35" s="1">
        <f>SUM(OSRRefH22_4x_0)</f>
        <v>0</v>
      </c>
      <c r="I35" s="1"/>
      <c r="J35" s="5">
        <f t="shared" si="17"/>
        <v>0</v>
      </c>
      <c r="K35" s="1"/>
      <c r="L35" s="1">
        <f t="shared" si="18"/>
        <v>0</v>
      </c>
      <c r="M35" s="1"/>
      <c r="N35" s="5">
        <f t="shared" si="19"/>
        <v>0</v>
      </c>
      <c r="O35" s="14"/>
      <c r="P35" s="1">
        <f>SUM(OSRRefP22_4x_0)</f>
        <v>63.36</v>
      </c>
      <c r="Q35" s="1"/>
      <c r="R35" s="5">
        <f t="shared" si="20"/>
        <v>0</v>
      </c>
      <c r="S35" s="1"/>
      <c r="T35" s="1">
        <f>SUM(OSRRefT22_4x_0)</f>
        <v>0</v>
      </c>
      <c r="U35" s="1"/>
      <c r="V35" s="5">
        <f t="shared" si="21"/>
        <v>0</v>
      </c>
      <c r="W35" s="1"/>
      <c r="X35" s="1">
        <f t="shared" si="22"/>
        <v>63.36</v>
      </c>
      <c r="Y35" s="1"/>
      <c r="Z35" s="5">
        <f t="shared" si="23"/>
        <v>0</v>
      </c>
    </row>
    <row r="36" spans="1:26" s="24" customFormat="1" hidden="1" outlineLevel="2" x14ac:dyDescent="0.3">
      <c r="A36" s="27"/>
      <c r="B36" s="11" t="str">
        <f>CONCATENATE("          ", "6375", " - ", "OUTSIDE REPAIRS &amp; MAINTENANCE")</f>
        <v xml:space="preserve">          6375 - OUTSIDE REPAIRS &amp; MAINTENANCE</v>
      </c>
      <c r="C36" s="11"/>
      <c r="D36" s="6"/>
      <c r="E36" s="2"/>
      <c r="F36" s="7">
        <f t="shared" si="16"/>
        <v>0</v>
      </c>
      <c r="G36" s="2"/>
      <c r="H36" s="6"/>
      <c r="I36" s="2"/>
      <c r="J36" s="7">
        <f t="shared" si="17"/>
        <v>0</v>
      </c>
      <c r="K36" s="2"/>
      <c r="L36" s="6">
        <f t="shared" si="18"/>
        <v>0</v>
      </c>
      <c r="M36" s="2"/>
      <c r="N36" s="7">
        <f t="shared" si="19"/>
        <v>0</v>
      </c>
      <c r="O36" s="11"/>
      <c r="P36" s="6">
        <v>63.36</v>
      </c>
      <c r="Q36" s="2"/>
      <c r="R36" s="7">
        <f t="shared" si="20"/>
        <v>0</v>
      </c>
      <c r="S36" s="2"/>
      <c r="T36" s="6"/>
      <c r="U36" s="2"/>
      <c r="V36" s="7">
        <f t="shared" si="21"/>
        <v>0</v>
      </c>
      <c r="W36" s="2"/>
      <c r="X36" s="6">
        <f t="shared" si="22"/>
        <v>63.36</v>
      </c>
      <c r="Y36" s="2"/>
      <c r="Z36" s="7">
        <f t="shared" si="23"/>
        <v>0</v>
      </c>
    </row>
    <row r="37" spans="1:26" s="29" customFormat="1" outlineLevel="1" collapsed="1" x14ac:dyDescent="0.3">
      <c r="A37" s="28"/>
      <c r="B37" s="14" t="str">
        <f>CONCATENATE("     ","Supplies                                          ")</f>
        <v xml:space="preserve">     Supplies                                          </v>
      </c>
      <c r="C37" s="14"/>
      <c r="D37" s="1">
        <f>SUM(OSRRefD22_5x_0)</f>
        <v>0</v>
      </c>
      <c r="E37" s="1"/>
      <c r="F37" s="5">
        <f t="shared" si="16"/>
        <v>0</v>
      </c>
      <c r="G37" s="1"/>
      <c r="H37" s="1">
        <f>SUM(OSRRefH22_5x_0)</f>
        <v>0</v>
      </c>
      <c r="I37" s="1"/>
      <c r="J37" s="5">
        <f t="shared" si="17"/>
        <v>0</v>
      </c>
      <c r="K37" s="1"/>
      <c r="L37" s="1">
        <f t="shared" si="18"/>
        <v>0</v>
      </c>
      <c r="M37" s="1"/>
      <c r="N37" s="5">
        <f t="shared" si="19"/>
        <v>0</v>
      </c>
      <c r="O37" s="14"/>
      <c r="P37" s="1">
        <f>SUM(OSRRefP22_5x_0)</f>
        <v>4.5</v>
      </c>
      <c r="Q37" s="1"/>
      <c r="R37" s="5">
        <f t="shared" si="20"/>
        <v>0</v>
      </c>
      <c r="S37" s="1"/>
      <c r="T37" s="1">
        <f>SUM(OSRRefT22_5x_0)</f>
        <v>0</v>
      </c>
      <c r="U37" s="1"/>
      <c r="V37" s="5">
        <f t="shared" si="21"/>
        <v>0</v>
      </c>
      <c r="W37" s="1"/>
      <c r="X37" s="1">
        <f t="shared" si="22"/>
        <v>4.5</v>
      </c>
      <c r="Y37" s="1"/>
      <c r="Z37" s="5">
        <f t="shared" si="23"/>
        <v>0</v>
      </c>
    </row>
    <row r="38" spans="1:26" s="24" customFormat="1" hidden="1" outlineLevel="2" x14ac:dyDescent="0.3">
      <c r="A38" s="27"/>
      <c r="B38" s="11" t="str">
        <f>CONCATENATE("          ", "6241", " - ", "OFFICE EXPENSE")</f>
        <v xml:space="preserve">          6241 - OFFICE EXPENSE</v>
      </c>
      <c r="C38" s="11"/>
      <c r="D38" s="6"/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0</v>
      </c>
      <c r="M38" s="2"/>
      <c r="N38" s="7">
        <f t="shared" si="19"/>
        <v>0</v>
      </c>
      <c r="O38" s="11"/>
      <c r="P38" s="6">
        <v>4.5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4.5</v>
      </c>
      <c r="Y38" s="2"/>
      <c r="Z38" s="7">
        <f t="shared" si="23"/>
        <v>0</v>
      </c>
    </row>
    <row r="39" spans="1:26" s="29" customFormat="1" outlineLevel="1" collapsed="1" x14ac:dyDescent="0.3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36</v>
      </c>
      <c r="E39" s="1"/>
      <c r="F39" s="5">
        <f t="shared" si="16"/>
        <v>0</v>
      </c>
      <c r="G39" s="1"/>
      <c r="H39" s="1">
        <f>SUM(OSRRefH22_6x_0)</f>
        <v>36</v>
      </c>
      <c r="I39" s="1"/>
      <c r="J39" s="5">
        <f t="shared" si="17"/>
        <v>0</v>
      </c>
      <c r="K39" s="1"/>
      <c r="L39" s="1">
        <f t="shared" si="18"/>
        <v>0</v>
      </c>
      <c r="M39" s="1"/>
      <c r="N39" s="5">
        <f t="shared" si="19"/>
        <v>0</v>
      </c>
      <c r="O39" s="14"/>
      <c r="P39" s="1">
        <f>SUM(OSRRefP22_6x_0)</f>
        <v>252</v>
      </c>
      <c r="Q39" s="1"/>
      <c r="R39" s="5">
        <f t="shared" si="20"/>
        <v>0</v>
      </c>
      <c r="S39" s="1"/>
      <c r="T39" s="1">
        <f>SUM(OSRRefT22_6x_0)</f>
        <v>144</v>
      </c>
      <c r="U39" s="1"/>
      <c r="V39" s="5">
        <f t="shared" si="21"/>
        <v>0</v>
      </c>
      <c r="W39" s="1"/>
      <c r="X39" s="1">
        <f t="shared" si="22"/>
        <v>108</v>
      </c>
      <c r="Y39" s="1"/>
      <c r="Z39" s="5">
        <f t="shared" si="23"/>
        <v>0.75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6">
        <v>36</v>
      </c>
      <c r="E40" s="2"/>
      <c r="F40" s="7">
        <f t="shared" si="16"/>
        <v>0</v>
      </c>
      <c r="G40" s="2"/>
      <c r="H40" s="6">
        <v>36</v>
      </c>
      <c r="I40" s="2"/>
      <c r="J40" s="7">
        <f t="shared" si="17"/>
        <v>0</v>
      </c>
      <c r="K40" s="2"/>
      <c r="L40" s="6">
        <f t="shared" si="18"/>
        <v>0</v>
      </c>
      <c r="M40" s="2"/>
      <c r="N40" s="7">
        <f t="shared" si="19"/>
        <v>0</v>
      </c>
      <c r="O40" s="11"/>
      <c r="P40" s="6">
        <v>252</v>
      </c>
      <c r="Q40" s="2"/>
      <c r="R40" s="7">
        <f t="shared" si="20"/>
        <v>0</v>
      </c>
      <c r="S40" s="2"/>
      <c r="T40" s="6">
        <v>144</v>
      </c>
      <c r="U40" s="2"/>
      <c r="V40" s="7">
        <f t="shared" si="21"/>
        <v>0</v>
      </c>
      <c r="W40" s="2"/>
      <c r="X40" s="6">
        <f t="shared" si="22"/>
        <v>108</v>
      </c>
      <c r="Y40" s="2"/>
      <c r="Z40" s="7">
        <f t="shared" si="23"/>
        <v>0.75</v>
      </c>
    </row>
    <row r="41" spans="1:26" s="62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5" t="s">
        <v>276</v>
      </c>
      <c r="C44" s="25"/>
      <c r="D44" s="21">
        <f>+D16-D18+D42</f>
        <v>-9325.01</v>
      </c>
      <c r="E44" s="13"/>
      <c r="F44" s="22">
        <f>IF(D$12=0,0,D44/D$12)</f>
        <v>0</v>
      </c>
      <c r="G44" s="13"/>
      <c r="H44" s="21">
        <f>+H16-H18+H42</f>
        <v>-7104.2199999999993</v>
      </c>
      <c r="I44" s="13"/>
      <c r="J44" s="22">
        <f>IF(H$12=0,0,H44/H$12)</f>
        <v>0</v>
      </c>
      <c r="K44" s="16"/>
      <c r="L44" s="21">
        <f>+D44-H44</f>
        <v>-2220.7900000000009</v>
      </c>
      <c r="M44" s="16"/>
      <c r="N44" s="22">
        <f>IF(H44=0,0,L44/H44)</f>
        <v>0.31260152416451081</v>
      </c>
      <c r="O44" s="26"/>
      <c r="P44" s="21">
        <f>+P16-P18+P42</f>
        <v>-45216.119999999995</v>
      </c>
      <c r="Q44" s="13"/>
      <c r="R44" s="22">
        <f>IF(P$12=0,0,P44/P$12)</f>
        <v>0</v>
      </c>
      <c r="S44" s="13"/>
      <c r="T44" s="21">
        <f>+T16-T18+T42</f>
        <v>-43759.709999999992</v>
      </c>
      <c r="U44" s="13"/>
      <c r="V44" s="22">
        <f>IF(T$12=0,0,T44/T$12)</f>
        <v>0</v>
      </c>
      <c r="W44" s="16"/>
      <c r="X44" s="21">
        <f>+P44-T44</f>
        <v>-1456.4100000000035</v>
      </c>
      <c r="Y44" s="16"/>
      <c r="Z44" s="22">
        <f>IF(T44=0,0,X44/T44)</f>
        <v>3.3281984729789202E-2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5" t="s">
        <v>125</v>
      </c>
      <c r="C48" s="25"/>
      <c r="D48" s="35">
        <f>+D44-D46</f>
        <v>-9325.01</v>
      </c>
      <c r="E48" s="13"/>
      <c r="F48" s="31">
        <f>IF(D$12=0,0,D48/D$12)</f>
        <v>0</v>
      </c>
      <c r="G48" s="13"/>
      <c r="H48" s="35">
        <f>+H44-H46</f>
        <v>-7104.2199999999993</v>
      </c>
      <c r="I48" s="13"/>
      <c r="J48" s="31">
        <f>IF(H$12=0,0,H48/H$12)</f>
        <v>0</v>
      </c>
      <c r="K48" s="16"/>
      <c r="L48" s="35">
        <f>D48-H48</f>
        <v>-2220.7900000000009</v>
      </c>
      <c r="M48" s="16"/>
      <c r="N48" s="31">
        <f>IF(H48=0,0,L48/H48)</f>
        <v>0.31260152416451081</v>
      </c>
      <c r="O48" s="26"/>
      <c r="P48" s="35">
        <f>+P44-P46</f>
        <v>-45216.119999999995</v>
      </c>
      <c r="Q48" s="13"/>
      <c r="R48" s="31">
        <f>IF(P$12=0,0,P48/P$12)</f>
        <v>0</v>
      </c>
      <c r="S48" s="13"/>
      <c r="T48" s="35">
        <f>+T44-T46</f>
        <v>-43759.709999999992</v>
      </c>
      <c r="U48" s="13"/>
      <c r="V48" s="31">
        <f>IF(T$12=0,0,T48/T$12)</f>
        <v>0</v>
      </c>
      <c r="W48" s="16"/>
      <c r="X48" s="35">
        <f>P48-T48</f>
        <v>-1456.4100000000035</v>
      </c>
      <c r="Y48" s="16"/>
      <c r="Z48" s="31">
        <f>IF(T48=0,0,X48/T48)</f>
        <v>3.3281984729789202E-2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293</v>
      </c>
      <c r="C51" s="25"/>
      <c r="D51" s="36">
        <f>SUM(D48:D50)</f>
        <v>-9325.01</v>
      </c>
      <c r="E51" s="13"/>
      <c r="F51" s="33">
        <f>IF(D$12=0,0,D51/D$12)</f>
        <v>0</v>
      </c>
      <c r="G51" s="13"/>
      <c r="H51" s="36">
        <f>SUM(H48:H50)</f>
        <v>-7104.2199999999993</v>
      </c>
      <c r="I51" s="13"/>
      <c r="J51" s="33">
        <f>IF(H$12=0,0,H51/H$12)</f>
        <v>0</v>
      </c>
      <c r="K51" s="16"/>
      <c r="L51" s="36">
        <f>+D51-H51</f>
        <v>-2220.7900000000009</v>
      </c>
      <c r="M51" s="16"/>
      <c r="N51" s="33">
        <f>IF(H51=0,0,L51/H51)</f>
        <v>0.31260152416451081</v>
      </c>
      <c r="O51" s="26"/>
      <c r="P51" s="36">
        <f>SUM(P48:P50)</f>
        <v>-45216.119999999995</v>
      </c>
      <c r="Q51" s="13"/>
      <c r="R51" s="33">
        <f>IF(P$12=0,0,P51/P$12)</f>
        <v>0</v>
      </c>
      <c r="S51" s="13"/>
      <c r="T51" s="36">
        <f>SUM(T48:T50)</f>
        <v>-43759.709999999992</v>
      </c>
      <c r="U51" s="13"/>
      <c r="V51" s="33">
        <f>IF(T$12=0,0,T51/T$12)</f>
        <v>0</v>
      </c>
      <c r="W51" s="16"/>
      <c r="X51" s="36">
        <f>+P51-T51</f>
        <v>-1456.4100000000035</v>
      </c>
      <c r="Y51" s="16"/>
      <c r="Z51" s="33">
        <f>IF(T51=0,0,X51/T51)</f>
        <v>3.3281984729789202E-2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3">
      <c r="A53" s="9"/>
      <c r="B53" s="52">
        <v>44543.765594675926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3">
      <c r="A54" s="9"/>
      <c r="B54" s="59" t="s">
        <v>56</v>
      </c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61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outlinePr summaryBelow="0" summaryRight="0"/>
  </sheetPr>
  <dimension ref="A2:Z23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106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310059.67000000004</v>
      </c>
      <c r="E12" s="4"/>
      <c r="F12" s="12"/>
      <c r="G12" s="4"/>
      <c r="H12" s="4">
        <f>SUM(OSRRefH13x_0)</f>
        <v>110972.66000000003</v>
      </c>
      <c r="I12" s="4"/>
      <c r="J12" s="12"/>
      <c r="K12" s="4"/>
      <c r="L12" s="4">
        <f t="shared" ref="L12:L80" si="0">+D12-H12</f>
        <v>199087.01</v>
      </c>
      <c r="M12" s="4"/>
      <c r="N12" s="12">
        <f t="shared" ref="N12:N80" si="1">IF(H12=0,0,L12/H12)</f>
        <v>1.794018544747868</v>
      </c>
      <c r="O12" s="10"/>
      <c r="P12" s="4">
        <f>SUM(OSRRefP13x_0)</f>
        <v>3226836.83</v>
      </c>
      <c r="Q12" s="4"/>
      <c r="R12" s="12"/>
      <c r="S12" s="4"/>
      <c r="T12" s="4">
        <f>SUM(OSRRefT13x_0)</f>
        <v>2467569.39</v>
      </c>
      <c r="U12" s="4"/>
      <c r="V12" s="12"/>
      <c r="W12" s="4"/>
      <c r="X12" s="4">
        <f t="shared" ref="X12:X80" si="2">+P12-T12</f>
        <v>759267.44</v>
      </c>
      <c r="Y12" s="4"/>
      <c r="Z12" s="12">
        <f t="shared" ref="Z12:Z80" si="3">IF(T12=0,0,X12/T12)</f>
        <v>0.30769851623098626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--264894.44</f>
        <v>264894.44</v>
      </c>
      <c r="E13" s="2"/>
      <c r="F13" s="19"/>
      <c r="G13" s="2"/>
      <c r="H13" s="2">
        <f>-9538.33</f>
        <v>-9538.33</v>
      </c>
      <c r="I13" s="2"/>
      <c r="J13" s="19"/>
      <c r="K13" s="2"/>
      <c r="L13" s="2">
        <f t="shared" si="0"/>
        <v>274432.77</v>
      </c>
      <c r="M13" s="2"/>
      <c r="N13" s="19">
        <f t="shared" si="1"/>
        <v>-28.77157426929033</v>
      </c>
      <c r="O13" s="11"/>
      <c r="P13" s="2">
        <f>--2642725.14</f>
        <v>2642725.14</v>
      </c>
      <c r="Q13" s="2"/>
      <c r="R13" s="19"/>
      <c r="S13" s="2"/>
      <c r="T13" s="2">
        <f>-56998.65</f>
        <v>-56998.65</v>
      </c>
      <c r="U13" s="2"/>
      <c r="V13" s="19"/>
      <c r="W13" s="2"/>
      <c r="X13" s="2">
        <f t="shared" si="2"/>
        <v>2699723.79</v>
      </c>
      <c r="Y13" s="2"/>
      <c r="Z13" s="19">
        <f t="shared" si="3"/>
        <v>-47.364697058614546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2" si="4">0</f>
        <v>0</v>
      </c>
      <c r="E14" s="2"/>
      <c r="F14" s="19"/>
      <c r="G14" s="2"/>
      <c r="H14" s="2">
        <f>--6816.45</f>
        <v>6816.45</v>
      </c>
      <c r="I14" s="2"/>
      <c r="J14" s="19"/>
      <c r="K14" s="2"/>
      <c r="L14" s="2">
        <f t="shared" si="0"/>
        <v>-6816.45</v>
      </c>
      <c r="M14" s="2"/>
      <c r="N14" s="19">
        <f t="shared" si="1"/>
        <v>-1</v>
      </c>
      <c r="O14" s="11"/>
      <c r="P14" s="2">
        <f t="shared" ref="P14:P32" si="5">0</f>
        <v>0</v>
      </c>
      <c r="Q14" s="2"/>
      <c r="R14" s="19"/>
      <c r="S14" s="2"/>
      <c r="T14" s="2">
        <f>--719144.02</f>
        <v>719144.02</v>
      </c>
      <c r="U14" s="2"/>
      <c r="V14" s="19"/>
      <c r="W14" s="2"/>
      <c r="X14" s="2">
        <f t="shared" si="2"/>
        <v>-719144.02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--1492.1</f>
        <v>1492.1</v>
      </c>
      <c r="I15" s="2"/>
      <c r="J15" s="19"/>
      <c r="K15" s="2"/>
      <c r="L15" s="2">
        <f t="shared" si="0"/>
        <v>-1492.1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--320631.62</f>
        <v>320631.62</v>
      </c>
      <c r="U15" s="2"/>
      <c r="V15" s="19"/>
      <c r="W15" s="2"/>
      <c r="X15" s="2">
        <f t="shared" si="2"/>
        <v>-320631.62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--18.37</f>
        <v>18.37</v>
      </c>
      <c r="I21" s="2"/>
      <c r="J21" s="19"/>
      <c r="K21" s="2"/>
      <c r="L21" s="2">
        <f t="shared" si="0"/>
        <v>-18.37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--297.2</f>
        <v>297.2</v>
      </c>
      <c r="U21" s="2"/>
      <c r="V21" s="19"/>
      <c r="W21" s="2"/>
      <c r="X21" s="2">
        <f t="shared" si="2"/>
        <v>-297.2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--1716.97</f>
        <v>1716.97</v>
      </c>
      <c r="I22" s="2"/>
      <c r="J22" s="19"/>
      <c r="K22" s="2"/>
      <c r="L22" s="2">
        <f t="shared" si="0"/>
        <v>-1716.97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--36720.47</f>
        <v>36720.47</v>
      </c>
      <c r="U22" s="2"/>
      <c r="V22" s="19"/>
      <c r="W22" s="2"/>
      <c r="X22" s="2">
        <f t="shared" si="2"/>
        <v>-36720.47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--1730.73</f>
        <v>1730.73</v>
      </c>
      <c r="I23" s="2"/>
      <c r="J23" s="19"/>
      <c r="K23" s="2"/>
      <c r="L23" s="2">
        <f t="shared" si="0"/>
        <v>-1730.73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--15999.58</f>
        <v>15999.58</v>
      </c>
      <c r="U23" s="2"/>
      <c r="V23" s="19"/>
      <c r="W23" s="2"/>
      <c r="X23" s="2">
        <f t="shared" si="2"/>
        <v>-15999.58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--194.65</f>
        <v>194.65</v>
      </c>
      <c r="I24" s="2"/>
      <c r="J24" s="19"/>
      <c r="K24" s="2"/>
      <c r="L24" s="2">
        <f t="shared" si="0"/>
        <v>-194.65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--1862.61</f>
        <v>1862.61</v>
      </c>
      <c r="U24" s="2"/>
      <c r="V24" s="19"/>
      <c r="W24" s="2"/>
      <c r="X24" s="2">
        <f t="shared" si="2"/>
        <v>-1862.61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"4032", " - ", "TAXABLE SALES-JUICE")</f>
        <v xml:space="preserve">          4032 - TAXABLE SALES-JUICE</v>
      </c>
      <c r="C25" s="11"/>
      <c r="D25" s="2">
        <f t="shared" si="4"/>
        <v>0</v>
      </c>
      <c r="E25" s="2"/>
      <c r="F25" s="19"/>
      <c r="G25" s="2"/>
      <c r="H25" s="2">
        <f t="shared" ref="H25:H26" si="8"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--444.59</f>
        <v>444.59</v>
      </c>
      <c r="U25" s="2"/>
      <c r="V25" s="19"/>
      <c r="W25" s="2"/>
      <c r="X25" s="2">
        <f t="shared" si="2"/>
        <v>-444.59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"4034", " - ", "TAXABLE SALES-SODA")</f>
        <v xml:space="preserve">          4034 - TAXABLE SALES-SODA</v>
      </c>
      <c r="C26" s="11"/>
      <c r="D26" s="2">
        <f t="shared" si="4"/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5"/>
        <v>0</v>
      </c>
      <c r="Q26" s="2"/>
      <c r="R26" s="19"/>
      <c r="S26" s="2"/>
      <c r="T26" s="2">
        <f>--6.78</f>
        <v>6.78</v>
      </c>
      <c r="U26" s="2"/>
      <c r="V26" s="19"/>
      <c r="W26" s="2"/>
      <c r="X26" s="2">
        <f t="shared" si="2"/>
        <v>-6.78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"4040", " - ", "TAXABLE SALES-LOGO CLOTHING")</f>
        <v xml:space="preserve">          4040 - TAXABLE SALES-LOGO CLOTHING</v>
      </c>
      <c r="C27" s="11"/>
      <c r="D27" s="2">
        <f t="shared" si="4"/>
        <v>0</v>
      </c>
      <c r="E27" s="2"/>
      <c r="F27" s="19"/>
      <c r="G27" s="2"/>
      <c r="H27" s="2">
        <f>--40927.79</f>
        <v>40927.79</v>
      </c>
      <c r="I27" s="2"/>
      <c r="J27" s="19"/>
      <c r="K27" s="2"/>
      <c r="L27" s="2">
        <f t="shared" si="0"/>
        <v>-40927.79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--423732.7</f>
        <v>423732.7</v>
      </c>
      <c r="U27" s="2"/>
      <c r="V27" s="19"/>
      <c r="W27" s="2"/>
      <c r="X27" s="2">
        <f t="shared" si="2"/>
        <v>-423732.7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"4041", " - ", "TAXABLE SALES-LOGO GIFTS")</f>
        <v xml:space="preserve">          4041 - TAXABLE SALES-LOGO GIFTS</v>
      </c>
      <c r="C28" s="11"/>
      <c r="D28" s="2">
        <f t="shared" si="4"/>
        <v>0</v>
      </c>
      <c r="E28" s="2"/>
      <c r="F28" s="19"/>
      <c r="G28" s="2"/>
      <c r="H28" s="2">
        <f>--12313.27</f>
        <v>12313.27</v>
      </c>
      <c r="I28" s="2"/>
      <c r="J28" s="19"/>
      <c r="K28" s="2"/>
      <c r="L28" s="2">
        <f t="shared" si="0"/>
        <v>-12313.27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--165400.49</f>
        <v>165400.49</v>
      </c>
      <c r="U28" s="2"/>
      <c r="V28" s="19"/>
      <c r="W28" s="2"/>
      <c r="X28" s="2">
        <f t="shared" si="2"/>
        <v>-165400.49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"4042", " - ", "TAXABLE SALES-EVERYDAY GIFTS")</f>
        <v xml:space="preserve">          4042 - TAXABLE SALES-EVERYDAY GIFTS</v>
      </c>
      <c r="C29" s="11"/>
      <c r="D29" s="2">
        <f t="shared" si="4"/>
        <v>0</v>
      </c>
      <c r="E29" s="2"/>
      <c r="F29" s="19"/>
      <c r="G29" s="2"/>
      <c r="H29" s="2">
        <f>--2095.44</f>
        <v>2095.44</v>
      </c>
      <c r="I29" s="2"/>
      <c r="J29" s="19"/>
      <c r="K29" s="2"/>
      <c r="L29" s="2">
        <f t="shared" si="0"/>
        <v>-2095.44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--56879.12</f>
        <v>56879.12</v>
      </c>
      <c r="U29" s="2"/>
      <c r="V29" s="19"/>
      <c r="W29" s="2"/>
      <c r="X29" s="2">
        <f t="shared" si="2"/>
        <v>-56879.12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"4043", " - ", "TAXABLE SALES-CARDS")</f>
        <v xml:space="preserve">          4043 - TAXABLE SALES-CARDS</v>
      </c>
      <c r="C30" s="11"/>
      <c r="D30" s="2">
        <f t="shared" si="4"/>
        <v>0</v>
      </c>
      <c r="E30" s="2"/>
      <c r="F30" s="19"/>
      <c r="G30" s="2"/>
      <c r="H30" s="2">
        <f>--16932.18</f>
        <v>16932.18</v>
      </c>
      <c r="I30" s="2"/>
      <c r="J30" s="19"/>
      <c r="K30" s="2"/>
      <c r="L30" s="2">
        <f t="shared" si="0"/>
        <v>-16932.18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--57178.22</f>
        <v>57178.22</v>
      </c>
      <c r="U30" s="2"/>
      <c r="V30" s="19"/>
      <c r="W30" s="2"/>
      <c r="X30" s="2">
        <f t="shared" si="2"/>
        <v>-57178.22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"4044", " - ", "TAXABLE SALES-ACCESSORIES")</f>
        <v xml:space="preserve">          4044 - TAXABLE SALES-ACCESSORIES</v>
      </c>
      <c r="C31" s="11"/>
      <c r="D31" s="2">
        <f t="shared" si="4"/>
        <v>0</v>
      </c>
      <c r="E31" s="2"/>
      <c r="F31" s="19"/>
      <c r="G31" s="2"/>
      <c r="H31" s="2">
        <f>--2517.35</f>
        <v>2517.35</v>
      </c>
      <c r="I31" s="2"/>
      <c r="J31" s="19"/>
      <c r="K31" s="2"/>
      <c r="L31" s="2">
        <f t="shared" si="0"/>
        <v>-2517.35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--15006.51</f>
        <v>15006.51</v>
      </c>
      <c r="U31" s="2"/>
      <c r="V31" s="19"/>
      <c r="W31" s="2"/>
      <c r="X31" s="2">
        <f t="shared" si="2"/>
        <v>-15006.51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"4045", " - ", "TAXABLE SALES-SPECIAL ORDERS")</f>
        <v xml:space="preserve">          4045 - TAXABLE SALES-SPECIAL ORDERS</v>
      </c>
      <c r="C32" s="11"/>
      <c r="D32" s="2">
        <f t="shared" si="4"/>
        <v>0</v>
      </c>
      <c r="E32" s="2"/>
      <c r="F32" s="19"/>
      <c r="G32" s="2"/>
      <c r="H32" s="2">
        <f>--11255.56</f>
        <v>11255.56</v>
      </c>
      <c r="I32" s="2"/>
      <c r="J32" s="19"/>
      <c r="K32" s="2"/>
      <c r="L32" s="2">
        <f t="shared" si="0"/>
        <v>-11255.56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--108212.17</f>
        <v>108212.17</v>
      </c>
      <c r="U32" s="2"/>
      <c r="V32" s="19"/>
      <c r="W32" s="2"/>
      <c r="X32" s="2">
        <f t="shared" si="2"/>
        <v>-108212.17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"4053", " - ", "TAXABLE SALES-FOOD")</f>
        <v xml:space="preserve">          4053 - TAXABLE SALES-FOOD</v>
      </c>
      <c r="C33" s="11"/>
      <c r="D33" s="2">
        <f>--84.35</f>
        <v>84.35</v>
      </c>
      <c r="E33" s="2"/>
      <c r="F33" s="19"/>
      <c r="G33" s="2"/>
      <c r="H33" s="2">
        <f t="shared" ref="H33:H35" si="9">0</f>
        <v>0</v>
      </c>
      <c r="I33" s="2"/>
      <c r="J33" s="19"/>
      <c r="K33" s="2"/>
      <c r="L33" s="2">
        <f t="shared" si="0"/>
        <v>84.35</v>
      </c>
      <c r="M33" s="2"/>
      <c r="N33" s="19">
        <f t="shared" si="1"/>
        <v>0</v>
      </c>
      <c r="O33" s="11"/>
      <c r="P33" s="2">
        <f>--627.97</f>
        <v>627.97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627.97</v>
      </c>
      <c r="Y33" s="2"/>
      <c r="Z33" s="19">
        <f t="shared" si="3"/>
        <v>0</v>
      </c>
    </row>
    <row r="34" spans="1:26" s="24" customFormat="1" hidden="1" outlineLevel="1" x14ac:dyDescent="0.3">
      <c r="A34" s="44"/>
      <c r="B34" s="11" t="str">
        <f>CONCATENATE("          ", "4081", " - ", "TAXABLE SALES-ELECTRONICS")</f>
        <v xml:space="preserve">          4081 - TAXABLE SALES-ELECTRONICS</v>
      </c>
      <c r="C34" s="11"/>
      <c r="D34" s="2">
        <f t="shared" ref="D34:D35" si="10">0</f>
        <v>0</v>
      </c>
      <c r="E34" s="2"/>
      <c r="F34" s="19"/>
      <c r="G34" s="2"/>
      <c r="H34" s="2">
        <f t="shared" si="9"/>
        <v>0</v>
      </c>
      <c r="I34" s="2"/>
      <c r="J34" s="19"/>
      <c r="K34" s="2"/>
      <c r="L34" s="2">
        <f t="shared" si="0"/>
        <v>0</v>
      </c>
      <c r="M34" s="2"/>
      <c r="N34" s="19">
        <f t="shared" si="1"/>
        <v>0</v>
      </c>
      <c r="O34" s="11"/>
      <c r="P34" s="2">
        <f t="shared" ref="P34:P35" si="11">0</f>
        <v>0</v>
      </c>
      <c r="Q34" s="2"/>
      <c r="R34" s="19"/>
      <c r="S34" s="2"/>
      <c r="T34" s="2">
        <f>--71.95</f>
        <v>71.95</v>
      </c>
      <c r="U34" s="2"/>
      <c r="V34" s="19"/>
      <c r="W34" s="2"/>
      <c r="X34" s="2">
        <f t="shared" si="2"/>
        <v>-71.95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"4083", " - ", "TAXABLE SALES-COMPUTER EQUIPME")</f>
        <v xml:space="preserve">          4083 - TAXABLE SALES-COMPUTER EQUIPME</v>
      </c>
      <c r="C35" s="11"/>
      <c r="D35" s="2">
        <f t="shared" si="10"/>
        <v>0</v>
      </c>
      <c r="E35" s="2"/>
      <c r="F35" s="19"/>
      <c r="G35" s="2"/>
      <c r="H35" s="2">
        <f t="shared" si="9"/>
        <v>0</v>
      </c>
      <c r="I35" s="2"/>
      <c r="J35" s="19"/>
      <c r="K35" s="2"/>
      <c r="L35" s="2">
        <f t="shared" si="0"/>
        <v>0</v>
      </c>
      <c r="M35" s="2"/>
      <c r="N35" s="19">
        <f t="shared" si="1"/>
        <v>0</v>
      </c>
      <c r="O35" s="11"/>
      <c r="P35" s="2">
        <f t="shared" si="11"/>
        <v>0</v>
      </c>
      <c r="Q35" s="2"/>
      <c r="R35" s="19"/>
      <c r="S35" s="2"/>
      <c r="T35" s="2">
        <f>--9.99</f>
        <v>9.99</v>
      </c>
      <c r="U35" s="2"/>
      <c r="V35" s="19"/>
      <c r="W35" s="2"/>
      <c r="X35" s="2">
        <f t="shared" si="2"/>
        <v>-9.99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"4100", " - ", "NON-TAXABLE SALES")</f>
        <v xml:space="preserve">          4100 - NON-TAXABLE SALES</v>
      </c>
      <c r="C36" s="11"/>
      <c r="D36" s="2">
        <f>--62408.96</f>
        <v>62408.959999999999</v>
      </c>
      <c r="E36" s="2"/>
      <c r="F36" s="19"/>
      <c r="G36" s="2"/>
      <c r="H36" s="2">
        <f>--1333.61</f>
        <v>1333.61</v>
      </c>
      <c r="I36" s="2"/>
      <c r="J36" s="19"/>
      <c r="K36" s="2"/>
      <c r="L36" s="2">
        <f t="shared" si="0"/>
        <v>61075.35</v>
      </c>
      <c r="M36" s="2"/>
      <c r="N36" s="19">
        <f t="shared" si="1"/>
        <v>45.797009620503751</v>
      </c>
      <c r="O36" s="11"/>
      <c r="P36" s="2">
        <f>--696611.79</f>
        <v>696611.79</v>
      </c>
      <c r="Q36" s="2"/>
      <c r="R36" s="19"/>
      <c r="S36" s="2"/>
      <c r="T36" s="2">
        <f>--165813.42</f>
        <v>165813.42000000001</v>
      </c>
      <c r="U36" s="2"/>
      <c r="V36" s="19"/>
      <c r="W36" s="2"/>
      <c r="X36" s="2">
        <f t="shared" si="2"/>
        <v>530798.37</v>
      </c>
      <c r="Y36" s="2"/>
      <c r="Z36" s="19">
        <f t="shared" si="3"/>
        <v>3.2011785897667386</v>
      </c>
    </row>
    <row r="37" spans="1:26" s="24" customFormat="1" hidden="1" outlineLevel="1" x14ac:dyDescent="0.3">
      <c r="A37" s="44"/>
      <c r="B37" s="11" t="str">
        <f>CONCATENATE("          ", "4101", " - ", "NON-TAXABLE SALES-NEW TEXT")</f>
        <v xml:space="preserve">          4101 - NON-TAXABLE SALES-NEW TEXT</v>
      </c>
      <c r="C37" s="11"/>
      <c r="D37" s="2">
        <f t="shared" ref="D37:D59" si="12">0</f>
        <v>0</v>
      </c>
      <c r="E37" s="2"/>
      <c r="F37" s="19"/>
      <c r="G37" s="2"/>
      <c r="H37" s="2">
        <f>--1270.83</f>
        <v>1270.83</v>
      </c>
      <c r="I37" s="2"/>
      <c r="J37" s="19"/>
      <c r="K37" s="2"/>
      <c r="L37" s="2">
        <f t="shared" si="0"/>
        <v>-1270.83</v>
      </c>
      <c r="M37" s="2"/>
      <c r="N37" s="19">
        <f t="shared" si="1"/>
        <v>-1</v>
      </c>
      <c r="O37" s="11"/>
      <c r="P37" s="2">
        <f t="shared" ref="P37:P59" si="13">0</f>
        <v>0</v>
      </c>
      <c r="Q37" s="2"/>
      <c r="R37" s="19"/>
      <c r="S37" s="2"/>
      <c r="T37" s="2">
        <f>--78935.72</f>
        <v>78935.72</v>
      </c>
      <c r="U37" s="2"/>
      <c r="V37" s="19"/>
      <c r="W37" s="2"/>
      <c r="X37" s="2">
        <f t="shared" si="2"/>
        <v>-78935.72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"4102", " - ", "NON-TAXABLE SALES-USED TEXT")</f>
        <v xml:space="preserve">          4102 - NON-TAXABLE SALES-USED TEXT</v>
      </c>
      <c r="C38" s="11"/>
      <c r="D38" s="2">
        <f t="shared" si="12"/>
        <v>0</v>
      </c>
      <c r="E38" s="2"/>
      <c r="F38" s="19"/>
      <c r="G38" s="2"/>
      <c r="H38" s="2">
        <f>--320.72</f>
        <v>320.72000000000003</v>
      </c>
      <c r="I38" s="2"/>
      <c r="J38" s="19"/>
      <c r="K38" s="2"/>
      <c r="L38" s="2">
        <f t="shared" si="0"/>
        <v>-320.72000000000003</v>
      </c>
      <c r="M38" s="2"/>
      <c r="N38" s="19">
        <f t="shared" si="1"/>
        <v>-1</v>
      </c>
      <c r="O38" s="11"/>
      <c r="P38" s="2">
        <f t="shared" si="13"/>
        <v>0</v>
      </c>
      <c r="Q38" s="2"/>
      <c r="R38" s="19"/>
      <c r="S38" s="2"/>
      <c r="T38" s="2">
        <f>--33033.19</f>
        <v>33033.19</v>
      </c>
      <c r="U38" s="2"/>
      <c r="V38" s="19"/>
      <c r="W38" s="2"/>
      <c r="X38" s="2">
        <f t="shared" si="2"/>
        <v>-33033.19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"4103", " - ", "NON-TAXABLE SALES-RENTAL TEXT")</f>
        <v xml:space="preserve">          4103 - NON-TAXABLE SALES-RENTAL TEXT</v>
      </c>
      <c r="C39" s="11"/>
      <c r="D39" s="2">
        <f t="shared" si="12"/>
        <v>0</v>
      </c>
      <c r="E39" s="2"/>
      <c r="F39" s="19"/>
      <c r="G39" s="2"/>
      <c r="H39" s="2">
        <f>0</f>
        <v>0</v>
      </c>
      <c r="I39" s="2"/>
      <c r="J39" s="19"/>
      <c r="K39" s="2"/>
      <c r="L39" s="2">
        <f t="shared" si="0"/>
        <v>0</v>
      </c>
      <c r="M39" s="2"/>
      <c r="N39" s="19">
        <f t="shared" si="1"/>
        <v>0</v>
      </c>
      <c r="O39" s="11"/>
      <c r="P39" s="2">
        <f t="shared" si="13"/>
        <v>0</v>
      </c>
      <c r="Q39" s="2"/>
      <c r="R39" s="19"/>
      <c r="S39" s="2"/>
      <c r="T39" s="2">
        <f>--284.97</f>
        <v>284.97000000000003</v>
      </c>
      <c r="U39" s="2"/>
      <c r="V39" s="19"/>
      <c r="W39" s="2"/>
      <c r="X39" s="2">
        <f t="shared" si="2"/>
        <v>-284.97000000000003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"4104", " - ", "NON-TAXABLE SALES-DIGITAL TEXT")</f>
        <v xml:space="preserve">          4104 - NON-TAXABLE SALES-DIGITAL TEXT</v>
      </c>
      <c r="C40" s="11"/>
      <c r="D40" s="2">
        <f t="shared" si="12"/>
        <v>0</v>
      </c>
      <c r="E40" s="2"/>
      <c r="F40" s="19"/>
      <c r="G40" s="2"/>
      <c r="H40" s="2">
        <f>--1414.19</f>
        <v>1414.19</v>
      </c>
      <c r="I40" s="2"/>
      <c r="J40" s="19"/>
      <c r="K40" s="2"/>
      <c r="L40" s="2">
        <f t="shared" si="0"/>
        <v>-1414.19</v>
      </c>
      <c r="M40" s="2"/>
      <c r="N40" s="19">
        <f t="shared" si="1"/>
        <v>-1</v>
      </c>
      <c r="O40" s="11"/>
      <c r="P40" s="2">
        <f t="shared" si="13"/>
        <v>0</v>
      </c>
      <c r="Q40" s="2"/>
      <c r="R40" s="19"/>
      <c r="S40" s="2"/>
      <c r="T40" s="2">
        <f>--294889.71</f>
        <v>294889.71000000002</v>
      </c>
      <c r="U40" s="2"/>
      <c r="V40" s="19"/>
      <c r="W40" s="2"/>
      <c r="X40" s="2">
        <f t="shared" si="2"/>
        <v>-294889.71000000002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"4113", " - ", "NON-TAXABLE SALES-TRADE BOOKS")</f>
        <v xml:space="preserve">          4113 - NON-TAXABLE SALES-TRADE BOOKS</v>
      </c>
      <c r="C41" s="11"/>
      <c r="D41" s="2">
        <f t="shared" si="12"/>
        <v>0</v>
      </c>
      <c r="E41" s="2"/>
      <c r="F41" s="19"/>
      <c r="G41" s="2"/>
      <c r="H41" s="2">
        <f>--630</f>
        <v>630</v>
      </c>
      <c r="I41" s="2"/>
      <c r="J41" s="19"/>
      <c r="K41" s="2"/>
      <c r="L41" s="2">
        <f t="shared" si="0"/>
        <v>-630</v>
      </c>
      <c r="M41" s="2"/>
      <c r="N41" s="19">
        <f t="shared" si="1"/>
        <v>-1</v>
      </c>
      <c r="O41" s="11"/>
      <c r="P41" s="2">
        <f t="shared" si="13"/>
        <v>0</v>
      </c>
      <c r="Q41" s="2"/>
      <c r="R41" s="19"/>
      <c r="S41" s="2"/>
      <c r="T41" s="2">
        <f>--2285.95</f>
        <v>2285.9499999999998</v>
      </c>
      <c r="U41" s="2"/>
      <c r="V41" s="19"/>
      <c r="W41" s="2"/>
      <c r="X41" s="2">
        <f t="shared" si="2"/>
        <v>-2285.9499999999998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"4118", " - ", "NON-TAXABLE SALES-STUDY GUIDES")</f>
        <v xml:space="preserve">          4118 - NON-TAXABLE SALES-STUDY GUIDES</v>
      </c>
      <c r="C42" s="11"/>
      <c r="D42" s="2">
        <f t="shared" si="12"/>
        <v>0</v>
      </c>
      <c r="E42" s="2"/>
      <c r="F42" s="19"/>
      <c r="G42" s="2"/>
      <c r="H42" s="2">
        <f>--27.8</f>
        <v>27.8</v>
      </c>
      <c r="I42" s="2"/>
      <c r="J42" s="19"/>
      <c r="K42" s="2"/>
      <c r="L42" s="2">
        <f t="shared" si="0"/>
        <v>-27.8</v>
      </c>
      <c r="M42" s="2"/>
      <c r="N42" s="19">
        <f t="shared" si="1"/>
        <v>-1</v>
      </c>
      <c r="O42" s="11"/>
      <c r="P42" s="2">
        <f t="shared" si="13"/>
        <v>0</v>
      </c>
      <c r="Q42" s="2"/>
      <c r="R42" s="19"/>
      <c r="S42" s="2"/>
      <c r="T42" s="2">
        <f>--233.43</f>
        <v>233.43</v>
      </c>
      <c r="U42" s="2"/>
      <c r="V42" s="19"/>
      <c r="W42" s="2"/>
      <c r="X42" s="2">
        <f t="shared" si="2"/>
        <v>-233.43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"4126", " - ", "NON-TAXABLE SALES-WRITING INST")</f>
        <v xml:space="preserve">          4126 - NON-TAXABLE SALES-WRITING INST</v>
      </c>
      <c r="C43" s="11"/>
      <c r="D43" s="2">
        <f t="shared" si="12"/>
        <v>0</v>
      </c>
      <c r="E43" s="2"/>
      <c r="F43" s="19"/>
      <c r="G43" s="2"/>
      <c r="H43" s="2">
        <f>0</f>
        <v>0</v>
      </c>
      <c r="I43" s="2"/>
      <c r="J43" s="19"/>
      <c r="K43" s="2"/>
      <c r="L43" s="2">
        <f t="shared" si="0"/>
        <v>0</v>
      </c>
      <c r="M43" s="2"/>
      <c r="N43" s="19">
        <f t="shared" si="1"/>
        <v>0</v>
      </c>
      <c r="O43" s="11"/>
      <c r="P43" s="2">
        <f t="shared" si="13"/>
        <v>0</v>
      </c>
      <c r="Q43" s="2"/>
      <c r="R43" s="19"/>
      <c r="S43" s="2"/>
      <c r="T43" s="2">
        <f>--52.68</f>
        <v>52.68</v>
      </c>
      <c r="U43" s="2"/>
      <c r="V43" s="19"/>
      <c r="W43" s="2"/>
      <c r="X43" s="2">
        <f t="shared" si="2"/>
        <v>-52.68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"4127", " - ", "NON-TAXABLE SALES-SCHOOL SUPPL")</f>
        <v xml:space="preserve">          4127 - NON-TAXABLE SALES-SCHOOL SUPPL</v>
      </c>
      <c r="C44" s="11"/>
      <c r="D44" s="2">
        <f t="shared" si="12"/>
        <v>0</v>
      </c>
      <c r="E44" s="2"/>
      <c r="F44" s="19"/>
      <c r="G44" s="2"/>
      <c r="H44" s="2">
        <f>--114.89</f>
        <v>114.89</v>
      </c>
      <c r="I44" s="2"/>
      <c r="J44" s="19"/>
      <c r="K44" s="2"/>
      <c r="L44" s="2">
        <f t="shared" si="0"/>
        <v>-114.89</v>
      </c>
      <c r="M44" s="2"/>
      <c r="N44" s="19">
        <f t="shared" si="1"/>
        <v>-1</v>
      </c>
      <c r="O44" s="11"/>
      <c r="P44" s="2">
        <f t="shared" si="13"/>
        <v>0</v>
      </c>
      <c r="Q44" s="2"/>
      <c r="R44" s="19"/>
      <c r="S44" s="2"/>
      <c r="T44" s="2">
        <f>--2946.58</f>
        <v>2946.58</v>
      </c>
      <c r="U44" s="2"/>
      <c r="V44" s="19"/>
      <c r="W44" s="2"/>
      <c r="X44" s="2">
        <f t="shared" si="2"/>
        <v>-2946.58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"4128", " - ", "NON-TAXABLE SALES-ART/TECH")</f>
        <v xml:space="preserve">          4128 - NON-TAXABLE SALES-ART/TECH</v>
      </c>
      <c r="C45" s="11"/>
      <c r="D45" s="2">
        <f t="shared" si="12"/>
        <v>0</v>
      </c>
      <c r="E45" s="2"/>
      <c r="F45" s="19"/>
      <c r="G45" s="2"/>
      <c r="H45" s="2">
        <f>--24.78</f>
        <v>24.78</v>
      </c>
      <c r="I45" s="2"/>
      <c r="J45" s="19"/>
      <c r="K45" s="2"/>
      <c r="L45" s="2">
        <f t="shared" si="0"/>
        <v>-24.78</v>
      </c>
      <c r="M45" s="2"/>
      <c r="N45" s="19">
        <f t="shared" si="1"/>
        <v>-1</v>
      </c>
      <c r="O45" s="11"/>
      <c r="P45" s="2">
        <f t="shared" si="13"/>
        <v>0</v>
      </c>
      <c r="Q45" s="2"/>
      <c r="R45" s="19"/>
      <c r="S45" s="2"/>
      <c r="T45" s="2">
        <f>--24.78</f>
        <v>24.78</v>
      </c>
      <c r="U45" s="2"/>
      <c r="V45" s="19"/>
      <c r="W45" s="2"/>
      <c r="X45" s="2">
        <f t="shared" si="2"/>
        <v>-24.78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"4131", " - ", "NON-TAXABLE SALES-FOOD")</f>
        <v xml:space="preserve">          4131 - NON-TAXABLE SALES-FOOD</v>
      </c>
      <c r="C46" s="11"/>
      <c r="D46" s="2">
        <f t="shared" si="12"/>
        <v>0</v>
      </c>
      <c r="E46" s="2"/>
      <c r="F46" s="19"/>
      <c r="G46" s="2"/>
      <c r="H46" s="2">
        <f>--983.89</f>
        <v>983.89</v>
      </c>
      <c r="I46" s="2"/>
      <c r="J46" s="19"/>
      <c r="K46" s="2"/>
      <c r="L46" s="2">
        <f t="shared" si="0"/>
        <v>-983.89</v>
      </c>
      <c r="M46" s="2"/>
      <c r="N46" s="19">
        <f t="shared" si="1"/>
        <v>-1</v>
      </c>
      <c r="O46" s="11"/>
      <c r="P46" s="2">
        <f t="shared" si="13"/>
        <v>0</v>
      </c>
      <c r="Q46" s="2"/>
      <c r="R46" s="19"/>
      <c r="S46" s="2"/>
      <c r="T46" s="2">
        <f>--6509.33</f>
        <v>6509.33</v>
      </c>
      <c r="U46" s="2"/>
      <c r="V46" s="19"/>
      <c r="W46" s="2"/>
      <c r="X46" s="2">
        <f t="shared" si="2"/>
        <v>-6509.33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"4132", " - ", "NON-TAXABLE SALES-JUICE")</f>
        <v xml:space="preserve">          4132 - NON-TAXABLE SALES-JUICE</v>
      </c>
      <c r="C47" s="11"/>
      <c r="D47" s="2">
        <f t="shared" si="12"/>
        <v>0</v>
      </c>
      <c r="E47" s="2"/>
      <c r="F47" s="19"/>
      <c r="G47" s="2"/>
      <c r="H47" s="2">
        <f t="shared" ref="H47:H50" si="14">0</f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3"/>
        <v>0</v>
      </c>
      <c r="Q47" s="2"/>
      <c r="R47" s="19"/>
      <c r="S47" s="2"/>
      <c r="T47" s="2">
        <f>--2054.37</f>
        <v>2054.37</v>
      </c>
      <c r="U47" s="2"/>
      <c r="V47" s="19"/>
      <c r="W47" s="2"/>
      <c r="X47" s="2">
        <f t="shared" si="2"/>
        <v>-2054.37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"4133", " - ", "NON-TAXABLE SALES-CANDY")</f>
        <v xml:space="preserve">          4133 - NON-TAXABLE SALES-CANDY</v>
      </c>
      <c r="C48" s="11"/>
      <c r="D48" s="2">
        <f t="shared" si="12"/>
        <v>0</v>
      </c>
      <c r="E48" s="2"/>
      <c r="F48" s="19"/>
      <c r="G48" s="2"/>
      <c r="H48" s="2">
        <f t="shared" si="14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3"/>
        <v>0</v>
      </c>
      <c r="Q48" s="2"/>
      <c r="R48" s="19"/>
      <c r="S48" s="2"/>
      <c r="T48" s="2">
        <f>--80.71</f>
        <v>80.709999999999994</v>
      </c>
      <c r="U48" s="2"/>
      <c r="V48" s="19"/>
      <c r="W48" s="2"/>
      <c r="X48" s="2">
        <f t="shared" si="2"/>
        <v>-80.709999999999994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"4134", " - ", "NON-TAXABLE SALES-SODA")</f>
        <v xml:space="preserve">          4134 - NON-TAXABLE SALES-SODA</v>
      </c>
      <c r="C49" s="11"/>
      <c r="D49" s="2">
        <f t="shared" si="12"/>
        <v>0</v>
      </c>
      <c r="E49" s="2"/>
      <c r="F49" s="19"/>
      <c r="G49" s="2"/>
      <c r="H49" s="2">
        <f t="shared" si="14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13"/>
        <v>0</v>
      </c>
      <c r="Q49" s="2"/>
      <c r="R49" s="19"/>
      <c r="S49" s="2"/>
      <c r="T49" s="2">
        <f>--45.53</f>
        <v>45.53</v>
      </c>
      <c r="U49" s="2"/>
      <c r="V49" s="19"/>
      <c r="W49" s="2"/>
      <c r="X49" s="2">
        <f t="shared" si="2"/>
        <v>-45.53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"4137", " - ", "NON-TAXABLE SALES-WATER")</f>
        <v xml:space="preserve">          4137 - NON-TAXABLE SALES-WATER</v>
      </c>
      <c r="C50" s="11"/>
      <c r="D50" s="2">
        <f t="shared" si="12"/>
        <v>0</v>
      </c>
      <c r="E50" s="2"/>
      <c r="F50" s="19"/>
      <c r="G50" s="2"/>
      <c r="H50" s="2">
        <f t="shared" si="14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13"/>
        <v>0</v>
      </c>
      <c r="Q50" s="2"/>
      <c r="R50" s="19"/>
      <c r="S50" s="2"/>
      <c r="T50" s="2">
        <f>--68.25</f>
        <v>68.25</v>
      </c>
      <c r="U50" s="2"/>
      <c r="V50" s="19"/>
      <c r="W50" s="2"/>
      <c r="X50" s="2">
        <f t="shared" si="2"/>
        <v>-68.25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"4140", " - ", "NON-TAXABLE SALES-LOGO CLOTHIN")</f>
        <v xml:space="preserve">          4140 - NON-TAXABLE SALES-LOGO CLOTHIN</v>
      </c>
      <c r="C51" s="11"/>
      <c r="D51" s="2">
        <f t="shared" si="12"/>
        <v>0</v>
      </c>
      <c r="E51" s="2"/>
      <c r="F51" s="19"/>
      <c r="G51" s="2"/>
      <c r="H51" s="2">
        <f>--19704.79</f>
        <v>19704.79</v>
      </c>
      <c r="I51" s="2"/>
      <c r="J51" s="19"/>
      <c r="K51" s="2"/>
      <c r="L51" s="2">
        <f t="shared" si="0"/>
        <v>-19704.79</v>
      </c>
      <c r="M51" s="2"/>
      <c r="N51" s="19">
        <f t="shared" si="1"/>
        <v>-1</v>
      </c>
      <c r="O51" s="11"/>
      <c r="P51" s="2">
        <f t="shared" si="13"/>
        <v>0</v>
      </c>
      <c r="Q51" s="2"/>
      <c r="R51" s="19"/>
      <c r="S51" s="2"/>
      <c r="T51" s="2">
        <f>--50320.27</f>
        <v>50320.27</v>
      </c>
      <c r="U51" s="2"/>
      <c r="V51" s="19"/>
      <c r="W51" s="2"/>
      <c r="X51" s="2">
        <f t="shared" si="2"/>
        <v>-50320.27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"4141", " - ", "NON-TAXABLE SALES-LOGO GIFTS")</f>
        <v xml:space="preserve">          4141 - NON-TAXABLE SALES-LOGO GIFTS</v>
      </c>
      <c r="C52" s="11"/>
      <c r="D52" s="2">
        <f t="shared" si="12"/>
        <v>0</v>
      </c>
      <c r="E52" s="2"/>
      <c r="F52" s="19"/>
      <c r="G52" s="2"/>
      <c r="H52" s="2">
        <f>--806.32</f>
        <v>806.32</v>
      </c>
      <c r="I52" s="2"/>
      <c r="J52" s="19"/>
      <c r="K52" s="2"/>
      <c r="L52" s="2">
        <f t="shared" si="0"/>
        <v>-806.32</v>
      </c>
      <c r="M52" s="2"/>
      <c r="N52" s="19">
        <f t="shared" si="1"/>
        <v>-1</v>
      </c>
      <c r="O52" s="11"/>
      <c r="P52" s="2">
        <f t="shared" si="13"/>
        <v>0</v>
      </c>
      <c r="Q52" s="2"/>
      <c r="R52" s="19"/>
      <c r="S52" s="2"/>
      <c r="T52" s="2">
        <f>--4189.02</f>
        <v>4189.0200000000004</v>
      </c>
      <c r="U52" s="2"/>
      <c r="V52" s="19"/>
      <c r="W52" s="2"/>
      <c r="X52" s="2">
        <f t="shared" si="2"/>
        <v>-4189.0200000000004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"4142", " - ", "NON-TAXABLE SALES-EVERYDAY GIF")</f>
        <v xml:space="preserve">          4142 - NON-TAXABLE SALES-EVERYDAY GIF</v>
      </c>
      <c r="C53" s="11"/>
      <c r="D53" s="2">
        <f t="shared" si="12"/>
        <v>0</v>
      </c>
      <c r="E53" s="2"/>
      <c r="F53" s="19"/>
      <c r="G53" s="2"/>
      <c r="H53" s="2">
        <f>--887.78</f>
        <v>887.78</v>
      </c>
      <c r="I53" s="2"/>
      <c r="J53" s="19"/>
      <c r="K53" s="2"/>
      <c r="L53" s="2">
        <f t="shared" si="0"/>
        <v>-887.78</v>
      </c>
      <c r="M53" s="2"/>
      <c r="N53" s="19">
        <f t="shared" si="1"/>
        <v>-1</v>
      </c>
      <c r="O53" s="11"/>
      <c r="P53" s="2">
        <f t="shared" si="13"/>
        <v>0</v>
      </c>
      <c r="Q53" s="2"/>
      <c r="R53" s="19"/>
      <c r="S53" s="2"/>
      <c r="T53" s="2">
        <f>--2208.19</f>
        <v>2208.19</v>
      </c>
      <c r="U53" s="2"/>
      <c r="V53" s="19"/>
      <c r="W53" s="2"/>
      <c r="X53" s="2">
        <f t="shared" si="2"/>
        <v>-2208.19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"4143", " - ", "NON-TAXABLE SALES-CARDS")</f>
        <v xml:space="preserve">          4143 - NON-TAXABLE SALES-CARDS</v>
      </c>
      <c r="C54" s="11"/>
      <c r="D54" s="2">
        <f t="shared" si="12"/>
        <v>0</v>
      </c>
      <c r="E54" s="2"/>
      <c r="F54" s="19"/>
      <c r="G54" s="2"/>
      <c r="H54" s="2">
        <f>--9.99</f>
        <v>9.99</v>
      </c>
      <c r="I54" s="2"/>
      <c r="J54" s="19"/>
      <c r="K54" s="2"/>
      <c r="L54" s="2">
        <f t="shared" si="0"/>
        <v>-9.99</v>
      </c>
      <c r="M54" s="2"/>
      <c r="N54" s="19">
        <f t="shared" si="1"/>
        <v>-1</v>
      </c>
      <c r="O54" s="11"/>
      <c r="P54" s="2">
        <f t="shared" si="13"/>
        <v>0</v>
      </c>
      <c r="Q54" s="2"/>
      <c r="R54" s="19"/>
      <c r="S54" s="2"/>
      <c r="T54" s="2">
        <f>--39.96</f>
        <v>39.96</v>
      </c>
      <c r="U54" s="2"/>
      <c r="V54" s="19"/>
      <c r="W54" s="2"/>
      <c r="X54" s="2">
        <f t="shared" si="2"/>
        <v>-39.96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"4144", " - ", "NON-TAXABLE SALES-ACCESSORIES")</f>
        <v xml:space="preserve">          4144 - NON-TAXABLE SALES-ACCESSORIES</v>
      </c>
      <c r="C55" s="11"/>
      <c r="D55" s="2">
        <f t="shared" si="12"/>
        <v>0</v>
      </c>
      <c r="E55" s="2"/>
      <c r="F55" s="19"/>
      <c r="G55" s="2"/>
      <c r="H55" s="2">
        <f>--19.95</f>
        <v>19.95</v>
      </c>
      <c r="I55" s="2"/>
      <c r="J55" s="19"/>
      <c r="K55" s="2"/>
      <c r="L55" s="2">
        <f t="shared" si="0"/>
        <v>-19.95</v>
      </c>
      <c r="M55" s="2"/>
      <c r="N55" s="19">
        <f t="shared" si="1"/>
        <v>-1</v>
      </c>
      <c r="O55" s="11"/>
      <c r="P55" s="2">
        <f t="shared" si="13"/>
        <v>0</v>
      </c>
      <c r="Q55" s="2"/>
      <c r="R55" s="19"/>
      <c r="S55" s="2"/>
      <c r="T55" s="2">
        <f>--389.7</f>
        <v>389.7</v>
      </c>
      <c r="U55" s="2"/>
      <c r="V55" s="19"/>
      <c r="W55" s="2"/>
      <c r="X55" s="2">
        <f t="shared" si="2"/>
        <v>-389.7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"4145", " - ", "NON-TAXABLE SALES-SPECIAL ORDE")</f>
        <v xml:space="preserve">          4145 - NON-TAXABLE SALES-SPECIAL ORDE</v>
      </c>
      <c r="C56" s="11"/>
      <c r="D56" s="2">
        <f t="shared" si="12"/>
        <v>0</v>
      </c>
      <c r="E56" s="2"/>
      <c r="F56" s="19"/>
      <c r="G56" s="2"/>
      <c r="H56" s="2">
        <f>--2800</f>
        <v>2800</v>
      </c>
      <c r="I56" s="2"/>
      <c r="J56" s="19"/>
      <c r="K56" s="2"/>
      <c r="L56" s="2">
        <f t="shared" si="0"/>
        <v>-2800</v>
      </c>
      <c r="M56" s="2"/>
      <c r="N56" s="19">
        <f t="shared" si="1"/>
        <v>-1</v>
      </c>
      <c r="O56" s="11"/>
      <c r="P56" s="2">
        <f t="shared" si="13"/>
        <v>0</v>
      </c>
      <c r="Q56" s="2"/>
      <c r="R56" s="19"/>
      <c r="S56" s="2"/>
      <c r="T56" s="2">
        <f>--38646</f>
        <v>38646</v>
      </c>
      <c r="U56" s="2"/>
      <c r="V56" s="19"/>
      <c r="W56" s="2"/>
      <c r="X56" s="2">
        <f t="shared" si="2"/>
        <v>-38646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"4146", " - ", "NON-TAXABLE SALES-COIN OP MACH")</f>
        <v xml:space="preserve">          4146 - NON-TAXABLE SALES-COIN OP MACH</v>
      </c>
      <c r="C57" s="11"/>
      <c r="D57" s="2">
        <f t="shared" si="12"/>
        <v>0</v>
      </c>
      <c r="E57" s="2"/>
      <c r="F57" s="19"/>
      <c r="G57" s="2"/>
      <c r="H57" s="2">
        <f>--21.5</f>
        <v>21.5</v>
      </c>
      <c r="I57" s="2"/>
      <c r="J57" s="19"/>
      <c r="K57" s="2"/>
      <c r="L57" s="2">
        <f t="shared" si="0"/>
        <v>-21.5</v>
      </c>
      <c r="M57" s="2"/>
      <c r="N57" s="19">
        <f t="shared" si="1"/>
        <v>-1</v>
      </c>
      <c r="O57" s="11"/>
      <c r="P57" s="2">
        <f t="shared" si="13"/>
        <v>0</v>
      </c>
      <c r="Q57" s="2"/>
      <c r="R57" s="19"/>
      <c r="S57" s="2"/>
      <c r="T57" s="2">
        <f>--108</f>
        <v>108</v>
      </c>
      <c r="U57" s="2"/>
      <c r="V57" s="19"/>
      <c r="W57" s="2"/>
      <c r="X57" s="2">
        <f t="shared" si="2"/>
        <v>-108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"4147", " - ", "NON-TAXABLE SALES-MISC")</f>
        <v xml:space="preserve">          4147 - NON-TAXABLE SALES-MISC</v>
      </c>
      <c r="C58" s="11"/>
      <c r="D58" s="2">
        <f t="shared" si="12"/>
        <v>0</v>
      </c>
      <c r="E58" s="2"/>
      <c r="F58" s="19"/>
      <c r="G58" s="2"/>
      <c r="H58" s="2">
        <f>--5</f>
        <v>5</v>
      </c>
      <c r="I58" s="2"/>
      <c r="J58" s="19"/>
      <c r="K58" s="2"/>
      <c r="L58" s="2">
        <f t="shared" si="0"/>
        <v>-5</v>
      </c>
      <c r="M58" s="2"/>
      <c r="N58" s="19">
        <f t="shared" si="1"/>
        <v>-1</v>
      </c>
      <c r="O58" s="11"/>
      <c r="P58" s="2">
        <f t="shared" si="13"/>
        <v>0</v>
      </c>
      <c r="Q58" s="2"/>
      <c r="R58" s="19"/>
      <c r="S58" s="2"/>
      <c r="T58" s="2">
        <f>--91.5</f>
        <v>91.5</v>
      </c>
      <c r="U58" s="2"/>
      <c r="V58" s="19"/>
      <c r="W58" s="2"/>
      <c r="X58" s="2">
        <f t="shared" si="2"/>
        <v>-91.5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"4153", " - ", "NON-TAXABLE SALES-FOOD")</f>
        <v xml:space="preserve">          4153 - NON-TAXABLE SALES-FOOD</v>
      </c>
      <c r="C59" s="11"/>
      <c r="D59" s="2">
        <f t="shared" si="12"/>
        <v>0</v>
      </c>
      <c r="E59" s="2"/>
      <c r="F59" s="19"/>
      <c r="G59" s="2"/>
      <c r="H59" s="2">
        <f t="shared" ref="H59:H60" si="15">0</f>
        <v>0</v>
      </c>
      <c r="I59" s="2"/>
      <c r="J59" s="19"/>
      <c r="K59" s="2"/>
      <c r="L59" s="2">
        <f t="shared" si="0"/>
        <v>0</v>
      </c>
      <c r="M59" s="2"/>
      <c r="N59" s="19">
        <f t="shared" si="1"/>
        <v>0</v>
      </c>
      <c r="O59" s="11"/>
      <c r="P59" s="2">
        <f t="shared" si="13"/>
        <v>0</v>
      </c>
      <c r="Q59" s="2"/>
      <c r="R59" s="19"/>
      <c r="S59" s="2"/>
      <c r="T59" s="2">
        <f>--110</f>
        <v>110</v>
      </c>
      <c r="U59" s="2"/>
      <c r="V59" s="19"/>
      <c r="W59" s="2"/>
      <c r="X59" s="2">
        <f t="shared" si="2"/>
        <v>-110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"4200", " - ", "TAXABLE RETURNS")</f>
        <v xml:space="preserve">          4200 - TAXABLE RETURNS</v>
      </c>
      <c r="C60" s="11"/>
      <c r="D60" s="2">
        <f>-10145.23</f>
        <v>-10145.23</v>
      </c>
      <c r="E60" s="2"/>
      <c r="F60" s="19"/>
      <c r="G60" s="2"/>
      <c r="H60" s="2">
        <f t="shared" si="15"/>
        <v>0</v>
      </c>
      <c r="I60" s="2"/>
      <c r="J60" s="19"/>
      <c r="K60" s="2"/>
      <c r="L60" s="2">
        <f t="shared" si="0"/>
        <v>-10145.23</v>
      </c>
      <c r="M60" s="2"/>
      <c r="N60" s="19">
        <f t="shared" si="1"/>
        <v>0</v>
      </c>
      <c r="O60" s="11"/>
      <c r="P60" s="2">
        <f>-72538.2</f>
        <v>-72538.2</v>
      </c>
      <c r="Q60" s="2"/>
      <c r="R60" s="19"/>
      <c r="S60" s="2"/>
      <c r="T60" s="2">
        <f>0</f>
        <v>0</v>
      </c>
      <c r="U60" s="2"/>
      <c r="V60" s="19"/>
      <c r="W60" s="2"/>
      <c r="X60" s="2">
        <f t="shared" si="2"/>
        <v>-72538.2</v>
      </c>
      <c r="Y60" s="2"/>
      <c r="Z60" s="19">
        <f t="shared" si="3"/>
        <v>0</v>
      </c>
    </row>
    <row r="61" spans="1:26" s="24" customFormat="1" hidden="1" outlineLevel="1" x14ac:dyDescent="0.3">
      <c r="A61" s="44"/>
      <c r="B61" s="11" t="str">
        <f>CONCATENATE("          ", "4201", " - ", "SALES RETURN TAXABLE-NEW TEXT")</f>
        <v xml:space="preserve">          4201 - SALES RETURN TAXABLE-NEW TEXT</v>
      </c>
      <c r="C61" s="11"/>
      <c r="D61" s="2">
        <f t="shared" ref="D61:D72" si="16">0</f>
        <v>0</v>
      </c>
      <c r="E61" s="2"/>
      <c r="F61" s="19"/>
      <c r="G61" s="2"/>
      <c r="H61" s="2">
        <f>-1333.42</f>
        <v>-1333.42</v>
      </c>
      <c r="I61" s="2"/>
      <c r="J61" s="19"/>
      <c r="K61" s="2"/>
      <c r="L61" s="2">
        <f t="shared" si="0"/>
        <v>1333.42</v>
      </c>
      <c r="M61" s="2"/>
      <c r="N61" s="19">
        <f t="shared" si="1"/>
        <v>-1</v>
      </c>
      <c r="O61" s="11"/>
      <c r="P61" s="2">
        <f t="shared" ref="P61:P72" si="17">0</f>
        <v>0</v>
      </c>
      <c r="Q61" s="2"/>
      <c r="R61" s="19"/>
      <c r="S61" s="2"/>
      <c r="T61" s="2">
        <f>-35094.66</f>
        <v>-35094.660000000003</v>
      </c>
      <c r="U61" s="2"/>
      <c r="V61" s="19"/>
      <c r="W61" s="2"/>
      <c r="X61" s="2">
        <f t="shared" si="2"/>
        <v>35094.660000000003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"4202", " - ", "SALES RETURN TAXABLE-USED TEXT")</f>
        <v xml:space="preserve">          4202 - SALES RETURN TAXABLE-USED TEXT</v>
      </c>
      <c r="C62" s="11"/>
      <c r="D62" s="2">
        <f t="shared" si="16"/>
        <v>0</v>
      </c>
      <c r="E62" s="2"/>
      <c r="F62" s="19"/>
      <c r="G62" s="2"/>
      <c r="H62" s="2">
        <f>-3274.35</f>
        <v>-3274.35</v>
      </c>
      <c r="I62" s="2"/>
      <c r="J62" s="19"/>
      <c r="K62" s="2"/>
      <c r="L62" s="2">
        <f t="shared" si="0"/>
        <v>3274.35</v>
      </c>
      <c r="M62" s="2"/>
      <c r="N62" s="19">
        <f t="shared" si="1"/>
        <v>-1</v>
      </c>
      <c r="O62" s="11"/>
      <c r="P62" s="2">
        <f t="shared" si="17"/>
        <v>0</v>
      </c>
      <c r="Q62" s="2"/>
      <c r="R62" s="19"/>
      <c r="S62" s="2"/>
      <c r="T62" s="2">
        <f>-13803.35</f>
        <v>-13803.35</v>
      </c>
      <c r="U62" s="2"/>
      <c r="V62" s="19"/>
      <c r="W62" s="2"/>
      <c r="X62" s="2">
        <f t="shared" si="2"/>
        <v>13803.35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"4204", " - ", "SALES RETURN TAXABLE-DIGITAL T")</f>
        <v xml:space="preserve">          4204 - SALES RETURN TAXABLE-DIGITAL T</v>
      </c>
      <c r="C63" s="11"/>
      <c r="D63" s="2">
        <f t="shared" si="16"/>
        <v>0</v>
      </c>
      <c r="E63" s="2"/>
      <c r="F63" s="19"/>
      <c r="G63" s="2"/>
      <c r="H63" s="2">
        <f t="shared" ref="H63:H64" si="18">0</f>
        <v>0</v>
      </c>
      <c r="I63" s="2"/>
      <c r="J63" s="19"/>
      <c r="K63" s="2"/>
      <c r="L63" s="2">
        <f t="shared" si="0"/>
        <v>0</v>
      </c>
      <c r="M63" s="2"/>
      <c r="N63" s="19">
        <f t="shared" si="1"/>
        <v>0</v>
      </c>
      <c r="O63" s="11"/>
      <c r="P63" s="2">
        <f t="shared" si="17"/>
        <v>0</v>
      </c>
      <c r="Q63" s="2"/>
      <c r="R63" s="19"/>
      <c r="S63" s="2"/>
      <c r="T63" s="2">
        <f>-1630.85</f>
        <v>-1630.85</v>
      </c>
      <c r="U63" s="2"/>
      <c r="V63" s="19"/>
      <c r="W63" s="2"/>
      <c r="X63" s="2">
        <f t="shared" si="2"/>
        <v>1630.85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"4226", " - ", "SALES RETURN TAXABLE-WRITING I")</f>
        <v xml:space="preserve">          4226 - SALES RETURN TAXABLE-WRITING I</v>
      </c>
      <c r="C64" s="11"/>
      <c r="D64" s="2">
        <f t="shared" si="16"/>
        <v>0</v>
      </c>
      <c r="E64" s="2"/>
      <c r="F64" s="19"/>
      <c r="G64" s="2"/>
      <c r="H64" s="2">
        <f t="shared" si="18"/>
        <v>0</v>
      </c>
      <c r="I64" s="2"/>
      <c r="J64" s="19"/>
      <c r="K64" s="2"/>
      <c r="L64" s="2">
        <f t="shared" si="0"/>
        <v>0</v>
      </c>
      <c r="M64" s="2"/>
      <c r="N64" s="19">
        <f t="shared" si="1"/>
        <v>0</v>
      </c>
      <c r="O64" s="11"/>
      <c r="P64" s="2">
        <f t="shared" si="17"/>
        <v>0</v>
      </c>
      <c r="Q64" s="2"/>
      <c r="R64" s="19"/>
      <c r="S64" s="2"/>
      <c r="T64" s="2">
        <f>-34.23</f>
        <v>-34.229999999999997</v>
      </c>
      <c r="U64" s="2"/>
      <c r="V64" s="19"/>
      <c r="W64" s="2"/>
      <c r="X64" s="2">
        <f t="shared" si="2"/>
        <v>34.229999999999997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"4227", " - ", "SALES RETURN TAXABLE-SCHOOL SU")</f>
        <v xml:space="preserve">          4227 - SALES RETURN TAXABLE-SCHOOL SU</v>
      </c>
      <c r="C65" s="11"/>
      <c r="D65" s="2">
        <f t="shared" si="16"/>
        <v>0</v>
      </c>
      <c r="E65" s="2"/>
      <c r="F65" s="19"/>
      <c r="G65" s="2"/>
      <c r="H65" s="2">
        <f>-31.98</f>
        <v>-31.98</v>
      </c>
      <c r="I65" s="2"/>
      <c r="J65" s="19"/>
      <c r="K65" s="2"/>
      <c r="L65" s="2">
        <f t="shared" si="0"/>
        <v>31.98</v>
      </c>
      <c r="M65" s="2"/>
      <c r="N65" s="19">
        <f t="shared" si="1"/>
        <v>-1</v>
      </c>
      <c r="O65" s="11"/>
      <c r="P65" s="2">
        <f t="shared" si="17"/>
        <v>0</v>
      </c>
      <c r="Q65" s="2"/>
      <c r="R65" s="19"/>
      <c r="S65" s="2"/>
      <c r="T65" s="2">
        <f>-610.64</f>
        <v>-610.64</v>
      </c>
      <c r="U65" s="2"/>
      <c r="V65" s="19"/>
      <c r="W65" s="2"/>
      <c r="X65" s="2">
        <f t="shared" si="2"/>
        <v>610.64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"4228", " - ", "SALES RETURN TAXABLE-ART/TECH")</f>
        <v xml:space="preserve">          4228 - SALES RETURN TAXABLE-ART/TECH</v>
      </c>
      <c r="C66" s="11"/>
      <c r="D66" s="2">
        <f t="shared" si="16"/>
        <v>0</v>
      </c>
      <c r="E66" s="2"/>
      <c r="F66" s="19"/>
      <c r="G66" s="2"/>
      <c r="H66" s="2">
        <f>-32.49</f>
        <v>-32.49</v>
      </c>
      <c r="I66" s="2"/>
      <c r="J66" s="19"/>
      <c r="K66" s="2"/>
      <c r="L66" s="2">
        <f t="shared" si="0"/>
        <v>32.49</v>
      </c>
      <c r="M66" s="2"/>
      <c r="N66" s="19">
        <f t="shared" si="1"/>
        <v>-1</v>
      </c>
      <c r="O66" s="11"/>
      <c r="P66" s="2">
        <f t="shared" si="17"/>
        <v>0</v>
      </c>
      <c r="Q66" s="2"/>
      <c r="R66" s="19"/>
      <c r="S66" s="2"/>
      <c r="T66" s="2">
        <f>-254.69</f>
        <v>-254.69</v>
      </c>
      <c r="U66" s="2"/>
      <c r="V66" s="19"/>
      <c r="W66" s="2"/>
      <c r="X66" s="2">
        <f t="shared" si="2"/>
        <v>254.69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"4240", " - ", "SALES RETURN TAXABLE-LOGO CLOT")</f>
        <v xml:space="preserve">          4240 - SALES RETURN TAXABLE-LOGO CLOT</v>
      </c>
      <c r="C67" s="11"/>
      <c r="D67" s="2">
        <f t="shared" si="16"/>
        <v>0</v>
      </c>
      <c r="E67" s="2"/>
      <c r="F67" s="19"/>
      <c r="G67" s="2"/>
      <c r="H67" s="2">
        <f>-1729.15</f>
        <v>-1729.15</v>
      </c>
      <c r="I67" s="2"/>
      <c r="J67" s="19"/>
      <c r="K67" s="2"/>
      <c r="L67" s="2">
        <f t="shared" si="0"/>
        <v>1729.15</v>
      </c>
      <c r="M67" s="2"/>
      <c r="N67" s="19">
        <f t="shared" si="1"/>
        <v>-1</v>
      </c>
      <c r="O67" s="11"/>
      <c r="P67" s="2">
        <f t="shared" si="17"/>
        <v>0</v>
      </c>
      <c r="Q67" s="2"/>
      <c r="R67" s="19"/>
      <c r="S67" s="2"/>
      <c r="T67" s="2">
        <f>-15578.67</f>
        <v>-15578.67</v>
      </c>
      <c r="U67" s="2"/>
      <c r="V67" s="19"/>
      <c r="W67" s="2"/>
      <c r="X67" s="2">
        <f t="shared" si="2"/>
        <v>15578.67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"4241", " - ", "SALES RETURN TAXABLE-LOGO GIFT")</f>
        <v xml:space="preserve">          4241 - SALES RETURN TAXABLE-LOGO GIFT</v>
      </c>
      <c r="C68" s="11"/>
      <c r="D68" s="2">
        <f t="shared" si="16"/>
        <v>0</v>
      </c>
      <c r="E68" s="2"/>
      <c r="F68" s="19"/>
      <c r="G68" s="2"/>
      <c r="H68" s="2">
        <f>-108.29</f>
        <v>-108.29</v>
      </c>
      <c r="I68" s="2"/>
      <c r="J68" s="19"/>
      <c r="K68" s="2"/>
      <c r="L68" s="2">
        <f t="shared" si="0"/>
        <v>108.29</v>
      </c>
      <c r="M68" s="2"/>
      <c r="N68" s="19">
        <f t="shared" si="1"/>
        <v>-1</v>
      </c>
      <c r="O68" s="11"/>
      <c r="P68" s="2">
        <f t="shared" si="17"/>
        <v>0</v>
      </c>
      <c r="Q68" s="2"/>
      <c r="R68" s="19"/>
      <c r="S68" s="2"/>
      <c r="T68" s="2">
        <f>-2804.85</f>
        <v>-2804.85</v>
      </c>
      <c r="U68" s="2"/>
      <c r="V68" s="19"/>
      <c r="W68" s="2"/>
      <c r="X68" s="2">
        <f t="shared" si="2"/>
        <v>2804.85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"4242", " - ", "SALES RETURN TAXABLE-EVERYDAY")</f>
        <v xml:space="preserve">          4242 - SALES RETURN TAXABLE-EVERYDAY</v>
      </c>
      <c r="C69" s="11"/>
      <c r="D69" s="2">
        <f t="shared" si="16"/>
        <v>0</v>
      </c>
      <c r="E69" s="2"/>
      <c r="F69" s="19"/>
      <c r="G69" s="2"/>
      <c r="H69" s="2">
        <f>-7.48</f>
        <v>-7.48</v>
      </c>
      <c r="I69" s="2"/>
      <c r="J69" s="19"/>
      <c r="K69" s="2"/>
      <c r="L69" s="2">
        <f t="shared" si="0"/>
        <v>7.48</v>
      </c>
      <c r="M69" s="2"/>
      <c r="N69" s="19">
        <f t="shared" si="1"/>
        <v>-1</v>
      </c>
      <c r="O69" s="11"/>
      <c r="P69" s="2">
        <f t="shared" si="17"/>
        <v>0</v>
      </c>
      <c r="Q69" s="2"/>
      <c r="R69" s="19"/>
      <c r="S69" s="2"/>
      <c r="T69" s="2">
        <f>-1328.99</f>
        <v>-1328.99</v>
      </c>
      <c r="U69" s="2"/>
      <c r="V69" s="19"/>
      <c r="W69" s="2"/>
      <c r="X69" s="2">
        <f t="shared" si="2"/>
        <v>1328.99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"4243", " - ", "SALES RETURN TAXABLE-CARDS")</f>
        <v xml:space="preserve">          4243 - SALES RETURN TAXABLE-CARDS</v>
      </c>
      <c r="C70" s="11"/>
      <c r="D70" s="2">
        <f t="shared" si="16"/>
        <v>0</v>
      </c>
      <c r="E70" s="2"/>
      <c r="F70" s="19"/>
      <c r="G70" s="2"/>
      <c r="H70" s="2">
        <f>-829.54</f>
        <v>-829.54</v>
      </c>
      <c r="I70" s="2"/>
      <c r="J70" s="19"/>
      <c r="K70" s="2"/>
      <c r="L70" s="2">
        <f t="shared" si="0"/>
        <v>829.54</v>
      </c>
      <c r="M70" s="2"/>
      <c r="N70" s="19">
        <f t="shared" si="1"/>
        <v>-1</v>
      </c>
      <c r="O70" s="11"/>
      <c r="P70" s="2">
        <f t="shared" si="17"/>
        <v>0</v>
      </c>
      <c r="Q70" s="2"/>
      <c r="R70" s="19"/>
      <c r="S70" s="2"/>
      <c r="T70" s="2">
        <f>-1812.46</f>
        <v>-1812.46</v>
      </c>
      <c r="U70" s="2"/>
      <c r="V70" s="19"/>
      <c r="W70" s="2"/>
      <c r="X70" s="2">
        <f t="shared" si="2"/>
        <v>1812.46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"4244", " - ", "SALES RETURN TAXABLE-ACCESSORI")</f>
        <v xml:space="preserve">          4244 - SALES RETURN TAXABLE-ACCESSORI</v>
      </c>
      <c r="C71" s="11"/>
      <c r="D71" s="2">
        <f t="shared" si="16"/>
        <v>0</v>
      </c>
      <c r="E71" s="2"/>
      <c r="F71" s="19"/>
      <c r="G71" s="2"/>
      <c r="H71" s="2">
        <f>-179.95</f>
        <v>-179.95</v>
      </c>
      <c r="I71" s="2"/>
      <c r="J71" s="19"/>
      <c r="K71" s="2"/>
      <c r="L71" s="2">
        <f t="shared" si="0"/>
        <v>179.95</v>
      </c>
      <c r="M71" s="2"/>
      <c r="N71" s="19">
        <f t="shared" si="1"/>
        <v>-1</v>
      </c>
      <c r="O71" s="11"/>
      <c r="P71" s="2">
        <f t="shared" si="17"/>
        <v>0</v>
      </c>
      <c r="Q71" s="2"/>
      <c r="R71" s="19"/>
      <c r="S71" s="2"/>
      <c r="T71" s="2">
        <f>-590.94</f>
        <v>-590.94000000000005</v>
      </c>
      <c r="U71" s="2"/>
      <c r="V71" s="19"/>
      <c r="W71" s="2"/>
      <c r="X71" s="2">
        <f t="shared" si="2"/>
        <v>590.94000000000005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"4245", " - ", "SALES RETURN TAXABLE-SPECIAL O")</f>
        <v xml:space="preserve">          4245 - SALES RETURN TAXABLE-SPECIAL O</v>
      </c>
      <c r="C72" s="11"/>
      <c r="D72" s="2">
        <f t="shared" si="16"/>
        <v>0</v>
      </c>
      <c r="E72" s="2"/>
      <c r="F72" s="19"/>
      <c r="G72" s="2"/>
      <c r="H72" s="2">
        <f>-45.89</f>
        <v>-45.89</v>
      </c>
      <c r="I72" s="2"/>
      <c r="J72" s="19"/>
      <c r="K72" s="2"/>
      <c r="L72" s="2">
        <f t="shared" si="0"/>
        <v>45.89</v>
      </c>
      <c r="M72" s="2"/>
      <c r="N72" s="19">
        <f t="shared" si="1"/>
        <v>-1</v>
      </c>
      <c r="O72" s="11"/>
      <c r="P72" s="2">
        <f t="shared" si="17"/>
        <v>0</v>
      </c>
      <c r="Q72" s="2"/>
      <c r="R72" s="19"/>
      <c r="S72" s="2"/>
      <c r="T72" s="2">
        <f>-1592.82</f>
        <v>-1592.82</v>
      </c>
      <c r="U72" s="2"/>
      <c r="V72" s="19"/>
      <c r="W72" s="2"/>
      <c r="X72" s="2">
        <f t="shared" si="2"/>
        <v>1592.82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"4300", " - ", "NON-TAX RETURNS")</f>
        <v xml:space="preserve">          4300 - NON-TAX RETURNS</v>
      </c>
      <c r="C73" s="11"/>
      <c r="D73" s="2">
        <f>-700.92</f>
        <v>-700.92</v>
      </c>
      <c r="E73" s="2"/>
      <c r="F73" s="19"/>
      <c r="G73" s="2"/>
      <c r="H73" s="2">
        <f t="shared" ref="H73:H74" si="19">0</f>
        <v>0</v>
      </c>
      <c r="I73" s="2"/>
      <c r="J73" s="19"/>
      <c r="K73" s="2"/>
      <c r="L73" s="2">
        <f t="shared" si="0"/>
        <v>-700.92</v>
      </c>
      <c r="M73" s="2"/>
      <c r="N73" s="19">
        <f t="shared" si="1"/>
        <v>0</v>
      </c>
      <c r="O73" s="11"/>
      <c r="P73" s="2">
        <f>-26500.39</f>
        <v>-26500.39</v>
      </c>
      <c r="Q73" s="2"/>
      <c r="R73" s="19"/>
      <c r="S73" s="2"/>
      <c r="T73" s="2">
        <f>0</f>
        <v>0</v>
      </c>
      <c r="U73" s="2"/>
      <c r="V73" s="19"/>
      <c r="W73" s="2"/>
      <c r="X73" s="2">
        <f t="shared" si="2"/>
        <v>-26500.39</v>
      </c>
      <c r="Y73" s="2"/>
      <c r="Z73" s="19">
        <f t="shared" si="3"/>
        <v>0</v>
      </c>
    </row>
    <row r="74" spans="1:26" s="24" customFormat="1" hidden="1" outlineLevel="1" x14ac:dyDescent="0.3">
      <c r="A74" s="44"/>
      <c r="B74" s="11" t="str">
        <f>CONCATENATE("          ", "4301", " - ", "SALES RETURN NON TAXABLE-NEW T")</f>
        <v xml:space="preserve">          4301 - SALES RETURN NON TAXABLE-NEW T</v>
      </c>
      <c r="C74" s="11"/>
      <c r="D74" s="2">
        <f t="shared" ref="D74:D79" si="20">0</f>
        <v>0</v>
      </c>
      <c r="E74" s="2"/>
      <c r="F74" s="19"/>
      <c r="G74" s="2"/>
      <c r="H74" s="2">
        <f t="shared" si="19"/>
        <v>0</v>
      </c>
      <c r="I74" s="2"/>
      <c r="J74" s="19"/>
      <c r="K74" s="2"/>
      <c r="L74" s="2">
        <f t="shared" si="0"/>
        <v>0</v>
      </c>
      <c r="M74" s="2"/>
      <c r="N74" s="19">
        <f t="shared" si="1"/>
        <v>0</v>
      </c>
      <c r="O74" s="11"/>
      <c r="P74" s="2">
        <f t="shared" ref="P74:P79" si="21">0</f>
        <v>0</v>
      </c>
      <c r="Q74" s="2"/>
      <c r="R74" s="19"/>
      <c r="S74" s="2"/>
      <c r="T74" s="2">
        <f>-2376.17</f>
        <v>-2376.17</v>
      </c>
      <c r="U74" s="2"/>
      <c r="V74" s="19"/>
      <c r="W74" s="2"/>
      <c r="X74" s="2">
        <f t="shared" si="2"/>
        <v>2376.17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"4302", " - ", "SALES RETURN NON TAXABLE-TEXT")</f>
        <v xml:space="preserve">          4302 - SALES RETURN NON TAXABLE-TEXT</v>
      </c>
      <c r="C75" s="11"/>
      <c r="D75" s="2">
        <f t="shared" si="20"/>
        <v>0</v>
      </c>
      <c r="E75" s="2"/>
      <c r="F75" s="19"/>
      <c r="G75" s="2"/>
      <c r="H75" s="2">
        <f>-76.05</f>
        <v>-76.05</v>
      </c>
      <c r="I75" s="2"/>
      <c r="J75" s="19"/>
      <c r="K75" s="2"/>
      <c r="L75" s="2">
        <f t="shared" si="0"/>
        <v>76.05</v>
      </c>
      <c r="M75" s="2"/>
      <c r="N75" s="19">
        <f t="shared" si="1"/>
        <v>-1</v>
      </c>
      <c r="O75" s="11"/>
      <c r="P75" s="2">
        <f t="shared" si="21"/>
        <v>0</v>
      </c>
      <c r="Q75" s="2"/>
      <c r="R75" s="19"/>
      <c r="S75" s="2"/>
      <c r="T75" s="2">
        <f>-1392.85</f>
        <v>-1392.85</v>
      </c>
      <c r="U75" s="2"/>
      <c r="V75" s="19"/>
      <c r="W75" s="2"/>
      <c r="X75" s="2">
        <f t="shared" si="2"/>
        <v>1392.85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"4304", " - ", "SALES RETURN NON TAXABLE-DIGIT")</f>
        <v xml:space="preserve">          4304 - SALES RETURN NON TAXABLE-DIGIT</v>
      </c>
      <c r="C76" s="11"/>
      <c r="D76" s="2">
        <f t="shared" si="20"/>
        <v>0</v>
      </c>
      <c r="E76" s="2"/>
      <c r="F76" s="19"/>
      <c r="G76" s="2"/>
      <c r="H76" s="2">
        <f>-176.43</f>
        <v>-176.43</v>
      </c>
      <c r="I76" s="2"/>
      <c r="J76" s="19"/>
      <c r="K76" s="2"/>
      <c r="L76" s="2">
        <f t="shared" si="0"/>
        <v>176.43</v>
      </c>
      <c r="M76" s="2"/>
      <c r="N76" s="19">
        <f t="shared" si="1"/>
        <v>-1</v>
      </c>
      <c r="O76" s="11"/>
      <c r="P76" s="2">
        <f t="shared" si="21"/>
        <v>0</v>
      </c>
      <c r="Q76" s="2"/>
      <c r="R76" s="19"/>
      <c r="S76" s="2"/>
      <c r="T76" s="2">
        <f>-14278.54</f>
        <v>-14278.54</v>
      </c>
      <c r="U76" s="2"/>
      <c r="V76" s="19"/>
      <c r="W76" s="2"/>
      <c r="X76" s="2">
        <f t="shared" si="2"/>
        <v>14278.54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"4340", " - ", "SALES RETURN NON TAXABLE-LOGO")</f>
        <v xml:space="preserve">          4340 - SALES RETURN NON TAXABLE-LOGO</v>
      </c>
      <c r="C77" s="11"/>
      <c r="D77" s="2">
        <f t="shared" si="20"/>
        <v>0</v>
      </c>
      <c r="E77" s="2"/>
      <c r="F77" s="19"/>
      <c r="G77" s="2"/>
      <c r="H77" s="2">
        <f>-203.75</f>
        <v>-203.75</v>
      </c>
      <c r="I77" s="2"/>
      <c r="J77" s="19"/>
      <c r="K77" s="2"/>
      <c r="L77" s="2">
        <f t="shared" si="0"/>
        <v>203.75</v>
      </c>
      <c r="M77" s="2"/>
      <c r="N77" s="19">
        <f t="shared" si="1"/>
        <v>-1</v>
      </c>
      <c r="O77" s="11"/>
      <c r="P77" s="2">
        <f t="shared" si="21"/>
        <v>0</v>
      </c>
      <c r="Q77" s="2"/>
      <c r="R77" s="19"/>
      <c r="S77" s="2"/>
      <c r="T77" s="2">
        <f>-940.48</f>
        <v>-940.48</v>
      </c>
      <c r="U77" s="2"/>
      <c r="V77" s="19"/>
      <c r="W77" s="2"/>
      <c r="X77" s="2">
        <f t="shared" si="2"/>
        <v>940.48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"4341", " - ", "SALES RETURN NON TAXABLE-LOGO")</f>
        <v xml:space="preserve">          4341 - SALES RETURN NON TAXABLE-LOGO</v>
      </c>
      <c r="C78" s="11"/>
      <c r="D78" s="2">
        <f t="shared" si="20"/>
        <v>0</v>
      </c>
      <c r="E78" s="2"/>
      <c r="F78" s="19"/>
      <c r="G78" s="2"/>
      <c r="H78" s="2">
        <f>-154.89</f>
        <v>-154.88999999999999</v>
      </c>
      <c r="I78" s="2"/>
      <c r="J78" s="19"/>
      <c r="K78" s="2"/>
      <c r="L78" s="2">
        <f t="shared" si="0"/>
        <v>154.88999999999999</v>
      </c>
      <c r="M78" s="2"/>
      <c r="N78" s="19">
        <f t="shared" si="1"/>
        <v>-1</v>
      </c>
      <c r="O78" s="11"/>
      <c r="P78" s="2">
        <f t="shared" si="21"/>
        <v>0</v>
      </c>
      <c r="Q78" s="2"/>
      <c r="R78" s="19"/>
      <c r="S78" s="2"/>
      <c r="T78" s="2">
        <f>-301.79</f>
        <v>-301.79000000000002</v>
      </c>
      <c r="U78" s="2"/>
      <c r="V78" s="19"/>
      <c r="W78" s="2"/>
      <c r="X78" s="2">
        <f t="shared" si="2"/>
        <v>301.79000000000002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"4342", " - ", "SALES RETURN NON TAXABLE-EVERY")</f>
        <v xml:space="preserve">          4342 - SALES RETURN NON TAXABLE-EVERY</v>
      </c>
      <c r="C79" s="11"/>
      <c r="D79" s="2">
        <f t="shared" si="20"/>
        <v>0</v>
      </c>
      <c r="E79" s="2"/>
      <c r="F79" s="19"/>
      <c r="G79" s="2"/>
      <c r="H79" s="2">
        <f t="shared" ref="H79:H80" si="22">0</f>
        <v>0</v>
      </c>
      <c r="I79" s="2"/>
      <c r="J79" s="19"/>
      <c r="K79" s="2"/>
      <c r="L79" s="2">
        <f t="shared" si="0"/>
        <v>0</v>
      </c>
      <c r="M79" s="2"/>
      <c r="N79" s="19">
        <f t="shared" si="1"/>
        <v>0</v>
      </c>
      <c r="O79" s="11"/>
      <c r="P79" s="2">
        <f t="shared" si="21"/>
        <v>0</v>
      </c>
      <c r="Q79" s="2"/>
      <c r="R79" s="19"/>
      <c r="S79" s="2"/>
      <c r="T79" s="2">
        <f>-118.7</f>
        <v>-118.7</v>
      </c>
      <c r="U79" s="2"/>
      <c r="V79" s="19"/>
      <c r="W79" s="2"/>
      <c r="X79" s="2">
        <f t="shared" si="2"/>
        <v>118.7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"4500", " - ", "SALES DISCOUNT")</f>
        <v xml:space="preserve">          4500 - SALES DISCOUNT</v>
      </c>
      <c r="C80" s="11"/>
      <c r="D80" s="2">
        <f>-6481.93</f>
        <v>-6481.93</v>
      </c>
      <c r="E80" s="2"/>
      <c r="F80" s="19"/>
      <c r="G80" s="2"/>
      <c r="H80" s="2">
        <f t="shared" si="22"/>
        <v>0</v>
      </c>
      <c r="I80" s="2"/>
      <c r="J80" s="19"/>
      <c r="K80" s="2"/>
      <c r="L80" s="2">
        <f t="shared" si="0"/>
        <v>-6481.93</v>
      </c>
      <c r="M80" s="2"/>
      <c r="N80" s="19">
        <f t="shared" si="1"/>
        <v>0</v>
      </c>
      <c r="O80" s="11"/>
      <c r="P80" s="2">
        <f>-14089.48</f>
        <v>-14089.48</v>
      </c>
      <c r="Q80" s="2"/>
      <c r="R80" s="19"/>
      <c r="S80" s="2"/>
      <c r="T80" s="2">
        <f>0</f>
        <v>0</v>
      </c>
      <c r="U80" s="2"/>
      <c r="V80" s="19"/>
      <c r="W80" s="2"/>
      <c r="X80" s="2">
        <f t="shared" si="2"/>
        <v>-14089.48</v>
      </c>
      <c r="Y80" s="2"/>
      <c r="Z80" s="19">
        <f t="shared" si="3"/>
        <v>0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collapsed="1" x14ac:dyDescent="0.3">
      <c r="A82" s="10"/>
      <c r="B82" s="26" t="s">
        <v>256</v>
      </c>
      <c r="C82" s="10"/>
      <c r="D82" s="4">
        <f>SUM(OSRRefD16x_0)</f>
        <v>153443.26999999999</v>
      </c>
      <c r="E82" s="4"/>
      <c r="F82" s="12">
        <f t="shared" ref="F82:F123" si="23">IF(D$12=0,0,D82/D$12)</f>
        <v>0.4948830333206507</v>
      </c>
      <c r="G82" s="4"/>
      <c r="H82" s="4">
        <f>SUM(OSRRefH16x_0)</f>
        <v>61344.100000000035</v>
      </c>
      <c r="I82" s="4"/>
      <c r="J82" s="12">
        <f t="shared" ref="J82:J123" si="24">IF(H$12=0,0,H82/H$12)</f>
        <v>0.55278570415451889</v>
      </c>
      <c r="K82" s="4"/>
      <c r="L82" s="4">
        <f t="shared" ref="L82:L123" si="25">+D82-H82</f>
        <v>92099.169999999955</v>
      </c>
      <c r="M82" s="4"/>
      <c r="N82" s="12">
        <f t="shared" ref="N82:N123" si="26">IF(H82=0,0,L82/H82)</f>
        <v>1.5013533493848619</v>
      </c>
      <c r="O82" s="10"/>
      <c r="P82" s="4">
        <f>SUM(OSRRefP16x_0)</f>
        <v>1992560.01</v>
      </c>
      <c r="Q82" s="4"/>
      <c r="R82" s="12">
        <f t="shared" ref="R82:R123" si="27">IF(P$12=0,0,P82/P$12)</f>
        <v>0.61749636407862618</v>
      </c>
      <c r="S82" s="4"/>
      <c r="T82" s="4">
        <f>SUM(OSRRefT16x_0)</f>
        <v>1610616.3700000003</v>
      </c>
      <c r="U82" s="4"/>
      <c r="V82" s="12">
        <f t="shared" ref="V82:V123" si="28">IF(T$12=0,0,T82/T$12)</f>
        <v>0.65271370950180263</v>
      </c>
      <c r="W82" s="4"/>
      <c r="X82" s="4">
        <f t="shared" ref="X82:X123" si="29">+P82-T82</f>
        <v>381943.63999999966</v>
      </c>
      <c r="Y82" s="4"/>
      <c r="Z82" s="12">
        <f t="shared" ref="Z82:Z123" si="30">IF(T82=0,0,X82/T82)</f>
        <v>0.23714128771707416</v>
      </c>
    </row>
    <row r="83" spans="1:26" s="24" customFormat="1" hidden="1" outlineLevel="1" x14ac:dyDescent="0.3">
      <c r="A83" s="44"/>
      <c r="B83" s="11" t="str">
        <f>CONCATENATE("          ", "5000", " - ", "PURCHASES @ COST")</f>
        <v xml:space="preserve">          5000 - PURCHASES @ COST</v>
      </c>
      <c r="C83" s="11"/>
      <c r="D83" s="2">
        <v>-67930.34</v>
      </c>
      <c r="E83" s="2"/>
      <c r="F83" s="19">
        <f t="shared" si="23"/>
        <v>-0.21908795813399398</v>
      </c>
      <c r="G83" s="2"/>
      <c r="H83" s="2"/>
      <c r="I83" s="2"/>
      <c r="J83" s="19">
        <f t="shared" si="24"/>
        <v>0</v>
      </c>
      <c r="K83" s="2"/>
      <c r="L83" s="2">
        <f t="shared" si="25"/>
        <v>-67930.34</v>
      </c>
      <c r="M83" s="2"/>
      <c r="N83" s="19">
        <f t="shared" si="26"/>
        <v>0</v>
      </c>
      <c r="O83" s="11"/>
      <c r="P83" s="2">
        <v>2248206.7799999998</v>
      </c>
      <c r="Q83" s="2"/>
      <c r="R83" s="19">
        <f t="shared" si="27"/>
        <v>0.6967215568814491</v>
      </c>
      <c r="S83" s="2"/>
      <c r="T83" s="2">
        <v>0</v>
      </c>
      <c r="U83" s="2"/>
      <c r="V83" s="19">
        <f t="shared" si="28"/>
        <v>0</v>
      </c>
      <c r="W83" s="2"/>
      <c r="X83" s="2">
        <f t="shared" si="29"/>
        <v>2248206.7799999998</v>
      </c>
      <c r="Y83" s="2"/>
      <c r="Z83" s="19">
        <f t="shared" si="30"/>
        <v>0</v>
      </c>
    </row>
    <row r="84" spans="1:26" s="24" customFormat="1" hidden="1" outlineLevel="1" x14ac:dyDescent="0.3">
      <c r="A84" s="44"/>
      <c r="B84" s="11" t="str">
        <f>CONCATENATE("          ", "5001", " - ", "PURCHASES @ COST-NEW TEXT")</f>
        <v xml:space="preserve">          5001 - PURCHASES @ COST-NEW TEXT</v>
      </c>
      <c r="C84" s="11"/>
      <c r="D84" s="2"/>
      <c r="E84" s="2"/>
      <c r="F84" s="19">
        <f t="shared" si="23"/>
        <v>0</v>
      </c>
      <c r="G84" s="2"/>
      <c r="H84" s="2">
        <v>-108601.35</v>
      </c>
      <c r="I84" s="2"/>
      <c r="J84" s="19">
        <f t="shared" si="24"/>
        <v>-0.978631583671149</v>
      </c>
      <c r="K84" s="2"/>
      <c r="L84" s="2">
        <f t="shared" si="25"/>
        <v>108601.35</v>
      </c>
      <c r="M84" s="2"/>
      <c r="N84" s="19">
        <f t="shared" si="26"/>
        <v>-1</v>
      </c>
      <c r="O84" s="11"/>
      <c r="P84" s="2">
        <v>0</v>
      </c>
      <c r="Q84" s="2"/>
      <c r="R84" s="19">
        <f t="shared" si="27"/>
        <v>0</v>
      </c>
      <c r="S84" s="2"/>
      <c r="T84" s="2">
        <v>1240595.48</v>
      </c>
      <c r="U84" s="2"/>
      <c r="V84" s="19">
        <f t="shared" si="28"/>
        <v>0.50276011893631078</v>
      </c>
      <c r="W84" s="2"/>
      <c r="X84" s="2">
        <f t="shared" si="29"/>
        <v>-1240595.48</v>
      </c>
      <c r="Y84" s="2"/>
      <c r="Z84" s="19">
        <f t="shared" si="30"/>
        <v>-1</v>
      </c>
    </row>
    <row r="85" spans="1:26" s="24" customFormat="1" hidden="1" outlineLevel="1" x14ac:dyDescent="0.3">
      <c r="A85" s="44"/>
      <c r="B85" s="11" t="str">
        <f>CONCATENATE("          ", "5002", " - ", "PURCHASES @ COST-USED TEXT")</f>
        <v xml:space="preserve">          5002 - PURCHASES @ COST-USED TEXT</v>
      </c>
      <c r="C85" s="11"/>
      <c r="D85" s="2"/>
      <c r="E85" s="2"/>
      <c r="F85" s="19">
        <f t="shared" si="23"/>
        <v>0</v>
      </c>
      <c r="G85" s="2"/>
      <c r="H85" s="2">
        <v>-208829.28</v>
      </c>
      <c r="I85" s="2"/>
      <c r="J85" s="19">
        <f t="shared" si="24"/>
        <v>-1.8818083661327027</v>
      </c>
      <c r="K85" s="2"/>
      <c r="L85" s="2">
        <f t="shared" si="25"/>
        <v>208829.28</v>
      </c>
      <c r="M85" s="2"/>
      <c r="N85" s="19">
        <f t="shared" si="26"/>
        <v>-1</v>
      </c>
      <c r="O85" s="11"/>
      <c r="P85" s="2">
        <v>0</v>
      </c>
      <c r="Q85" s="2"/>
      <c r="R85" s="19">
        <f t="shared" si="27"/>
        <v>0</v>
      </c>
      <c r="S85" s="2"/>
      <c r="T85" s="2">
        <v>94234.05</v>
      </c>
      <c r="U85" s="2"/>
      <c r="V85" s="19">
        <f t="shared" si="28"/>
        <v>3.8189017249885729E-2</v>
      </c>
      <c r="W85" s="2"/>
      <c r="X85" s="2">
        <f t="shared" si="29"/>
        <v>-94234.05</v>
      </c>
      <c r="Y85" s="2"/>
      <c r="Z85" s="19">
        <f t="shared" si="30"/>
        <v>-1</v>
      </c>
    </row>
    <row r="86" spans="1:26" s="24" customFormat="1" hidden="1" outlineLevel="1" x14ac:dyDescent="0.3">
      <c r="A86" s="44"/>
      <c r="B86" s="11" t="str">
        <f>CONCATENATE("          ", "5003", " - ", "PURCHASES @ COST-RENTAL TEXT")</f>
        <v xml:space="preserve">          5003 - PURCHASES @ COST-RENTAL TEXT</v>
      </c>
      <c r="C86" s="11"/>
      <c r="D86" s="2"/>
      <c r="E86" s="2"/>
      <c r="F86" s="19">
        <f t="shared" si="23"/>
        <v>0</v>
      </c>
      <c r="G86" s="2"/>
      <c r="H86" s="2">
        <v>517.92999999999995</v>
      </c>
      <c r="I86" s="2"/>
      <c r="J86" s="19">
        <f t="shared" si="24"/>
        <v>4.6671855932803614E-3</v>
      </c>
      <c r="K86" s="2"/>
      <c r="L86" s="2">
        <f t="shared" si="25"/>
        <v>-517.92999999999995</v>
      </c>
      <c r="M86" s="2"/>
      <c r="N86" s="19">
        <f t="shared" si="26"/>
        <v>-1</v>
      </c>
      <c r="O86" s="11"/>
      <c r="P86" s="2"/>
      <c r="Q86" s="2"/>
      <c r="R86" s="19">
        <f t="shared" si="27"/>
        <v>0</v>
      </c>
      <c r="S86" s="2"/>
      <c r="T86" s="2">
        <v>32.520000000000003</v>
      </c>
      <c r="U86" s="2"/>
      <c r="V86" s="19">
        <f t="shared" si="28"/>
        <v>1.3178960693786204E-5</v>
      </c>
      <c r="W86" s="2"/>
      <c r="X86" s="2">
        <f t="shared" si="29"/>
        <v>-32.520000000000003</v>
      </c>
      <c r="Y86" s="2"/>
      <c r="Z86" s="19">
        <f t="shared" si="30"/>
        <v>-1</v>
      </c>
    </row>
    <row r="87" spans="1:26" s="24" customFormat="1" hidden="1" outlineLevel="1" x14ac:dyDescent="0.3">
      <c r="A87" s="44"/>
      <c r="B87" s="11" t="str">
        <f>CONCATENATE("          ", "5004", " - ", "PURCHASES @ COST-DIGITAL TEXT")</f>
        <v xml:space="preserve">          5004 - PURCHASES @ COST-DIGITAL TEXT</v>
      </c>
      <c r="C87" s="11"/>
      <c r="D87" s="2"/>
      <c r="E87" s="2"/>
      <c r="F87" s="19">
        <f t="shared" si="23"/>
        <v>0</v>
      </c>
      <c r="G87" s="2"/>
      <c r="H87" s="2">
        <v>1418.58</v>
      </c>
      <c r="I87" s="2"/>
      <c r="J87" s="19">
        <f t="shared" si="24"/>
        <v>1.2783148570107263E-2</v>
      </c>
      <c r="K87" s="2"/>
      <c r="L87" s="2">
        <f t="shared" si="25"/>
        <v>-1418.58</v>
      </c>
      <c r="M87" s="2"/>
      <c r="N87" s="19">
        <f t="shared" si="26"/>
        <v>-1</v>
      </c>
      <c r="O87" s="11"/>
      <c r="P87" s="2">
        <v>0</v>
      </c>
      <c r="Q87" s="2"/>
      <c r="R87" s="19">
        <f t="shared" si="27"/>
        <v>0</v>
      </c>
      <c r="S87" s="2"/>
      <c r="T87" s="2">
        <v>196938.11</v>
      </c>
      <c r="U87" s="2"/>
      <c r="V87" s="19">
        <f t="shared" si="28"/>
        <v>7.9810566137716588E-2</v>
      </c>
      <c r="W87" s="2"/>
      <c r="X87" s="2">
        <f t="shared" si="29"/>
        <v>-196938.11</v>
      </c>
      <c r="Y87" s="2"/>
      <c r="Z87" s="19">
        <f t="shared" si="30"/>
        <v>-1</v>
      </c>
    </row>
    <row r="88" spans="1:26" s="24" customFormat="1" hidden="1" outlineLevel="1" x14ac:dyDescent="0.3">
      <c r="A88" s="44"/>
      <c r="B88" s="11" t="str">
        <f>CONCATENATE("          ", "5011", " - ", "PURCHASES @ COST-NO VALUE TEXT")</f>
        <v xml:space="preserve">          5011 - PURCHASES @ COST-NO VALUE TEXT</v>
      </c>
      <c r="C88" s="11"/>
      <c r="D88" s="2"/>
      <c r="E88" s="2"/>
      <c r="F88" s="19">
        <f t="shared" si="23"/>
        <v>0</v>
      </c>
      <c r="G88" s="2"/>
      <c r="H88" s="2"/>
      <c r="I88" s="2"/>
      <c r="J88" s="19">
        <f t="shared" si="24"/>
        <v>0</v>
      </c>
      <c r="K88" s="2"/>
      <c r="L88" s="2">
        <f t="shared" si="25"/>
        <v>0</v>
      </c>
      <c r="M88" s="2"/>
      <c r="N88" s="19">
        <f t="shared" si="26"/>
        <v>0</v>
      </c>
      <c r="O88" s="11"/>
      <c r="P88" s="2"/>
      <c r="Q88" s="2"/>
      <c r="R88" s="19">
        <f t="shared" si="27"/>
        <v>0</v>
      </c>
      <c r="S88" s="2"/>
      <c r="T88" s="2">
        <v>67.17</v>
      </c>
      <c r="U88" s="2"/>
      <c r="V88" s="19">
        <f t="shared" si="28"/>
        <v>2.7221118997589769E-5</v>
      </c>
      <c r="W88" s="2"/>
      <c r="X88" s="2">
        <f t="shared" si="29"/>
        <v>-67.17</v>
      </c>
      <c r="Y88" s="2"/>
      <c r="Z88" s="19">
        <f t="shared" si="30"/>
        <v>-1</v>
      </c>
    </row>
    <row r="89" spans="1:26" s="24" customFormat="1" hidden="1" outlineLevel="1" x14ac:dyDescent="0.3">
      <c r="A89" s="44"/>
      <c r="B89" s="11" t="str">
        <f>CONCATENATE("          ", "5013", " - ", "PURCHASES @ COST-TRADE BOOKS")</f>
        <v xml:space="preserve">          5013 - PURCHASES @ COST-TRADE BOOKS</v>
      </c>
      <c r="C89" s="11"/>
      <c r="D89" s="2"/>
      <c r="E89" s="2"/>
      <c r="F89" s="19">
        <f t="shared" si="23"/>
        <v>0</v>
      </c>
      <c r="G89" s="2"/>
      <c r="H89" s="2">
        <v>611.1</v>
      </c>
      <c r="I89" s="2"/>
      <c r="J89" s="19">
        <f t="shared" si="24"/>
        <v>5.5067617555531233E-3</v>
      </c>
      <c r="K89" s="2"/>
      <c r="L89" s="2">
        <f t="shared" si="25"/>
        <v>-611.1</v>
      </c>
      <c r="M89" s="2"/>
      <c r="N89" s="19">
        <f t="shared" si="26"/>
        <v>-1</v>
      </c>
      <c r="O89" s="11"/>
      <c r="P89" s="2"/>
      <c r="Q89" s="2"/>
      <c r="R89" s="19">
        <f t="shared" si="27"/>
        <v>0</v>
      </c>
      <c r="S89" s="2"/>
      <c r="T89" s="2">
        <v>2094.7399999999998</v>
      </c>
      <c r="U89" s="2"/>
      <c r="V89" s="19">
        <f t="shared" si="28"/>
        <v>8.489082448862764E-4</v>
      </c>
      <c r="W89" s="2"/>
      <c r="X89" s="2">
        <f t="shared" si="29"/>
        <v>-2094.7399999999998</v>
      </c>
      <c r="Y89" s="2"/>
      <c r="Z89" s="19">
        <f t="shared" si="30"/>
        <v>-1</v>
      </c>
    </row>
    <row r="90" spans="1:26" s="24" customFormat="1" hidden="1" outlineLevel="1" x14ac:dyDescent="0.3">
      <c r="A90" s="44"/>
      <c r="B90" s="11" t="str">
        <f>CONCATENATE("          ", "5014", " - ", "PURCHASES @ COST-REMAINDERS")</f>
        <v xml:space="preserve">          5014 - PURCHASES @ COST-REMAINDERS</v>
      </c>
      <c r="C90" s="11"/>
      <c r="D90" s="2"/>
      <c r="E90" s="2"/>
      <c r="F90" s="19">
        <f t="shared" si="23"/>
        <v>0</v>
      </c>
      <c r="G90" s="2"/>
      <c r="H90" s="2"/>
      <c r="I90" s="2"/>
      <c r="J90" s="19">
        <f t="shared" si="24"/>
        <v>0</v>
      </c>
      <c r="K90" s="2"/>
      <c r="L90" s="2">
        <f t="shared" si="25"/>
        <v>0</v>
      </c>
      <c r="M90" s="2"/>
      <c r="N90" s="19">
        <f t="shared" si="26"/>
        <v>0</v>
      </c>
      <c r="O90" s="11"/>
      <c r="P90" s="2"/>
      <c r="Q90" s="2"/>
      <c r="R90" s="19">
        <f t="shared" si="27"/>
        <v>0</v>
      </c>
      <c r="S90" s="2"/>
      <c r="T90" s="2">
        <v>90.41</v>
      </c>
      <c r="U90" s="2"/>
      <c r="V90" s="19">
        <f t="shared" si="28"/>
        <v>3.6639293859938823E-5</v>
      </c>
      <c r="W90" s="2"/>
      <c r="X90" s="2">
        <f t="shared" si="29"/>
        <v>-90.41</v>
      </c>
      <c r="Y90" s="2"/>
      <c r="Z90" s="19">
        <f t="shared" si="30"/>
        <v>-1</v>
      </c>
    </row>
    <row r="91" spans="1:26" s="24" customFormat="1" hidden="1" outlineLevel="1" x14ac:dyDescent="0.3">
      <c r="A91" s="44"/>
      <c r="B91" s="11" t="str">
        <f>CONCATENATE("          ", "5018", " - ", "PURCHASES @ COST-STUDY GUIDES")</f>
        <v xml:space="preserve">          5018 - PURCHASES @ COST-STUDY GUIDES</v>
      </c>
      <c r="C91" s="11"/>
      <c r="D91" s="2"/>
      <c r="E91" s="2"/>
      <c r="F91" s="19">
        <f t="shared" si="23"/>
        <v>0</v>
      </c>
      <c r="G91" s="2"/>
      <c r="H91" s="2">
        <v>106.34</v>
      </c>
      <c r="I91" s="2"/>
      <c r="J91" s="19">
        <f t="shared" si="24"/>
        <v>9.5825404203161361E-4</v>
      </c>
      <c r="K91" s="2"/>
      <c r="L91" s="2">
        <f t="shared" si="25"/>
        <v>-106.34</v>
      </c>
      <c r="M91" s="2"/>
      <c r="N91" s="19">
        <f t="shared" si="26"/>
        <v>-1</v>
      </c>
      <c r="O91" s="11"/>
      <c r="P91" s="2"/>
      <c r="Q91" s="2"/>
      <c r="R91" s="19">
        <f t="shared" si="27"/>
        <v>0</v>
      </c>
      <c r="S91" s="2"/>
      <c r="T91" s="2">
        <v>106.34</v>
      </c>
      <c r="U91" s="2"/>
      <c r="V91" s="19">
        <f t="shared" si="28"/>
        <v>4.3095039365843322E-5</v>
      </c>
      <c r="W91" s="2"/>
      <c r="X91" s="2">
        <f t="shared" si="29"/>
        <v>-106.34</v>
      </c>
      <c r="Y91" s="2"/>
      <c r="Z91" s="19">
        <f t="shared" si="30"/>
        <v>-1</v>
      </c>
    </row>
    <row r="92" spans="1:26" s="24" customFormat="1" hidden="1" outlineLevel="1" x14ac:dyDescent="0.3">
      <c r="A92" s="44"/>
      <c r="B92" s="11" t="str">
        <f>CONCATENATE("          ", "5025", " - ", "PURCHASES @ COST-TEST FORMS")</f>
        <v xml:space="preserve">          5025 - PURCHASES @ COST-TEST FORMS</v>
      </c>
      <c r="C92" s="11"/>
      <c r="D92" s="2"/>
      <c r="E92" s="2"/>
      <c r="F92" s="19">
        <f t="shared" si="23"/>
        <v>0</v>
      </c>
      <c r="G92" s="2"/>
      <c r="H92" s="2"/>
      <c r="I92" s="2"/>
      <c r="J92" s="19">
        <f t="shared" si="24"/>
        <v>0</v>
      </c>
      <c r="K92" s="2"/>
      <c r="L92" s="2">
        <f t="shared" si="25"/>
        <v>0</v>
      </c>
      <c r="M92" s="2"/>
      <c r="N92" s="19">
        <f t="shared" si="26"/>
        <v>0</v>
      </c>
      <c r="O92" s="11"/>
      <c r="P92" s="2"/>
      <c r="Q92" s="2"/>
      <c r="R92" s="19">
        <f t="shared" si="27"/>
        <v>0</v>
      </c>
      <c r="S92" s="2"/>
      <c r="T92" s="2">
        <v>599.29</v>
      </c>
      <c r="U92" s="2"/>
      <c r="V92" s="19">
        <f t="shared" si="28"/>
        <v>2.428665238062464E-4</v>
      </c>
      <c r="W92" s="2"/>
      <c r="X92" s="2">
        <f t="shared" si="29"/>
        <v>-599.29</v>
      </c>
      <c r="Y92" s="2"/>
      <c r="Z92" s="19">
        <f t="shared" si="30"/>
        <v>-1</v>
      </c>
    </row>
    <row r="93" spans="1:26" s="24" customFormat="1" hidden="1" outlineLevel="1" x14ac:dyDescent="0.3">
      <c r="A93" s="44"/>
      <c r="B93" s="11" t="str">
        <f>CONCATENATE("          ", "5026", " - ", "PURCHASES @ COST-WRITING INSTR")</f>
        <v xml:space="preserve">          5026 - PURCHASES @ COST-WRITING INSTR</v>
      </c>
      <c r="C93" s="11"/>
      <c r="D93" s="2"/>
      <c r="E93" s="2"/>
      <c r="F93" s="19">
        <f t="shared" si="23"/>
        <v>0</v>
      </c>
      <c r="G93" s="2"/>
      <c r="H93" s="2"/>
      <c r="I93" s="2"/>
      <c r="J93" s="19">
        <f t="shared" si="24"/>
        <v>0</v>
      </c>
      <c r="K93" s="2"/>
      <c r="L93" s="2">
        <f t="shared" si="25"/>
        <v>0</v>
      </c>
      <c r="M93" s="2"/>
      <c r="N93" s="19">
        <f t="shared" si="26"/>
        <v>0</v>
      </c>
      <c r="O93" s="11"/>
      <c r="P93" s="2">
        <v>0</v>
      </c>
      <c r="Q93" s="2"/>
      <c r="R93" s="19">
        <f t="shared" si="27"/>
        <v>0</v>
      </c>
      <c r="S93" s="2"/>
      <c r="T93" s="2">
        <v>380.02</v>
      </c>
      <c r="U93" s="2"/>
      <c r="V93" s="19">
        <f t="shared" si="28"/>
        <v>1.5400580082572672E-4</v>
      </c>
      <c r="W93" s="2"/>
      <c r="X93" s="2">
        <f t="shared" si="29"/>
        <v>-380.02</v>
      </c>
      <c r="Y93" s="2"/>
      <c r="Z93" s="19">
        <f t="shared" si="30"/>
        <v>-1</v>
      </c>
    </row>
    <row r="94" spans="1:26" s="24" customFormat="1" hidden="1" outlineLevel="1" x14ac:dyDescent="0.3">
      <c r="A94" s="44"/>
      <c r="B94" s="11" t="str">
        <f>CONCATENATE("          ", "5027", " - ", "PURCHASES @ COST-SCHOOL SUPPLI")</f>
        <v xml:space="preserve">          5027 - PURCHASES @ COST-SCHOOL SUPPLI</v>
      </c>
      <c r="C94" s="11"/>
      <c r="D94" s="2"/>
      <c r="E94" s="2"/>
      <c r="F94" s="19">
        <f t="shared" si="23"/>
        <v>0</v>
      </c>
      <c r="G94" s="2"/>
      <c r="H94" s="2"/>
      <c r="I94" s="2"/>
      <c r="J94" s="19">
        <f t="shared" si="24"/>
        <v>0</v>
      </c>
      <c r="K94" s="2"/>
      <c r="L94" s="2">
        <f t="shared" si="25"/>
        <v>0</v>
      </c>
      <c r="M94" s="2"/>
      <c r="N94" s="19">
        <f t="shared" si="26"/>
        <v>0</v>
      </c>
      <c r="O94" s="11"/>
      <c r="P94" s="2">
        <v>0</v>
      </c>
      <c r="Q94" s="2"/>
      <c r="R94" s="19">
        <f t="shared" si="27"/>
        <v>0</v>
      </c>
      <c r="S94" s="2"/>
      <c r="T94" s="2">
        <v>19071.349999999999</v>
      </c>
      <c r="U94" s="2"/>
      <c r="V94" s="19">
        <f t="shared" si="28"/>
        <v>7.7287998778425423E-3</v>
      </c>
      <c r="W94" s="2"/>
      <c r="X94" s="2">
        <f t="shared" si="29"/>
        <v>-19071.349999999999</v>
      </c>
      <c r="Y94" s="2"/>
      <c r="Z94" s="19">
        <f t="shared" si="30"/>
        <v>-1</v>
      </c>
    </row>
    <row r="95" spans="1:26" s="24" customFormat="1" hidden="1" outlineLevel="1" x14ac:dyDescent="0.3">
      <c r="A95" s="44"/>
      <c r="B95" s="11" t="str">
        <f>CONCATENATE("          ", "5028", " - ", "PURCHASES @ COST-ART/TECH")</f>
        <v xml:space="preserve">          5028 - PURCHASES @ COST-ART/TECH</v>
      </c>
      <c r="C95" s="11"/>
      <c r="D95" s="2"/>
      <c r="E95" s="2"/>
      <c r="F95" s="19">
        <f t="shared" si="23"/>
        <v>0</v>
      </c>
      <c r="G95" s="2"/>
      <c r="H95" s="2">
        <v>15.89</v>
      </c>
      <c r="I95" s="2"/>
      <c r="J95" s="19">
        <f t="shared" si="24"/>
        <v>1.431884213643252E-4</v>
      </c>
      <c r="K95" s="2"/>
      <c r="L95" s="2">
        <f t="shared" si="25"/>
        <v>-15.89</v>
      </c>
      <c r="M95" s="2"/>
      <c r="N95" s="19">
        <f t="shared" si="26"/>
        <v>-1</v>
      </c>
      <c r="O95" s="11"/>
      <c r="P95" s="2">
        <v>0</v>
      </c>
      <c r="Q95" s="2"/>
      <c r="R95" s="19">
        <f t="shared" si="27"/>
        <v>0</v>
      </c>
      <c r="S95" s="2"/>
      <c r="T95" s="2">
        <v>41358.449999999997</v>
      </c>
      <c r="U95" s="2"/>
      <c r="V95" s="19">
        <f t="shared" si="28"/>
        <v>1.6760805255409655E-2</v>
      </c>
      <c r="W95" s="2"/>
      <c r="X95" s="2">
        <f t="shared" si="29"/>
        <v>-41358.449999999997</v>
      </c>
      <c r="Y95" s="2"/>
      <c r="Z95" s="19">
        <f t="shared" si="30"/>
        <v>-1</v>
      </c>
    </row>
    <row r="96" spans="1:26" s="24" customFormat="1" hidden="1" outlineLevel="1" x14ac:dyDescent="0.3">
      <c r="A96" s="44"/>
      <c r="B96" s="11" t="str">
        <f>CONCATENATE("          ", "5031", " - ", "PURCHASES @ COST-FOOD")</f>
        <v xml:space="preserve">          5031 - PURCHASES @ COST-FOOD</v>
      </c>
      <c r="C96" s="11"/>
      <c r="D96" s="2"/>
      <c r="E96" s="2"/>
      <c r="F96" s="19">
        <f t="shared" si="23"/>
        <v>0</v>
      </c>
      <c r="G96" s="2"/>
      <c r="H96" s="2"/>
      <c r="I96" s="2"/>
      <c r="J96" s="19">
        <f t="shared" si="24"/>
        <v>0</v>
      </c>
      <c r="K96" s="2"/>
      <c r="L96" s="2">
        <f t="shared" si="25"/>
        <v>0</v>
      </c>
      <c r="M96" s="2"/>
      <c r="N96" s="19">
        <f t="shared" si="26"/>
        <v>0</v>
      </c>
      <c r="O96" s="11"/>
      <c r="P96" s="2">
        <v>0</v>
      </c>
      <c r="Q96" s="2"/>
      <c r="R96" s="19">
        <f t="shared" si="27"/>
        <v>0</v>
      </c>
      <c r="S96" s="2"/>
      <c r="T96" s="2">
        <v>8535.1</v>
      </c>
      <c r="U96" s="2"/>
      <c r="V96" s="19">
        <f t="shared" si="28"/>
        <v>3.4589098221874115E-3</v>
      </c>
      <c r="W96" s="2"/>
      <c r="X96" s="2">
        <f t="shared" si="29"/>
        <v>-8535.1</v>
      </c>
      <c r="Y96" s="2"/>
      <c r="Z96" s="19">
        <f t="shared" si="30"/>
        <v>-1</v>
      </c>
    </row>
    <row r="97" spans="1:26" s="24" customFormat="1" hidden="1" outlineLevel="1" x14ac:dyDescent="0.3">
      <c r="A97" s="44"/>
      <c r="B97" s="11" t="str">
        <f>CONCATENATE("          ", "5040", " - ", "PURCHASES @ COST-LOGO CLOTHING")</f>
        <v xml:space="preserve">          5040 - PURCHASES @ COST-LOGO CLOTHING</v>
      </c>
      <c r="C97" s="11"/>
      <c r="D97" s="2"/>
      <c r="E97" s="2"/>
      <c r="F97" s="19">
        <f t="shared" si="23"/>
        <v>0</v>
      </c>
      <c r="G97" s="2"/>
      <c r="H97" s="2">
        <v>55124.33</v>
      </c>
      <c r="I97" s="2"/>
      <c r="J97" s="19">
        <f t="shared" si="24"/>
        <v>0.49673793527162441</v>
      </c>
      <c r="K97" s="2"/>
      <c r="L97" s="2">
        <f t="shared" si="25"/>
        <v>-55124.33</v>
      </c>
      <c r="M97" s="2"/>
      <c r="N97" s="19">
        <f t="shared" si="26"/>
        <v>-1</v>
      </c>
      <c r="O97" s="11"/>
      <c r="P97" s="2">
        <v>0</v>
      </c>
      <c r="Q97" s="2"/>
      <c r="R97" s="19">
        <f t="shared" si="27"/>
        <v>0</v>
      </c>
      <c r="S97" s="2"/>
      <c r="T97" s="2">
        <v>94295.28</v>
      </c>
      <c r="U97" s="2"/>
      <c r="V97" s="19">
        <f t="shared" si="28"/>
        <v>3.8213831141745522E-2</v>
      </c>
      <c r="W97" s="2"/>
      <c r="X97" s="2">
        <f t="shared" si="29"/>
        <v>-94295.28</v>
      </c>
      <c r="Y97" s="2"/>
      <c r="Z97" s="19">
        <f t="shared" si="30"/>
        <v>-1</v>
      </c>
    </row>
    <row r="98" spans="1:26" s="24" customFormat="1" hidden="1" outlineLevel="1" x14ac:dyDescent="0.3">
      <c r="A98" s="44"/>
      <c r="B98" s="11" t="str">
        <f>CONCATENATE("          ", "5041", " - ", "PURCHASES @ COST-LOGO GIFTS")</f>
        <v xml:space="preserve">          5041 - PURCHASES @ COST-LOGO GIFTS</v>
      </c>
      <c r="C98" s="11"/>
      <c r="D98" s="2"/>
      <c r="E98" s="2"/>
      <c r="F98" s="19">
        <f t="shared" si="23"/>
        <v>0</v>
      </c>
      <c r="G98" s="2"/>
      <c r="H98" s="2">
        <v>9354.43</v>
      </c>
      <c r="I98" s="2"/>
      <c r="J98" s="19">
        <f t="shared" si="24"/>
        <v>8.4294906511207329E-2</v>
      </c>
      <c r="K98" s="2"/>
      <c r="L98" s="2">
        <f t="shared" si="25"/>
        <v>-9354.43</v>
      </c>
      <c r="M98" s="2"/>
      <c r="N98" s="19">
        <f t="shared" si="26"/>
        <v>-1</v>
      </c>
      <c r="O98" s="11"/>
      <c r="P98" s="2">
        <v>0</v>
      </c>
      <c r="Q98" s="2"/>
      <c r="R98" s="19">
        <f t="shared" si="27"/>
        <v>0</v>
      </c>
      <c r="S98" s="2"/>
      <c r="T98" s="2">
        <v>26641.77</v>
      </c>
      <c r="U98" s="2"/>
      <c r="V98" s="19">
        <f t="shared" si="28"/>
        <v>1.079676628668181E-2</v>
      </c>
      <c r="W98" s="2"/>
      <c r="X98" s="2">
        <f t="shared" si="29"/>
        <v>-26641.77</v>
      </c>
      <c r="Y98" s="2"/>
      <c r="Z98" s="19">
        <f t="shared" si="30"/>
        <v>-1</v>
      </c>
    </row>
    <row r="99" spans="1:26" s="24" customFormat="1" hidden="1" outlineLevel="1" x14ac:dyDescent="0.3">
      <c r="A99" s="44"/>
      <c r="B99" s="11" t="str">
        <f>CONCATENATE("          ", "5042", " - ", "PURCHASES @ COST-EVERYDAY GIFT")</f>
        <v xml:space="preserve">          5042 - PURCHASES @ COST-EVERYDAY GIFT</v>
      </c>
      <c r="C99" s="11"/>
      <c r="D99" s="2"/>
      <c r="E99" s="2"/>
      <c r="F99" s="19">
        <f t="shared" si="23"/>
        <v>0</v>
      </c>
      <c r="G99" s="2"/>
      <c r="H99" s="2"/>
      <c r="I99" s="2"/>
      <c r="J99" s="19">
        <f t="shared" si="24"/>
        <v>0</v>
      </c>
      <c r="K99" s="2"/>
      <c r="L99" s="2">
        <f t="shared" si="25"/>
        <v>0</v>
      </c>
      <c r="M99" s="2"/>
      <c r="N99" s="19">
        <f t="shared" si="26"/>
        <v>0</v>
      </c>
      <c r="O99" s="11"/>
      <c r="P99" s="2">
        <v>0</v>
      </c>
      <c r="Q99" s="2"/>
      <c r="R99" s="19">
        <f t="shared" si="27"/>
        <v>0</v>
      </c>
      <c r="S99" s="2"/>
      <c r="T99" s="2">
        <v>10912.68</v>
      </c>
      <c r="U99" s="2"/>
      <c r="V99" s="19">
        <f t="shared" si="28"/>
        <v>4.4224409835137398E-3</v>
      </c>
      <c r="W99" s="2"/>
      <c r="X99" s="2">
        <f t="shared" si="29"/>
        <v>-10912.68</v>
      </c>
      <c r="Y99" s="2"/>
      <c r="Z99" s="19">
        <f t="shared" si="30"/>
        <v>-1</v>
      </c>
    </row>
    <row r="100" spans="1:26" s="24" customFormat="1" hidden="1" outlineLevel="1" x14ac:dyDescent="0.3">
      <c r="A100" s="44"/>
      <c r="B100" s="11" t="str">
        <f>CONCATENATE("          ", "5043", " - ", "PURCHASES @ COST-CARDS")</f>
        <v xml:space="preserve">          5043 - PURCHASES @ COST-CARDS</v>
      </c>
      <c r="C100" s="11"/>
      <c r="D100" s="2"/>
      <c r="E100" s="2"/>
      <c r="F100" s="19">
        <f t="shared" si="23"/>
        <v>0</v>
      </c>
      <c r="G100" s="2"/>
      <c r="H100" s="2">
        <v>38530.230000000003</v>
      </c>
      <c r="I100" s="2"/>
      <c r="J100" s="19">
        <f t="shared" si="24"/>
        <v>0.34720470789832369</v>
      </c>
      <c r="K100" s="2"/>
      <c r="L100" s="2">
        <f t="shared" si="25"/>
        <v>-38530.230000000003</v>
      </c>
      <c r="M100" s="2"/>
      <c r="N100" s="19">
        <f t="shared" si="26"/>
        <v>-1</v>
      </c>
      <c r="O100" s="11"/>
      <c r="P100" s="2">
        <v>0</v>
      </c>
      <c r="Q100" s="2"/>
      <c r="R100" s="19">
        <f t="shared" si="27"/>
        <v>0</v>
      </c>
      <c r="S100" s="2"/>
      <c r="T100" s="2">
        <v>44173.23</v>
      </c>
      <c r="U100" s="2"/>
      <c r="V100" s="19">
        <f t="shared" si="28"/>
        <v>1.7901514818191192E-2</v>
      </c>
      <c r="W100" s="2"/>
      <c r="X100" s="2">
        <f t="shared" si="29"/>
        <v>-44173.23</v>
      </c>
      <c r="Y100" s="2"/>
      <c r="Z100" s="19">
        <f t="shared" si="30"/>
        <v>-1</v>
      </c>
    </row>
    <row r="101" spans="1:26" s="24" customFormat="1" hidden="1" outlineLevel="1" x14ac:dyDescent="0.3">
      <c r="A101" s="44"/>
      <c r="B101" s="11" t="str">
        <f>CONCATENATE("          ", "5044", " - ", "PURCHASES @ COST-ACCESSORIES")</f>
        <v xml:space="preserve">          5044 - PURCHASES @ COST-ACCESSORIES</v>
      </c>
      <c r="C101" s="11"/>
      <c r="D101" s="2"/>
      <c r="E101" s="2"/>
      <c r="F101" s="19">
        <f t="shared" si="23"/>
        <v>0</v>
      </c>
      <c r="G101" s="2"/>
      <c r="H101" s="2">
        <v>282.33</v>
      </c>
      <c r="I101" s="2"/>
      <c r="J101" s="19">
        <f t="shared" si="24"/>
        <v>2.5441401512768993E-3</v>
      </c>
      <c r="K101" s="2"/>
      <c r="L101" s="2">
        <f t="shared" si="25"/>
        <v>-282.33</v>
      </c>
      <c r="M101" s="2"/>
      <c r="N101" s="19">
        <f t="shared" si="26"/>
        <v>-1</v>
      </c>
      <c r="O101" s="11"/>
      <c r="P101" s="2">
        <v>0</v>
      </c>
      <c r="Q101" s="2"/>
      <c r="R101" s="19">
        <f t="shared" si="27"/>
        <v>0</v>
      </c>
      <c r="S101" s="2"/>
      <c r="T101" s="2">
        <v>282.33</v>
      </c>
      <c r="U101" s="2"/>
      <c r="V101" s="19">
        <f t="shared" si="28"/>
        <v>1.1441623532216048E-4</v>
      </c>
      <c r="W101" s="2"/>
      <c r="X101" s="2">
        <f t="shared" si="29"/>
        <v>-282.33</v>
      </c>
      <c r="Y101" s="2"/>
      <c r="Z101" s="19">
        <f t="shared" si="30"/>
        <v>-1</v>
      </c>
    </row>
    <row r="102" spans="1:26" s="24" customFormat="1" hidden="1" outlineLevel="1" x14ac:dyDescent="0.3">
      <c r="A102" s="44"/>
      <c r="B102" s="11" t="str">
        <f>CONCATENATE("          ", "5045", " - ", "PURCHASES @ COST-SPECIAL ORDER")</f>
        <v xml:space="preserve">          5045 - PURCHASES @ COST-SPECIAL ORDER</v>
      </c>
      <c r="C102" s="11"/>
      <c r="D102" s="2"/>
      <c r="E102" s="2"/>
      <c r="F102" s="19">
        <f t="shared" si="23"/>
        <v>0</v>
      </c>
      <c r="G102" s="2"/>
      <c r="H102" s="2">
        <v>5678</v>
      </c>
      <c r="I102" s="2"/>
      <c r="J102" s="19">
        <f t="shared" si="24"/>
        <v>5.1165755601424695E-2</v>
      </c>
      <c r="K102" s="2"/>
      <c r="L102" s="2">
        <f t="shared" si="25"/>
        <v>-5678</v>
      </c>
      <c r="M102" s="2"/>
      <c r="N102" s="19">
        <f t="shared" si="26"/>
        <v>-1</v>
      </c>
      <c r="O102" s="11"/>
      <c r="P102" s="2">
        <v>0</v>
      </c>
      <c r="Q102" s="2"/>
      <c r="R102" s="19">
        <f t="shared" si="27"/>
        <v>0</v>
      </c>
      <c r="S102" s="2"/>
      <c r="T102" s="2">
        <v>76932.52</v>
      </c>
      <c r="U102" s="2"/>
      <c r="V102" s="19">
        <f t="shared" si="28"/>
        <v>3.1177449481977891E-2</v>
      </c>
      <c r="W102" s="2"/>
      <c r="X102" s="2">
        <f t="shared" si="29"/>
        <v>-76932.52</v>
      </c>
      <c r="Y102" s="2"/>
      <c r="Z102" s="19">
        <f t="shared" si="30"/>
        <v>-1</v>
      </c>
    </row>
    <row r="103" spans="1:26" s="24" customFormat="1" hidden="1" outlineLevel="1" x14ac:dyDescent="0.3">
      <c r="A103" s="44"/>
      <c r="B103" s="11" t="str">
        <f>CONCATENATE("          ", "5053", " - ", "PURCHASES @ COST-FOOD")</f>
        <v xml:space="preserve">          5053 - PURCHASES @ COST-FOOD</v>
      </c>
      <c r="C103" s="11"/>
      <c r="D103" s="2">
        <v>3858.46</v>
      </c>
      <c r="E103" s="2"/>
      <c r="F103" s="19">
        <f t="shared" si="23"/>
        <v>1.2444249843909076E-2</v>
      </c>
      <c r="G103" s="2"/>
      <c r="H103" s="2"/>
      <c r="I103" s="2"/>
      <c r="J103" s="19">
        <f t="shared" si="24"/>
        <v>0</v>
      </c>
      <c r="K103" s="2"/>
      <c r="L103" s="2">
        <f t="shared" si="25"/>
        <v>3858.46</v>
      </c>
      <c r="M103" s="2"/>
      <c r="N103" s="19">
        <f t="shared" si="26"/>
        <v>0</v>
      </c>
      <c r="O103" s="11"/>
      <c r="P103" s="2">
        <v>39941.46</v>
      </c>
      <c r="Q103" s="2"/>
      <c r="R103" s="19">
        <f t="shared" si="27"/>
        <v>1.2377898884958494E-2</v>
      </c>
      <c r="S103" s="2"/>
      <c r="T103" s="2">
        <v>-2855.57</v>
      </c>
      <c r="U103" s="2"/>
      <c r="V103" s="19">
        <f t="shared" si="28"/>
        <v>-1.1572399996419148E-3</v>
      </c>
      <c r="W103" s="2"/>
      <c r="X103" s="2">
        <f t="shared" si="29"/>
        <v>42797.03</v>
      </c>
      <c r="Y103" s="2"/>
      <c r="Z103" s="19">
        <f t="shared" si="30"/>
        <v>-14.987210959633277</v>
      </c>
    </row>
    <row r="104" spans="1:26" s="24" customFormat="1" hidden="1" outlineLevel="1" x14ac:dyDescent="0.3">
      <c r="A104" s="44"/>
      <c r="B104" s="11" t="str">
        <f>CONCATENATE("          ", "5059", " - ", "PURCHASES @ COST-FOOD")</f>
        <v xml:space="preserve">          5059 - PURCHASES @ COST-FOOD</v>
      </c>
      <c r="C104" s="11"/>
      <c r="D104" s="2">
        <v>11508.72</v>
      </c>
      <c r="E104" s="2"/>
      <c r="F104" s="19">
        <f t="shared" si="23"/>
        <v>3.71177586559387E-2</v>
      </c>
      <c r="G104" s="2"/>
      <c r="H104" s="2"/>
      <c r="I104" s="2"/>
      <c r="J104" s="19">
        <f t="shared" si="24"/>
        <v>0</v>
      </c>
      <c r="K104" s="2"/>
      <c r="L104" s="2">
        <f t="shared" si="25"/>
        <v>11508.72</v>
      </c>
      <c r="M104" s="2"/>
      <c r="N104" s="19">
        <f t="shared" si="26"/>
        <v>0</v>
      </c>
      <c r="O104" s="11"/>
      <c r="P104" s="2">
        <v>-1208.44</v>
      </c>
      <c r="Q104" s="2"/>
      <c r="R104" s="19">
        <f t="shared" si="27"/>
        <v>-3.7449677924991328E-4</v>
      </c>
      <c r="S104" s="2"/>
      <c r="T104" s="2">
        <v>11697.91</v>
      </c>
      <c r="U104" s="2"/>
      <c r="V104" s="19">
        <f t="shared" si="28"/>
        <v>4.7406610113606565E-3</v>
      </c>
      <c r="W104" s="2"/>
      <c r="X104" s="2">
        <f t="shared" si="29"/>
        <v>-12906.35</v>
      </c>
      <c r="Y104" s="2"/>
      <c r="Z104" s="19">
        <f t="shared" si="30"/>
        <v>-1.1033039235213813</v>
      </c>
    </row>
    <row r="105" spans="1:26" s="24" customFormat="1" hidden="1" outlineLevel="1" x14ac:dyDescent="0.3">
      <c r="A105" s="44"/>
      <c r="B105" s="11" t="str">
        <f>CONCATENATE("          ", "5092", " - ", "PURCHASES @ COST-GRAD MERCH")</f>
        <v xml:space="preserve">          5092 - PURCHASES @ COST-GRAD MERCH</v>
      </c>
      <c r="C105" s="11"/>
      <c r="D105" s="2"/>
      <c r="E105" s="2"/>
      <c r="F105" s="19">
        <f t="shared" si="23"/>
        <v>0</v>
      </c>
      <c r="G105" s="2"/>
      <c r="H105" s="2"/>
      <c r="I105" s="2"/>
      <c r="J105" s="19">
        <f t="shared" si="24"/>
        <v>0</v>
      </c>
      <c r="K105" s="2"/>
      <c r="L105" s="2">
        <f t="shared" si="25"/>
        <v>0</v>
      </c>
      <c r="M105" s="2"/>
      <c r="N105" s="19">
        <f t="shared" si="26"/>
        <v>0</v>
      </c>
      <c r="O105" s="11"/>
      <c r="P105" s="2"/>
      <c r="Q105" s="2"/>
      <c r="R105" s="19">
        <f t="shared" si="27"/>
        <v>0</v>
      </c>
      <c r="S105" s="2"/>
      <c r="T105" s="2">
        <v>0</v>
      </c>
      <c r="U105" s="2"/>
      <c r="V105" s="19">
        <f t="shared" si="28"/>
        <v>0</v>
      </c>
      <c r="W105" s="2"/>
      <c r="X105" s="2">
        <f t="shared" si="29"/>
        <v>0</v>
      </c>
      <c r="Y105" s="2"/>
      <c r="Z105" s="19">
        <f t="shared" si="30"/>
        <v>0</v>
      </c>
    </row>
    <row r="106" spans="1:26" s="24" customFormat="1" hidden="1" outlineLevel="1" x14ac:dyDescent="0.3">
      <c r="A106" s="44"/>
      <c r="B106" s="11" t="str">
        <f>CONCATENATE("          ", "5200", " - ", "PURCHASES OFFSET")</f>
        <v xml:space="preserve">          5200 - PURCHASES OFFSET</v>
      </c>
      <c r="C106" s="11"/>
      <c r="D106" s="2">
        <v>57137.78</v>
      </c>
      <c r="E106" s="2"/>
      <c r="F106" s="19">
        <f t="shared" si="23"/>
        <v>0.18427994843702178</v>
      </c>
      <c r="G106" s="2"/>
      <c r="H106" s="2">
        <v>196761.91</v>
      </c>
      <c r="I106" s="2"/>
      <c r="J106" s="19">
        <f t="shared" si="24"/>
        <v>1.7730665372894545</v>
      </c>
      <c r="K106" s="2"/>
      <c r="L106" s="2">
        <f t="shared" si="25"/>
        <v>-139624.13</v>
      </c>
      <c r="M106" s="2"/>
      <c r="N106" s="19">
        <f t="shared" si="26"/>
        <v>-0.70960954790487651</v>
      </c>
      <c r="O106" s="11"/>
      <c r="P106" s="2">
        <v>-2055217.21</v>
      </c>
      <c r="Q106" s="2"/>
      <c r="R106" s="19">
        <f t="shared" si="27"/>
        <v>-0.6369138937837151</v>
      </c>
      <c r="S106" s="2"/>
      <c r="T106" s="2">
        <v>-1572395.28</v>
      </c>
      <c r="U106" s="2"/>
      <c r="V106" s="19">
        <f t="shared" si="28"/>
        <v>-0.63722434164252617</v>
      </c>
      <c r="W106" s="2"/>
      <c r="X106" s="2">
        <f t="shared" si="29"/>
        <v>-482821.92999999993</v>
      </c>
      <c r="Y106" s="2"/>
      <c r="Z106" s="19">
        <f t="shared" si="30"/>
        <v>0.3070614216038603</v>
      </c>
    </row>
    <row r="107" spans="1:26" s="24" customFormat="1" hidden="1" outlineLevel="1" x14ac:dyDescent="0.3">
      <c r="A107" s="44"/>
      <c r="B107" s="11" t="str">
        <f>CONCATENATE("          ", "5300", " - ", "COG$ OFFSET")</f>
        <v xml:space="preserve">          5300 - COG$ OFFSET</v>
      </c>
      <c r="C107" s="11"/>
      <c r="D107" s="2">
        <v>137747.54999999999</v>
      </c>
      <c r="E107" s="2"/>
      <c r="F107" s="19">
        <f t="shared" si="23"/>
        <v>0.44426142232558002</v>
      </c>
      <c r="G107" s="2"/>
      <c r="H107" s="2">
        <v>60951</v>
      </c>
      <c r="I107" s="2"/>
      <c r="J107" s="19">
        <f t="shared" si="24"/>
        <v>0.54924339021881585</v>
      </c>
      <c r="K107" s="2"/>
      <c r="L107" s="2">
        <f t="shared" si="25"/>
        <v>76796.549999999988</v>
      </c>
      <c r="M107" s="2"/>
      <c r="N107" s="19">
        <f t="shared" si="26"/>
        <v>1.2599719446768713</v>
      </c>
      <c r="O107" s="11"/>
      <c r="P107" s="2">
        <v>1700080.36</v>
      </c>
      <c r="Q107" s="2"/>
      <c r="R107" s="19">
        <f t="shared" si="27"/>
        <v>0.52685662447952164</v>
      </c>
      <c r="S107" s="2"/>
      <c r="T107" s="2">
        <v>1256640</v>
      </c>
      <c r="U107" s="2"/>
      <c r="V107" s="19">
        <f t="shared" si="28"/>
        <v>0.50926227448460926</v>
      </c>
      <c r="W107" s="2"/>
      <c r="X107" s="2">
        <f t="shared" si="29"/>
        <v>443440.3600000001</v>
      </c>
      <c r="Y107" s="2"/>
      <c r="Z107" s="19">
        <f t="shared" si="30"/>
        <v>0.35287780112044825</v>
      </c>
    </row>
    <row r="108" spans="1:26" s="24" customFormat="1" hidden="1" outlineLevel="1" x14ac:dyDescent="0.3">
      <c r="A108" s="44"/>
      <c r="B108" s="11" t="str">
        <f>CONCATENATE("          ", "5500", " - ", "FREIGHT-IN")</f>
        <v xml:space="preserve">          5500 - FREIGHT-IN</v>
      </c>
      <c r="C108" s="11"/>
      <c r="D108" s="2">
        <v>11121.1</v>
      </c>
      <c r="E108" s="2"/>
      <c r="F108" s="19">
        <f t="shared" si="23"/>
        <v>3.5867612192195128E-2</v>
      </c>
      <c r="G108" s="2"/>
      <c r="H108" s="2"/>
      <c r="I108" s="2"/>
      <c r="J108" s="19">
        <f t="shared" si="24"/>
        <v>0</v>
      </c>
      <c r="K108" s="2"/>
      <c r="L108" s="2">
        <f t="shared" si="25"/>
        <v>11121.1</v>
      </c>
      <c r="M108" s="2"/>
      <c r="N108" s="19">
        <f t="shared" si="26"/>
        <v>0</v>
      </c>
      <c r="O108" s="11"/>
      <c r="P108" s="2">
        <v>60757.06</v>
      </c>
      <c r="Q108" s="2"/>
      <c r="R108" s="19">
        <f t="shared" si="27"/>
        <v>1.8828674395661958E-2</v>
      </c>
      <c r="S108" s="2"/>
      <c r="T108" s="2">
        <v>0</v>
      </c>
      <c r="U108" s="2"/>
      <c r="V108" s="19">
        <f t="shared" si="28"/>
        <v>0</v>
      </c>
      <c r="W108" s="2"/>
      <c r="X108" s="2">
        <f t="shared" si="29"/>
        <v>60757.06</v>
      </c>
      <c r="Y108" s="2"/>
      <c r="Z108" s="19">
        <f t="shared" si="30"/>
        <v>0</v>
      </c>
    </row>
    <row r="109" spans="1:26" s="24" customFormat="1" hidden="1" outlineLevel="1" x14ac:dyDescent="0.3">
      <c r="A109" s="44"/>
      <c r="B109" s="11" t="str">
        <f>CONCATENATE("          ", "5501", " - ", "FREIGHT-IN-NEW TEXT")</f>
        <v xml:space="preserve">          5501 - FREIGHT-IN-NEW TEXT</v>
      </c>
      <c r="C109" s="11"/>
      <c r="D109" s="2"/>
      <c r="E109" s="2"/>
      <c r="F109" s="19">
        <f t="shared" si="23"/>
        <v>0</v>
      </c>
      <c r="G109" s="2"/>
      <c r="H109" s="2">
        <v>990.19</v>
      </c>
      <c r="I109" s="2"/>
      <c r="J109" s="19">
        <f t="shared" si="24"/>
        <v>8.9228283795305952E-3</v>
      </c>
      <c r="K109" s="2"/>
      <c r="L109" s="2">
        <f t="shared" si="25"/>
        <v>-990.19</v>
      </c>
      <c r="M109" s="2"/>
      <c r="N109" s="19">
        <f t="shared" si="26"/>
        <v>-1</v>
      </c>
      <c r="O109" s="11"/>
      <c r="P109" s="2">
        <v>0</v>
      </c>
      <c r="Q109" s="2"/>
      <c r="R109" s="19">
        <f t="shared" si="27"/>
        <v>0</v>
      </c>
      <c r="S109" s="2"/>
      <c r="T109" s="2">
        <v>35048.81</v>
      </c>
      <c r="U109" s="2"/>
      <c r="V109" s="19">
        <f t="shared" si="28"/>
        <v>1.4203778885423764E-2</v>
      </c>
      <c r="W109" s="2"/>
      <c r="X109" s="2">
        <f t="shared" si="29"/>
        <v>-35048.81</v>
      </c>
      <c r="Y109" s="2"/>
      <c r="Z109" s="19">
        <f t="shared" si="30"/>
        <v>-1</v>
      </c>
    </row>
    <row r="110" spans="1:26" s="24" customFormat="1" hidden="1" outlineLevel="1" x14ac:dyDescent="0.3">
      <c r="A110" s="44"/>
      <c r="B110" s="11" t="str">
        <f>CONCATENATE("          ", "5502", " - ", "FREIGHT-IN-USED TEXT")</f>
        <v xml:space="preserve">          5502 - FREIGHT-IN-USED TEXT</v>
      </c>
      <c r="C110" s="11"/>
      <c r="D110" s="2"/>
      <c r="E110" s="2"/>
      <c r="F110" s="19">
        <f t="shared" si="23"/>
        <v>0</v>
      </c>
      <c r="G110" s="2"/>
      <c r="H110" s="2">
        <v>388.37</v>
      </c>
      <c r="I110" s="2"/>
      <c r="J110" s="19">
        <f t="shared" si="24"/>
        <v>3.499690824749086E-3</v>
      </c>
      <c r="K110" s="2"/>
      <c r="L110" s="2">
        <f t="shared" si="25"/>
        <v>-388.37</v>
      </c>
      <c r="M110" s="2"/>
      <c r="N110" s="19">
        <f t="shared" si="26"/>
        <v>-1</v>
      </c>
      <c r="O110" s="11"/>
      <c r="P110" s="2">
        <v>0</v>
      </c>
      <c r="Q110" s="2"/>
      <c r="R110" s="19">
        <f t="shared" si="27"/>
        <v>0</v>
      </c>
      <c r="S110" s="2"/>
      <c r="T110" s="2">
        <v>11133.09</v>
      </c>
      <c r="U110" s="2"/>
      <c r="V110" s="19">
        <f t="shared" si="28"/>
        <v>4.5117636995813115E-3</v>
      </c>
      <c r="W110" s="2"/>
      <c r="X110" s="2">
        <f t="shared" si="29"/>
        <v>-11133.09</v>
      </c>
      <c r="Y110" s="2"/>
      <c r="Z110" s="19">
        <f t="shared" si="30"/>
        <v>-1</v>
      </c>
    </row>
    <row r="111" spans="1:26" s="24" customFormat="1" hidden="1" outlineLevel="1" x14ac:dyDescent="0.3">
      <c r="A111" s="44"/>
      <c r="B111" s="11" t="str">
        <f>CONCATENATE("          ", "5504", " - ", "FREIGHT-IN-DIGITAL TEXT")</f>
        <v xml:space="preserve">          5504 - FREIGHT-IN-DIGITAL TEXT</v>
      </c>
      <c r="C111" s="11"/>
      <c r="D111" s="2"/>
      <c r="E111" s="2"/>
      <c r="F111" s="19">
        <f t="shared" si="23"/>
        <v>0</v>
      </c>
      <c r="G111" s="2"/>
      <c r="H111" s="2"/>
      <c r="I111" s="2"/>
      <c r="J111" s="19">
        <f t="shared" si="24"/>
        <v>0</v>
      </c>
      <c r="K111" s="2"/>
      <c r="L111" s="2">
        <f t="shared" si="25"/>
        <v>0</v>
      </c>
      <c r="M111" s="2"/>
      <c r="N111" s="19">
        <f t="shared" si="26"/>
        <v>0</v>
      </c>
      <c r="O111" s="11"/>
      <c r="P111" s="2"/>
      <c r="Q111" s="2"/>
      <c r="R111" s="19">
        <f t="shared" si="27"/>
        <v>0</v>
      </c>
      <c r="S111" s="2"/>
      <c r="T111" s="2">
        <v>21.98</v>
      </c>
      <c r="U111" s="2"/>
      <c r="V111" s="19">
        <f t="shared" si="28"/>
        <v>8.9075509240289291E-6</v>
      </c>
      <c r="W111" s="2"/>
      <c r="X111" s="2">
        <f t="shared" si="29"/>
        <v>-21.98</v>
      </c>
      <c r="Y111" s="2"/>
      <c r="Z111" s="19">
        <f t="shared" si="30"/>
        <v>-1</v>
      </c>
    </row>
    <row r="112" spans="1:26" s="24" customFormat="1" hidden="1" outlineLevel="1" x14ac:dyDescent="0.3">
      <c r="A112" s="44"/>
      <c r="B112" s="11" t="str">
        <f>CONCATENATE("          ", "5513", " - ", "FREIGHT-IN-TRADE BOOKS")</f>
        <v xml:space="preserve">          5513 - FREIGHT-IN-TRADE BOOKS</v>
      </c>
      <c r="C112" s="11"/>
      <c r="D112" s="2"/>
      <c r="E112" s="2"/>
      <c r="F112" s="19">
        <f t="shared" si="23"/>
        <v>0</v>
      </c>
      <c r="G112" s="2"/>
      <c r="H112" s="2">
        <v>26.46</v>
      </c>
      <c r="I112" s="2"/>
      <c r="J112" s="19">
        <f t="shared" si="24"/>
        <v>2.3843710694147543E-4</v>
      </c>
      <c r="K112" s="2"/>
      <c r="L112" s="2">
        <f t="shared" si="25"/>
        <v>-26.46</v>
      </c>
      <c r="M112" s="2"/>
      <c r="N112" s="19">
        <f t="shared" si="26"/>
        <v>-1</v>
      </c>
      <c r="O112" s="11"/>
      <c r="P112" s="2"/>
      <c r="Q112" s="2"/>
      <c r="R112" s="19">
        <f t="shared" si="27"/>
        <v>0</v>
      </c>
      <c r="S112" s="2"/>
      <c r="T112" s="2">
        <v>26.46</v>
      </c>
      <c r="U112" s="2"/>
      <c r="V112" s="19">
        <f t="shared" si="28"/>
        <v>1.0723102704722723E-5</v>
      </c>
      <c r="W112" s="2"/>
      <c r="X112" s="2">
        <f t="shared" si="29"/>
        <v>-26.46</v>
      </c>
      <c r="Y112" s="2"/>
      <c r="Z112" s="19">
        <f t="shared" si="30"/>
        <v>-1</v>
      </c>
    </row>
    <row r="113" spans="1:26" s="24" customFormat="1" hidden="1" outlineLevel="1" x14ac:dyDescent="0.3">
      <c r="A113" s="44"/>
      <c r="B113" s="11" t="str">
        <f>CONCATENATE("          ", "5518", " - ", "FREIGHT-IN-STUDY GUIDES")</f>
        <v xml:space="preserve">          5518 - FREIGHT-IN-STUDY GUIDES</v>
      </c>
      <c r="C113" s="11"/>
      <c r="D113" s="2"/>
      <c r="E113" s="2"/>
      <c r="F113" s="19">
        <f t="shared" si="23"/>
        <v>0</v>
      </c>
      <c r="G113" s="2"/>
      <c r="H113" s="2"/>
      <c r="I113" s="2"/>
      <c r="J113" s="19">
        <f t="shared" si="24"/>
        <v>0</v>
      </c>
      <c r="K113" s="2"/>
      <c r="L113" s="2">
        <f t="shared" si="25"/>
        <v>0</v>
      </c>
      <c r="M113" s="2"/>
      <c r="N113" s="19">
        <f t="shared" si="26"/>
        <v>0</v>
      </c>
      <c r="O113" s="11"/>
      <c r="P113" s="2">
        <v>0</v>
      </c>
      <c r="Q113" s="2"/>
      <c r="R113" s="19">
        <f t="shared" si="27"/>
        <v>0</v>
      </c>
      <c r="S113" s="2"/>
      <c r="T113" s="2"/>
      <c r="U113" s="2"/>
      <c r="V113" s="19">
        <f t="shared" si="28"/>
        <v>0</v>
      </c>
      <c r="W113" s="2"/>
      <c r="X113" s="2">
        <f t="shared" si="29"/>
        <v>0</v>
      </c>
      <c r="Y113" s="2"/>
      <c r="Z113" s="19">
        <f t="shared" si="30"/>
        <v>0</v>
      </c>
    </row>
    <row r="114" spans="1:26" s="24" customFormat="1" hidden="1" outlineLevel="1" x14ac:dyDescent="0.3">
      <c r="A114" s="44"/>
      <c r="B114" s="11" t="str">
        <f>CONCATENATE("          ", "5525", " - ", "FREIGHT-IN-TEST FORMS")</f>
        <v xml:space="preserve">          5525 - FREIGHT-IN-TEST FORMS</v>
      </c>
      <c r="C114" s="11"/>
      <c r="D114" s="2"/>
      <c r="E114" s="2"/>
      <c r="F114" s="19">
        <f t="shared" si="23"/>
        <v>0</v>
      </c>
      <c r="G114" s="2"/>
      <c r="H114" s="2"/>
      <c r="I114" s="2"/>
      <c r="J114" s="19">
        <f t="shared" si="24"/>
        <v>0</v>
      </c>
      <c r="K114" s="2"/>
      <c r="L114" s="2">
        <f t="shared" si="25"/>
        <v>0</v>
      </c>
      <c r="M114" s="2"/>
      <c r="N114" s="19">
        <f t="shared" si="26"/>
        <v>0</v>
      </c>
      <c r="O114" s="11"/>
      <c r="P114" s="2"/>
      <c r="Q114" s="2"/>
      <c r="R114" s="19">
        <f t="shared" si="27"/>
        <v>0</v>
      </c>
      <c r="S114" s="2"/>
      <c r="T114" s="2">
        <v>48.14</v>
      </c>
      <c r="U114" s="2"/>
      <c r="V114" s="19">
        <f t="shared" si="28"/>
        <v>1.9509076500580192E-5</v>
      </c>
      <c r="W114" s="2"/>
      <c r="X114" s="2">
        <f t="shared" si="29"/>
        <v>-48.14</v>
      </c>
      <c r="Y114" s="2"/>
      <c r="Z114" s="19">
        <f t="shared" si="30"/>
        <v>-1</v>
      </c>
    </row>
    <row r="115" spans="1:26" s="24" customFormat="1" hidden="1" outlineLevel="1" x14ac:dyDescent="0.3">
      <c r="A115" s="44"/>
      <c r="B115" s="11" t="str">
        <f>CONCATENATE("          ", "5527", " - ", "FREIGHT-IN-SCHOOL SUPPLIES")</f>
        <v xml:space="preserve">          5527 - FREIGHT-IN-SCHOOL SUPPLIES</v>
      </c>
      <c r="C115" s="11"/>
      <c r="D115" s="2"/>
      <c r="E115" s="2"/>
      <c r="F115" s="19">
        <f t="shared" si="23"/>
        <v>0</v>
      </c>
      <c r="G115" s="2"/>
      <c r="H115" s="2"/>
      <c r="I115" s="2"/>
      <c r="J115" s="19">
        <f t="shared" si="24"/>
        <v>0</v>
      </c>
      <c r="K115" s="2"/>
      <c r="L115" s="2">
        <f t="shared" si="25"/>
        <v>0</v>
      </c>
      <c r="M115" s="2"/>
      <c r="N115" s="19">
        <f t="shared" si="26"/>
        <v>0</v>
      </c>
      <c r="O115" s="11"/>
      <c r="P115" s="2">
        <v>0</v>
      </c>
      <c r="Q115" s="2"/>
      <c r="R115" s="19">
        <f t="shared" si="27"/>
        <v>0</v>
      </c>
      <c r="S115" s="2"/>
      <c r="T115" s="2">
        <v>56</v>
      </c>
      <c r="U115" s="2"/>
      <c r="V115" s="19">
        <f t="shared" si="28"/>
        <v>2.269439725867243E-5</v>
      </c>
      <c r="W115" s="2"/>
      <c r="X115" s="2">
        <f t="shared" si="29"/>
        <v>-56</v>
      </c>
      <c r="Y115" s="2"/>
      <c r="Z115" s="19">
        <f t="shared" si="30"/>
        <v>-1</v>
      </c>
    </row>
    <row r="116" spans="1:26" s="24" customFormat="1" hidden="1" outlineLevel="1" x14ac:dyDescent="0.3">
      <c r="A116" s="44"/>
      <c r="B116" s="11" t="str">
        <f>CONCATENATE("          ", "5528", " - ", "FREIGHT-IN-ART/TECH")</f>
        <v xml:space="preserve">          5528 - FREIGHT-IN-ART/TECH</v>
      </c>
      <c r="C116" s="11"/>
      <c r="D116" s="2"/>
      <c r="E116" s="2"/>
      <c r="F116" s="19">
        <f t="shared" si="23"/>
        <v>0</v>
      </c>
      <c r="G116" s="2"/>
      <c r="H116" s="2">
        <v>1.72</v>
      </c>
      <c r="I116" s="2"/>
      <c r="J116" s="19">
        <f t="shared" si="24"/>
        <v>1.5499313074049045E-5</v>
      </c>
      <c r="K116" s="2"/>
      <c r="L116" s="2">
        <f t="shared" si="25"/>
        <v>-1.72</v>
      </c>
      <c r="M116" s="2"/>
      <c r="N116" s="19">
        <f t="shared" si="26"/>
        <v>-1</v>
      </c>
      <c r="O116" s="11"/>
      <c r="P116" s="2">
        <v>0</v>
      </c>
      <c r="Q116" s="2"/>
      <c r="R116" s="19">
        <f t="shared" si="27"/>
        <v>0</v>
      </c>
      <c r="S116" s="2"/>
      <c r="T116" s="2">
        <v>285.92</v>
      </c>
      <c r="U116" s="2"/>
      <c r="V116" s="19">
        <f t="shared" si="28"/>
        <v>1.1587110828927895E-4</v>
      </c>
      <c r="W116" s="2"/>
      <c r="X116" s="2">
        <f t="shared" si="29"/>
        <v>-285.92</v>
      </c>
      <c r="Y116" s="2"/>
      <c r="Z116" s="19">
        <f t="shared" si="30"/>
        <v>-1</v>
      </c>
    </row>
    <row r="117" spans="1:26" s="24" customFormat="1" hidden="1" outlineLevel="1" x14ac:dyDescent="0.3">
      <c r="A117" s="44"/>
      <c r="B117" s="11" t="str">
        <f>CONCATENATE("          ", "5540", " - ", "FREIGHT-IN-LOGO CLOTHING")</f>
        <v xml:space="preserve">          5540 - FREIGHT-IN-LOGO CLOTHING</v>
      </c>
      <c r="C117" s="11"/>
      <c r="D117" s="2"/>
      <c r="E117" s="2"/>
      <c r="F117" s="19">
        <f t="shared" si="23"/>
        <v>0</v>
      </c>
      <c r="G117" s="2"/>
      <c r="H117" s="2">
        <v>1333.15</v>
      </c>
      <c r="I117" s="2"/>
      <c r="J117" s="19">
        <f t="shared" si="24"/>
        <v>1.2013319316667725E-2</v>
      </c>
      <c r="K117" s="2"/>
      <c r="L117" s="2">
        <f t="shared" si="25"/>
        <v>-1333.15</v>
      </c>
      <c r="M117" s="2"/>
      <c r="N117" s="19">
        <f t="shared" si="26"/>
        <v>-1</v>
      </c>
      <c r="O117" s="11"/>
      <c r="P117" s="2">
        <v>0</v>
      </c>
      <c r="Q117" s="2"/>
      <c r="R117" s="19">
        <f t="shared" si="27"/>
        <v>0</v>
      </c>
      <c r="S117" s="2"/>
      <c r="T117" s="2">
        <v>4535.4799999999996</v>
      </c>
      <c r="U117" s="2"/>
      <c r="V117" s="19">
        <f t="shared" si="28"/>
        <v>1.8380354442636361E-3</v>
      </c>
      <c r="W117" s="2"/>
      <c r="X117" s="2">
        <f t="shared" si="29"/>
        <v>-4535.4799999999996</v>
      </c>
      <c r="Y117" s="2"/>
      <c r="Z117" s="19">
        <f t="shared" si="30"/>
        <v>-1</v>
      </c>
    </row>
    <row r="118" spans="1:26" s="24" customFormat="1" hidden="1" outlineLevel="1" x14ac:dyDescent="0.3">
      <c r="A118" s="44"/>
      <c r="B118" s="11" t="str">
        <f>CONCATENATE("          ", "5541", " - ", "FREIGHT-IN-LOGO GIFTS")</f>
        <v xml:space="preserve">          5541 - FREIGHT-IN-LOGO GIFTS</v>
      </c>
      <c r="C118" s="11"/>
      <c r="D118" s="2"/>
      <c r="E118" s="2"/>
      <c r="F118" s="19">
        <f t="shared" si="23"/>
        <v>0</v>
      </c>
      <c r="G118" s="2"/>
      <c r="H118" s="2">
        <v>301.06</v>
      </c>
      <c r="I118" s="2"/>
      <c r="J118" s="19">
        <f t="shared" si="24"/>
        <v>2.7129204616704685E-3</v>
      </c>
      <c r="K118" s="2"/>
      <c r="L118" s="2">
        <f t="shared" si="25"/>
        <v>-301.06</v>
      </c>
      <c r="M118" s="2"/>
      <c r="N118" s="19">
        <f t="shared" si="26"/>
        <v>-1</v>
      </c>
      <c r="O118" s="11"/>
      <c r="P118" s="2">
        <v>0</v>
      </c>
      <c r="Q118" s="2"/>
      <c r="R118" s="19">
        <f t="shared" si="27"/>
        <v>0</v>
      </c>
      <c r="S118" s="2"/>
      <c r="T118" s="2">
        <v>1435.87</v>
      </c>
      <c r="U118" s="2"/>
      <c r="V118" s="19">
        <f t="shared" si="28"/>
        <v>5.8189650342517821E-4</v>
      </c>
      <c r="W118" s="2"/>
      <c r="X118" s="2">
        <f t="shared" si="29"/>
        <v>-1435.87</v>
      </c>
      <c r="Y118" s="2"/>
      <c r="Z118" s="19">
        <f t="shared" si="30"/>
        <v>-1</v>
      </c>
    </row>
    <row r="119" spans="1:26" s="24" customFormat="1" hidden="1" outlineLevel="1" x14ac:dyDescent="0.3">
      <c r="A119" s="44"/>
      <c r="B119" s="11" t="str">
        <f>CONCATENATE("          ", "5542", " - ", "FREIGHT-IN-EVERYDAY GIFTS")</f>
        <v xml:space="preserve">          5542 - FREIGHT-IN-EVERYDAY GIFTS</v>
      </c>
      <c r="C119" s="11"/>
      <c r="D119" s="2"/>
      <c r="E119" s="2"/>
      <c r="F119" s="19">
        <f t="shared" si="23"/>
        <v>0</v>
      </c>
      <c r="G119" s="2"/>
      <c r="H119" s="2">
        <v>21</v>
      </c>
      <c r="I119" s="2"/>
      <c r="J119" s="19">
        <f t="shared" si="24"/>
        <v>1.8923579915990112E-4</v>
      </c>
      <c r="K119" s="2"/>
      <c r="L119" s="2">
        <f t="shared" si="25"/>
        <v>-21</v>
      </c>
      <c r="M119" s="2"/>
      <c r="N119" s="19">
        <f t="shared" si="26"/>
        <v>-1</v>
      </c>
      <c r="O119" s="11"/>
      <c r="P119" s="2">
        <v>0</v>
      </c>
      <c r="Q119" s="2"/>
      <c r="R119" s="19">
        <f t="shared" si="27"/>
        <v>0</v>
      </c>
      <c r="S119" s="2"/>
      <c r="T119" s="2">
        <v>196.55</v>
      </c>
      <c r="U119" s="2"/>
      <c r="V119" s="19">
        <f t="shared" si="28"/>
        <v>7.9653281807001174E-5</v>
      </c>
      <c r="W119" s="2"/>
      <c r="X119" s="2">
        <f t="shared" si="29"/>
        <v>-196.55</v>
      </c>
      <c r="Y119" s="2"/>
      <c r="Z119" s="19">
        <f t="shared" si="30"/>
        <v>-1</v>
      </c>
    </row>
    <row r="120" spans="1:26" s="24" customFormat="1" hidden="1" outlineLevel="1" x14ac:dyDescent="0.3">
      <c r="A120" s="44"/>
      <c r="B120" s="11" t="str">
        <f>CONCATENATE("          ", "5543", " - ", "FREIGHT-IN-CARDS")</f>
        <v xml:space="preserve">          5543 - FREIGHT-IN-CARDS</v>
      </c>
      <c r="C120" s="11"/>
      <c r="D120" s="2"/>
      <c r="E120" s="2"/>
      <c r="F120" s="19">
        <f t="shared" si="23"/>
        <v>0</v>
      </c>
      <c r="G120" s="2"/>
      <c r="H120" s="2">
        <v>6323.12</v>
      </c>
      <c r="I120" s="2"/>
      <c r="J120" s="19">
        <f t="shared" si="24"/>
        <v>5.6979079351616856E-2</v>
      </c>
      <c r="K120" s="2"/>
      <c r="L120" s="2">
        <f t="shared" si="25"/>
        <v>-6323.12</v>
      </c>
      <c r="M120" s="2"/>
      <c r="N120" s="19">
        <f t="shared" si="26"/>
        <v>-1</v>
      </c>
      <c r="O120" s="11"/>
      <c r="P120" s="2"/>
      <c r="Q120" s="2"/>
      <c r="R120" s="19">
        <f t="shared" si="27"/>
        <v>0</v>
      </c>
      <c r="S120" s="2"/>
      <c r="T120" s="2">
        <v>6512.31</v>
      </c>
      <c r="U120" s="2"/>
      <c r="V120" s="19">
        <f t="shared" si="28"/>
        <v>2.6391598252075901E-3</v>
      </c>
      <c r="W120" s="2"/>
      <c r="X120" s="2">
        <f t="shared" si="29"/>
        <v>-6512.31</v>
      </c>
      <c r="Y120" s="2"/>
      <c r="Z120" s="19">
        <f t="shared" si="30"/>
        <v>-1</v>
      </c>
    </row>
    <row r="121" spans="1:26" s="24" customFormat="1" hidden="1" outlineLevel="1" x14ac:dyDescent="0.3">
      <c r="A121" s="44"/>
      <c r="B121" s="11" t="str">
        <f>CONCATENATE("          ", "5544", " - ", "FREIGHT-IN-ACCESSORIES")</f>
        <v xml:space="preserve">          5544 - FREIGHT-IN-ACCESSORIES</v>
      </c>
      <c r="C121" s="11"/>
      <c r="D121" s="2"/>
      <c r="E121" s="2"/>
      <c r="F121" s="19">
        <f t="shared" si="23"/>
        <v>0</v>
      </c>
      <c r="G121" s="2"/>
      <c r="H121" s="2"/>
      <c r="I121" s="2"/>
      <c r="J121" s="19">
        <f t="shared" si="24"/>
        <v>0</v>
      </c>
      <c r="K121" s="2"/>
      <c r="L121" s="2">
        <f t="shared" si="25"/>
        <v>0</v>
      </c>
      <c r="M121" s="2"/>
      <c r="N121" s="19">
        <f t="shared" si="26"/>
        <v>0</v>
      </c>
      <c r="O121" s="11"/>
      <c r="P121" s="2">
        <v>0</v>
      </c>
      <c r="Q121" s="2"/>
      <c r="R121" s="19">
        <f t="shared" si="27"/>
        <v>0</v>
      </c>
      <c r="S121" s="2"/>
      <c r="T121" s="2"/>
      <c r="U121" s="2"/>
      <c r="V121" s="19">
        <f t="shared" si="28"/>
        <v>0</v>
      </c>
      <c r="W121" s="2"/>
      <c r="X121" s="2">
        <f t="shared" si="29"/>
        <v>0</v>
      </c>
      <c r="Y121" s="2"/>
      <c r="Z121" s="19">
        <f t="shared" si="30"/>
        <v>0</v>
      </c>
    </row>
    <row r="122" spans="1:26" s="24" customFormat="1" hidden="1" outlineLevel="1" x14ac:dyDescent="0.3">
      <c r="A122" s="44"/>
      <c r="B122" s="11" t="str">
        <f>CONCATENATE("          ", "5545", " - ", "FREIGHT-IN-SPECIAL ORDERS")</f>
        <v xml:space="preserve">          5545 - FREIGHT-IN-SPECIAL ORDERS</v>
      </c>
      <c r="C122" s="11"/>
      <c r="D122" s="2"/>
      <c r="E122" s="2"/>
      <c r="F122" s="19">
        <f t="shared" si="23"/>
        <v>0</v>
      </c>
      <c r="G122" s="2"/>
      <c r="H122" s="2">
        <v>37.590000000000003</v>
      </c>
      <c r="I122" s="2"/>
      <c r="J122" s="19">
        <f t="shared" si="24"/>
        <v>3.3873208049622303E-4</v>
      </c>
      <c r="K122" s="2"/>
      <c r="L122" s="2">
        <f t="shared" si="25"/>
        <v>-37.590000000000003</v>
      </c>
      <c r="M122" s="2"/>
      <c r="N122" s="19">
        <f t="shared" si="26"/>
        <v>-1</v>
      </c>
      <c r="O122" s="11"/>
      <c r="P122" s="2">
        <v>0</v>
      </c>
      <c r="Q122" s="2"/>
      <c r="R122" s="19">
        <f t="shared" si="27"/>
        <v>0</v>
      </c>
      <c r="S122" s="2"/>
      <c r="T122" s="2">
        <v>887.86</v>
      </c>
      <c r="U122" s="2"/>
      <c r="V122" s="19">
        <f t="shared" si="28"/>
        <v>3.5981156339437328E-4</v>
      </c>
      <c r="W122" s="2"/>
      <c r="X122" s="2">
        <f t="shared" si="29"/>
        <v>-887.86</v>
      </c>
      <c r="Y122" s="2"/>
      <c r="Z122" s="19">
        <f t="shared" si="30"/>
        <v>-1</v>
      </c>
    </row>
    <row r="123" spans="1:26" s="24" customFormat="1" hidden="1" outlineLevel="1" x14ac:dyDescent="0.3">
      <c r="A123" s="44"/>
      <c r="B123" s="11" t="str">
        <f>CONCATENATE("          ", "5592", " - ", "FREIGHT-IN-GRAD MERCH")</f>
        <v xml:space="preserve">          5592 - FREIGHT-IN-GRAD MERCH</v>
      </c>
      <c r="C123" s="11"/>
      <c r="D123" s="2"/>
      <c r="E123" s="2"/>
      <c r="F123" s="19">
        <f t="shared" si="23"/>
        <v>0</v>
      </c>
      <c r="G123" s="2"/>
      <c r="H123" s="2"/>
      <c r="I123" s="2"/>
      <c r="J123" s="19">
        <f t="shared" si="24"/>
        <v>0</v>
      </c>
      <c r="K123" s="2"/>
      <c r="L123" s="2">
        <f t="shared" si="25"/>
        <v>0</v>
      </c>
      <c r="M123" s="2"/>
      <c r="N123" s="19">
        <f t="shared" si="26"/>
        <v>0</v>
      </c>
      <c r="O123" s="11"/>
      <c r="P123" s="2"/>
      <c r="Q123" s="2"/>
      <c r="R123" s="19">
        <f t="shared" si="27"/>
        <v>0</v>
      </c>
      <c r="S123" s="2"/>
      <c r="T123" s="2">
        <v>0</v>
      </c>
      <c r="U123" s="2"/>
      <c r="V123" s="19">
        <f t="shared" si="28"/>
        <v>0</v>
      </c>
      <c r="W123" s="2"/>
      <c r="X123" s="2">
        <f t="shared" si="29"/>
        <v>0</v>
      </c>
      <c r="Y123" s="2"/>
      <c r="Z123" s="19">
        <f t="shared" si="30"/>
        <v>0</v>
      </c>
    </row>
    <row r="124" spans="1:26" x14ac:dyDescent="0.3">
      <c r="A124" s="9"/>
      <c r="B124" s="10"/>
      <c r="C124" s="10"/>
      <c r="D124" s="3"/>
      <c r="E124" s="3"/>
      <c r="F124" s="8"/>
      <c r="G124" s="3"/>
      <c r="H124" s="3"/>
      <c r="I124" s="3"/>
      <c r="J124" s="8"/>
      <c r="K124" s="3"/>
      <c r="L124" s="3"/>
      <c r="M124" s="3"/>
      <c r="N124" s="8"/>
      <c r="O124" s="10"/>
      <c r="P124" s="3"/>
      <c r="Q124" s="3"/>
      <c r="R124" s="8"/>
      <c r="S124" s="3"/>
      <c r="T124" s="3"/>
      <c r="U124" s="3"/>
      <c r="V124" s="8"/>
      <c r="W124" s="3"/>
      <c r="X124" s="3"/>
      <c r="Y124" s="3"/>
      <c r="Z124" s="8"/>
    </row>
    <row r="125" spans="1:26" s="23" customFormat="1" x14ac:dyDescent="0.3">
      <c r="A125" s="10"/>
      <c r="B125" s="25" t="s">
        <v>107</v>
      </c>
      <c r="C125" s="25"/>
      <c r="D125" s="21">
        <f>D12-D82</f>
        <v>156616.40000000005</v>
      </c>
      <c r="E125" s="13"/>
      <c r="F125" s="22">
        <f>IF(D$12=0,0,D125/D$12)</f>
        <v>0.50511696667934924</v>
      </c>
      <c r="G125" s="13"/>
      <c r="H125" s="21">
        <f>H12-H82</f>
        <v>49628.56</v>
      </c>
      <c r="I125" s="13"/>
      <c r="J125" s="22">
        <f>IF(H$12=0,0,H125/H$12)</f>
        <v>0.44721429584548106</v>
      </c>
      <c r="K125" s="16"/>
      <c r="L125" s="21">
        <f>+D125-H125</f>
        <v>106987.84000000005</v>
      </c>
      <c r="M125" s="16"/>
      <c r="N125" s="22">
        <f>IF(H125=0,0,L125/H125)</f>
        <v>2.1557715960326083</v>
      </c>
      <c r="O125" s="26"/>
      <c r="P125" s="21">
        <f>P12-P82</f>
        <v>1234276.82</v>
      </c>
      <c r="Q125" s="13"/>
      <c r="R125" s="22">
        <f>IF(P$12=0,0,P125/P$12)</f>
        <v>0.38250363592137382</v>
      </c>
      <c r="S125" s="13"/>
      <c r="T125" s="21">
        <f>T12-T82</f>
        <v>856953.01999999979</v>
      </c>
      <c r="U125" s="13"/>
      <c r="V125" s="22">
        <f>IF(T$12=0,0,T125/T$12)</f>
        <v>0.34728629049819737</v>
      </c>
      <c r="W125" s="16"/>
      <c r="X125" s="21">
        <f>+P125-T125</f>
        <v>377323.80000000028</v>
      </c>
      <c r="Y125" s="16"/>
      <c r="Z125" s="22">
        <f>IF(T125=0,0,X125/T125)</f>
        <v>0.44030861808503852</v>
      </c>
    </row>
    <row r="126" spans="1:26" x14ac:dyDescent="0.3">
      <c r="A126" s="9"/>
      <c r="B126" s="10"/>
      <c r="C126" s="9"/>
      <c r="D126" s="1"/>
      <c r="E126" s="1"/>
      <c r="F126" s="5"/>
      <c r="G126" s="1"/>
      <c r="H126" s="1"/>
      <c r="I126" s="1"/>
      <c r="J126" s="5"/>
      <c r="K126" s="1"/>
      <c r="L126" s="1"/>
      <c r="M126" s="1"/>
      <c r="N126" s="5"/>
      <c r="O126" s="37"/>
      <c r="P126" s="1"/>
      <c r="Q126" s="1"/>
      <c r="R126" s="5"/>
      <c r="S126" s="1"/>
      <c r="T126" s="1"/>
      <c r="U126" s="1"/>
      <c r="V126" s="5"/>
      <c r="W126" s="1"/>
      <c r="X126" s="1"/>
      <c r="Y126" s="1"/>
      <c r="Z126" s="5"/>
    </row>
    <row r="127" spans="1:26" s="23" customFormat="1" x14ac:dyDescent="0.3">
      <c r="A127" s="10"/>
      <c r="B127" s="26" t="s">
        <v>294</v>
      </c>
      <c r="C127" s="10"/>
      <c r="D127" s="20">
        <f>SUM(OSRRefD22x_0)</f>
        <v>282093.9599999999</v>
      </c>
      <c r="E127" s="20"/>
      <c r="F127" s="32">
        <f t="shared" ref="F127:F138" si="31">IF(D$12=0,0,D127/D$12)</f>
        <v>0.90980539326510879</v>
      </c>
      <c r="G127" s="20"/>
      <c r="H127" s="20">
        <f>SUM(OSRRefH22x_0)</f>
        <v>261303.51</v>
      </c>
      <c r="I127" s="20"/>
      <c r="J127" s="32">
        <f t="shared" ref="J127:J138" si="32">IF(H$12=0,0,H127/H$12)</f>
        <v>2.3546656446732008</v>
      </c>
      <c r="K127" s="4"/>
      <c r="L127" s="20">
        <f t="shared" ref="L127:L138" si="33">+D127-H127</f>
        <v>20790.449999999895</v>
      </c>
      <c r="M127" s="4"/>
      <c r="N127" s="32">
        <f t="shared" ref="N127:N138" si="34">IF(H127=0,0,L127/H127)</f>
        <v>7.9564373245502501E-2</v>
      </c>
      <c r="O127" s="10"/>
      <c r="P127" s="20">
        <f>SUM(OSRRefP22x_0)</f>
        <v>1687433.8399999992</v>
      </c>
      <c r="Q127" s="20"/>
      <c r="R127" s="32">
        <f t="shared" ref="R127:R138" si="35">IF(P$12=0,0,P127/P$12)</f>
        <v>0.52293745513001322</v>
      </c>
      <c r="S127" s="20"/>
      <c r="T127" s="20">
        <f>SUM(OSRRefT22x_0)</f>
        <v>1510379.6199999992</v>
      </c>
      <c r="U127" s="20"/>
      <c r="V127" s="32">
        <f t="shared" ref="V127:V138" si="36">IF(T$12=0,0,T127/T$12)</f>
        <v>0.61209205549433365</v>
      </c>
      <c r="W127" s="4"/>
      <c r="X127" s="20">
        <f t="shared" ref="X127:X138" si="37">+P127-T127</f>
        <v>177054.21999999997</v>
      </c>
      <c r="Y127" s="4"/>
      <c r="Z127" s="32">
        <f t="shared" ref="Z127:Z138" si="38">IF(T127=0,0,X127/T127)</f>
        <v>0.11722497950548358</v>
      </c>
    </row>
    <row r="128" spans="1:26" s="29" customFormat="1" outlineLevel="1" collapsed="1" x14ac:dyDescent="0.3">
      <c r="A128" s="28"/>
      <c r="B128" s="14" t="str">
        <f>CONCATENATE("     ","*Benefits                                         ")</f>
        <v xml:space="preserve">     *Benefits                                         </v>
      </c>
      <c r="C128" s="14"/>
      <c r="D128" s="1">
        <f>SUM(OSRRefD22_0x_0)</f>
        <v>51732.02</v>
      </c>
      <c r="E128" s="1"/>
      <c r="F128" s="5">
        <f t="shared" si="31"/>
        <v>0.16684536882852255</v>
      </c>
      <c r="G128" s="1"/>
      <c r="H128" s="1">
        <f>SUM(OSRRefH22_0x_0)</f>
        <v>48664.140000000007</v>
      </c>
      <c r="I128" s="1"/>
      <c r="J128" s="5">
        <f t="shared" si="32"/>
        <v>0.43852368682520537</v>
      </c>
      <c r="K128" s="1"/>
      <c r="L128" s="1">
        <f t="shared" si="33"/>
        <v>3067.8799999999901</v>
      </c>
      <c r="M128" s="1"/>
      <c r="N128" s="5">
        <f t="shared" si="34"/>
        <v>6.3041903134422789E-2</v>
      </c>
      <c r="O128" s="14"/>
      <c r="P128" s="1">
        <f>SUM(OSRRefP22_0x_0)</f>
        <v>258655.79000000004</v>
      </c>
      <c r="Q128" s="1"/>
      <c r="R128" s="5">
        <f t="shared" si="35"/>
        <v>8.0157691146719695E-2</v>
      </c>
      <c r="S128" s="1"/>
      <c r="T128" s="1">
        <f>SUM(OSRRefT22_0x_0)</f>
        <v>256939.63999999996</v>
      </c>
      <c r="U128" s="1"/>
      <c r="V128" s="5">
        <f t="shared" si="36"/>
        <v>0.10412661181536213</v>
      </c>
      <c r="W128" s="1"/>
      <c r="X128" s="1">
        <f t="shared" si="37"/>
        <v>1716.1500000000815</v>
      </c>
      <c r="Y128" s="1"/>
      <c r="Z128" s="5">
        <f t="shared" si="38"/>
        <v>6.6791951603889605E-3</v>
      </c>
    </row>
    <row r="129" spans="1:26" s="24" customFormat="1" hidden="1" outlineLevel="2" x14ac:dyDescent="0.3">
      <c r="A129" s="27"/>
      <c r="B129" s="11" t="str">
        <f>CONCATENATE("          ", "6111", " - ", "F.I.C.A.")</f>
        <v xml:space="preserve">          6111 - F.I.C.A.</v>
      </c>
      <c r="C129" s="11"/>
      <c r="D129" s="6">
        <v>9049.4699999999993</v>
      </c>
      <c r="E129" s="2"/>
      <c r="F129" s="7">
        <f t="shared" si="31"/>
        <v>2.9186220832912575E-2</v>
      </c>
      <c r="G129" s="2"/>
      <c r="H129" s="6">
        <v>6830.29</v>
      </c>
      <c r="I129" s="2"/>
      <c r="J129" s="7">
        <f t="shared" si="32"/>
        <v>6.1549304125899103E-2</v>
      </c>
      <c r="K129" s="2"/>
      <c r="L129" s="6">
        <f t="shared" si="33"/>
        <v>2219.1799999999994</v>
      </c>
      <c r="M129" s="2"/>
      <c r="N129" s="7">
        <f t="shared" si="34"/>
        <v>0.32490274937081726</v>
      </c>
      <c r="O129" s="11"/>
      <c r="P129" s="6">
        <v>49950.9</v>
      </c>
      <c r="Q129" s="2"/>
      <c r="R129" s="7">
        <f t="shared" si="35"/>
        <v>1.5479834473068166E-2</v>
      </c>
      <c r="S129" s="2"/>
      <c r="T129" s="6">
        <v>52109.88</v>
      </c>
      <c r="U129" s="2"/>
      <c r="V129" s="7">
        <f t="shared" si="36"/>
        <v>2.1117898532531234E-2</v>
      </c>
      <c r="W129" s="2"/>
      <c r="X129" s="6">
        <f t="shared" si="37"/>
        <v>-2158.9799999999959</v>
      </c>
      <c r="Y129" s="2"/>
      <c r="Z129" s="7">
        <f t="shared" si="38"/>
        <v>-4.1431298632811975E-2</v>
      </c>
    </row>
    <row r="130" spans="1:26" s="24" customFormat="1" hidden="1" outlineLevel="2" x14ac:dyDescent="0.3">
      <c r="A130" s="27"/>
      <c r="B130" s="11" t="str">
        <f>CONCATENATE("          ", "6112", " - ", "COMPENSATION INSURANCE")</f>
        <v xml:space="preserve">          6112 - COMPENSATION INSURANCE</v>
      </c>
      <c r="C130" s="11"/>
      <c r="D130" s="6">
        <v>2480.96</v>
      </c>
      <c r="E130" s="2"/>
      <c r="F130" s="7">
        <f t="shared" si="31"/>
        <v>8.0015566036047182E-3</v>
      </c>
      <c r="G130" s="2"/>
      <c r="H130" s="6">
        <v>2948.75</v>
      </c>
      <c r="I130" s="2"/>
      <c r="J130" s="7">
        <f t="shared" si="32"/>
        <v>2.6571860132036117E-2</v>
      </c>
      <c r="K130" s="2"/>
      <c r="L130" s="6">
        <f t="shared" si="33"/>
        <v>-467.78999999999996</v>
      </c>
      <c r="M130" s="2"/>
      <c r="N130" s="7">
        <f t="shared" si="34"/>
        <v>-0.15864010173802456</v>
      </c>
      <c r="O130" s="11"/>
      <c r="P130" s="6">
        <v>13010.83</v>
      </c>
      <c r="Q130" s="2"/>
      <c r="R130" s="7">
        <f t="shared" si="35"/>
        <v>4.0320693872829012E-3</v>
      </c>
      <c r="S130" s="2"/>
      <c r="T130" s="6">
        <v>13567.33</v>
      </c>
      <c r="U130" s="2"/>
      <c r="V130" s="7">
        <f t="shared" si="36"/>
        <v>5.4982567278482894E-3</v>
      </c>
      <c r="W130" s="2"/>
      <c r="X130" s="6">
        <f t="shared" si="37"/>
        <v>-556.5</v>
      </c>
      <c r="Y130" s="2"/>
      <c r="Z130" s="7">
        <f t="shared" si="38"/>
        <v>-4.1017650488342217E-2</v>
      </c>
    </row>
    <row r="131" spans="1:26" s="24" customFormat="1" hidden="1" outlineLevel="2" x14ac:dyDescent="0.3">
      <c r="A131" s="27"/>
      <c r="B131" s="11" t="str">
        <f>CONCATENATE("          ", "6113", " - ", "GROUP INSURANCE")</f>
        <v xml:space="preserve">          6113 - GROUP INSURANCE</v>
      </c>
      <c r="C131" s="11"/>
      <c r="D131" s="6">
        <v>17975.22</v>
      </c>
      <c r="E131" s="2"/>
      <c r="F131" s="7">
        <f t="shared" si="31"/>
        <v>5.7973421696539892E-2</v>
      </c>
      <c r="G131" s="2"/>
      <c r="H131" s="6">
        <v>17506.16</v>
      </c>
      <c r="I131" s="2"/>
      <c r="J131" s="7">
        <f t="shared" si="32"/>
        <v>0.15775200846767118</v>
      </c>
      <c r="K131" s="2"/>
      <c r="L131" s="6">
        <f t="shared" si="33"/>
        <v>469.06000000000131</v>
      </c>
      <c r="M131" s="2"/>
      <c r="N131" s="7">
        <f t="shared" si="34"/>
        <v>2.6793997084454919E-2</v>
      </c>
      <c r="O131" s="11"/>
      <c r="P131" s="6">
        <v>90256.33</v>
      </c>
      <c r="Q131" s="2"/>
      <c r="R131" s="7">
        <f t="shared" si="35"/>
        <v>2.7970528029457258E-2</v>
      </c>
      <c r="S131" s="2"/>
      <c r="T131" s="6">
        <v>88827.76</v>
      </c>
      <c r="U131" s="2"/>
      <c r="V131" s="7">
        <f t="shared" si="36"/>
        <v>3.5998079875678789E-2</v>
      </c>
      <c r="W131" s="2"/>
      <c r="X131" s="6">
        <f t="shared" si="37"/>
        <v>1428.570000000007</v>
      </c>
      <c r="Y131" s="2"/>
      <c r="Z131" s="7">
        <f t="shared" si="38"/>
        <v>1.6082472416280757E-2</v>
      </c>
    </row>
    <row r="132" spans="1:26" s="24" customFormat="1" hidden="1" outlineLevel="2" x14ac:dyDescent="0.3">
      <c r="A132" s="27"/>
      <c r="B132" s="11" t="str">
        <f>CONCATENATE("          ", "6114", " - ", "STATE UNEMPLOYMENT INSURANCE")</f>
        <v xml:space="preserve">          6114 - STATE UNEMPLOYMENT INSURANCE</v>
      </c>
      <c r="C132" s="11"/>
      <c r="D132" s="6">
        <v>443.79</v>
      </c>
      <c r="E132" s="2"/>
      <c r="F132" s="7">
        <f t="shared" si="31"/>
        <v>1.4313051420070206E-3</v>
      </c>
      <c r="G132" s="2"/>
      <c r="H132" s="6">
        <v>549.53</v>
      </c>
      <c r="I132" s="2"/>
      <c r="J132" s="7">
        <f t="shared" si="32"/>
        <v>4.9519404148733554E-3</v>
      </c>
      <c r="K132" s="2"/>
      <c r="L132" s="6">
        <f t="shared" si="33"/>
        <v>-105.73999999999995</v>
      </c>
      <c r="M132" s="2"/>
      <c r="N132" s="7">
        <f t="shared" si="34"/>
        <v>-0.19241897621603909</v>
      </c>
      <c r="O132" s="11"/>
      <c r="P132" s="6">
        <v>2343.8200000000002</v>
      </c>
      <c r="Q132" s="2"/>
      <c r="R132" s="7">
        <f t="shared" si="35"/>
        <v>7.2635219054444729E-4</v>
      </c>
      <c r="S132" s="2"/>
      <c r="T132" s="6">
        <v>2080.42</v>
      </c>
      <c r="U132" s="2"/>
      <c r="V132" s="7">
        <f t="shared" si="36"/>
        <v>8.4310496330155887E-4</v>
      </c>
      <c r="W132" s="2"/>
      <c r="X132" s="6">
        <f t="shared" si="37"/>
        <v>263.40000000000009</v>
      </c>
      <c r="Y132" s="2"/>
      <c r="Z132" s="7">
        <f t="shared" si="38"/>
        <v>0.12660905009565379</v>
      </c>
    </row>
    <row r="133" spans="1:26" s="24" customFormat="1" hidden="1" outlineLevel="2" x14ac:dyDescent="0.3">
      <c r="A133" s="27"/>
      <c r="B133" s="11" t="str">
        <f>CONCATENATE("          ", "6115", " - ", "P.E.R.S.")</f>
        <v xml:space="preserve">          6115 - P.E.R.S.</v>
      </c>
      <c r="C133" s="11"/>
      <c r="D133" s="6">
        <v>8571.01</v>
      </c>
      <c r="E133" s="2"/>
      <c r="F133" s="7">
        <f t="shared" si="31"/>
        <v>2.764309850423307E-2</v>
      </c>
      <c r="G133" s="2"/>
      <c r="H133" s="6">
        <v>9608.6200000000008</v>
      </c>
      <c r="I133" s="2"/>
      <c r="J133" s="7">
        <f t="shared" si="32"/>
        <v>8.6585470691609975E-2</v>
      </c>
      <c r="K133" s="2"/>
      <c r="L133" s="6">
        <f t="shared" si="33"/>
        <v>-1037.6100000000006</v>
      </c>
      <c r="M133" s="2"/>
      <c r="N133" s="7">
        <f t="shared" si="34"/>
        <v>-0.10798741130360036</v>
      </c>
      <c r="O133" s="11"/>
      <c r="P133" s="6">
        <v>36904.04</v>
      </c>
      <c r="Q133" s="2"/>
      <c r="R133" s="7">
        <f t="shared" si="35"/>
        <v>1.1436599352313703E-2</v>
      </c>
      <c r="S133" s="2"/>
      <c r="T133" s="6">
        <v>39086.75</v>
      </c>
      <c r="U133" s="2"/>
      <c r="V133" s="7">
        <f t="shared" si="36"/>
        <v>1.5840182715185974E-2</v>
      </c>
      <c r="W133" s="2"/>
      <c r="X133" s="6">
        <f t="shared" si="37"/>
        <v>-2182.7099999999991</v>
      </c>
      <c r="Y133" s="2"/>
      <c r="Z133" s="7">
        <f t="shared" si="38"/>
        <v>-5.5842708846348163E-2</v>
      </c>
    </row>
    <row r="134" spans="1:26" s="24" customFormat="1" hidden="1" outlineLevel="2" x14ac:dyDescent="0.3">
      <c r="A134" s="27"/>
      <c r="B134" s="11" t="str">
        <f>CONCATENATE("          ", "6116", " - ", "EDUCATIONAL BENEFITS")</f>
        <v xml:space="preserve">          6116 - EDUCATIONAL BENEFITS</v>
      </c>
      <c r="C134" s="11"/>
      <c r="D134" s="6"/>
      <c r="E134" s="2"/>
      <c r="F134" s="7">
        <f t="shared" si="31"/>
        <v>0</v>
      </c>
      <c r="G134" s="2"/>
      <c r="H134" s="6"/>
      <c r="I134" s="2"/>
      <c r="J134" s="7">
        <f t="shared" si="32"/>
        <v>0</v>
      </c>
      <c r="K134" s="2"/>
      <c r="L134" s="6">
        <f t="shared" si="33"/>
        <v>0</v>
      </c>
      <c r="M134" s="2"/>
      <c r="N134" s="7">
        <f t="shared" si="34"/>
        <v>0</v>
      </c>
      <c r="O134" s="11"/>
      <c r="P134" s="6"/>
      <c r="Q134" s="2"/>
      <c r="R134" s="7">
        <f t="shared" si="35"/>
        <v>0</v>
      </c>
      <c r="S134" s="2"/>
      <c r="T134" s="6">
        <v>0</v>
      </c>
      <c r="U134" s="2"/>
      <c r="V134" s="7">
        <f t="shared" si="36"/>
        <v>0</v>
      </c>
      <c r="W134" s="2"/>
      <c r="X134" s="6">
        <f t="shared" si="37"/>
        <v>0</v>
      </c>
      <c r="Y134" s="2"/>
      <c r="Z134" s="7">
        <f t="shared" si="38"/>
        <v>0</v>
      </c>
    </row>
    <row r="135" spans="1:26" s="24" customFormat="1" hidden="1" outlineLevel="2" x14ac:dyDescent="0.3">
      <c r="A135" s="27"/>
      <c r="B135" s="11" t="str">
        <f>CONCATENATE("          ", "6117", " - ", "RETIREMENT STAFF HOURLY")</f>
        <v xml:space="preserve">          6117 - RETIREMENT STAFF HOURLY</v>
      </c>
      <c r="C135" s="11"/>
      <c r="D135" s="6">
        <v>588.41999999999996</v>
      </c>
      <c r="E135" s="2"/>
      <c r="F135" s="7">
        <f t="shared" si="31"/>
        <v>1.8977637433465625E-3</v>
      </c>
      <c r="G135" s="2"/>
      <c r="H135" s="6">
        <v>232.91</v>
      </c>
      <c r="I135" s="2"/>
      <c r="J135" s="7">
        <f t="shared" si="32"/>
        <v>2.0988052372539318E-3</v>
      </c>
      <c r="K135" s="2"/>
      <c r="L135" s="6">
        <f t="shared" si="33"/>
        <v>355.51</v>
      </c>
      <c r="M135" s="2"/>
      <c r="N135" s="7">
        <f t="shared" si="34"/>
        <v>1.5263835816409772</v>
      </c>
      <c r="O135" s="11"/>
      <c r="P135" s="6">
        <v>3104.14</v>
      </c>
      <c r="Q135" s="2"/>
      <c r="R135" s="7">
        <f t="shared" si="35"/>
        <v>9.6197612818247149E-4</v>
      </c>
      <c r="S135" s="2"/>
      <c r="T135" s="6">
        <v>1293.6500000000001</v>
      </c>
      <c r="U135" s="2"/>
      <c r="V135" s="7">
        <f t="shared" si="36"/>
        <v>5.2426083953002842E-4</v>
      </c>
      <c r="W135" s="2"/>
      <c r="X135" s="6">
        <f t="shared" si="37"/>
        <v>1810.4899999999998</v>
      </c>
      <c r="Y135" s="2"/>
      <c r="Z135" s="7">
        <f t="shared" si="38"/>
        <v>1.3995207359022916</v>
      </c>
    </row>
    <row r="136" spans="1:26" s="24" customFormat="1" hidden="1" outlineLevel="2" x14ac:dyDescent="0.3">
      <c r="A136" s="27"/>
      <c r="B136" s="11" t="str">
        <f>CONCATENATE("          ", "6118", " - ", "VACATION")</f>
        <v xml:space="preserve">          6118 - VACATION</v>
      </c>
      <c r="C136" s="11"/>
      <c r="D136" s="6">
        <v>5724.91</v>
      </c>
      <c r="E136" s="2"/>
      <c r="F136" s="7">
        <f t="shared" si="31"/>
        <v>1.8463897610418018E-2</v>
      </c>
      <c r="G136" s="2"/>
      <c r="H136" s="6">
        <v>5484.99</v>
      </c>
      <c r="I136" s="2"/>
      <c r="J136" s="7">
        <f t="shared" si="32"/>
        <v>4.9426498382574575E-2</v>
      </c>
      <c r="K136" s="2"/>
      <c r="L136" s="6">
        <f t="shared" si="33"/>
        <v>239.92000000000007</v>
      </c>
      <c r="M136" s="2"/>
      <c r="N136" s="7">
        <f t="shared" si="34"/>
        <v>4.3741191870905888E-2</v>
      </c>
      <c r="O136" s="11"/>
      <c r="P136" s="6">
        <v>28972.51</v>
      </c>
      <c r="Q136" s="2"/>
      <c r="R136" s="7">
        <f t="shared" si="35"/>
        <v>8.978610176579643E-3</v>
      </c>
      <c r="S136" s="2"/>
      <c r="T136" s="6">
        <v>29821.31</v>
      </c>
      <c r="U136" s="2"/>
      <c r="V136" s="7">
        <f t="shared" si="36"/>
        <v>1.2085297427036084E-2</v>
      </c>
      <c r="W136" s="2"/>
      <c r="X136" s="6">
        <f t="shared" si="37"/>
        <v>-848.80000000000291</v>
      </c>
      <c r="Y136" s="2"/>
      <c r="Z136" s="7">
        <f t="shared" si="38"/>
        <v>-2.8462867660743369E-2</v>
      </c>
    </row>
    <row r="137" spans="1:26" s="24" customFormat="1" hidden="1" outlineLevel="2" x14ac:dyDescent="0.3">
      <c r="A137" s="27"/>
      <c r="B137" s="11" t="str">
        <f>CONCATENATE("          ", "6119", " - ", "SICK LEAVE")</f>
        <v xml:space="preserve">          6119 - SICK LEAVE</v>
      </c>
      <c r="C137" s="11"/>
      <c r="D137" s="6">
        <v>3903.07</v>
      </c>
      <c r="E137" s="2"/>
      <c r="F137" s="7">
        <f t="shared" si="31"/>
        <v>1.2588125375996174E-2</v>
      </c>
      <c r="G137" s="2"/>
      <c r="H137" s="6">
        <v>3953.98</v>
      </c>
      <c r="I137" s="2"/>
      <c r="J137" s="7">
        <f t="shared" si="32"/>
        <v>3.5630217388679331E-2</v>
      </c>
      <c r="K137" s="2"/>
      <c r="L137" s="6">
        <f t="shared" si="33"/>
        <v>-50.909999999999854</v>
      </c>
      <c r="M137" s="2"/>
      <c r="N137" s="7">
        <f t="shared" si="34"/>
        <v>-1.2875634171138918E-2</v>
      </c>
      <c r="O137" s="11"/>
      <c r="P137" s="6">
        <v>21072.65</v>
      </c>
      <c r="Q137" s="2"/>
      <c r="R137" s="7">
        <f t="shared" si="35"/>
        <v>6.5304355659037156E-3</v>
      </c>
      <c r="S137" s="2"/>
      <c r="T137" s="6">
        <v>21796.3</v>
      </c>
      <c r="U137" s="2"/>
      <c r="V137" s="7">
        <f t="shared" si="36"/>
        <v>8.8331051958786041E-3</v>
      </c>
      <c r="W137" s="2"/>
      <c r="X137" s="6">
        <f t="shared" si="37"/>
        <v>-723.64999999999782</v>
      </c>
      <c r="Y137" s="2"/>
      <c r="Z137" s="7">
        <f t="shared" si="38"/>
        <v>-3.3200589090808891E-2</v>
      </c>
    </row>
    <row r="138" spans="1:26" s="24" customFormat="1" hidden="1" outlineLevel="2" x14ac:dyDescent="0.3">
      <c r="A138" s="27"/>
      <c r="B138" s="11" t="str">
        <f>CONCATENATE("          ", "6156", " - ", "EMPLOYEE MEALS")</f>
        <v xml:space="preserve">          6156 - EMPLOYEE MEALS</v>
      </c>
      <c r="C138" s="11"/>
      <c r="D138" s="6">
        <v>2995.17</v>
      </c>
      <c r="E138" s="2"/>
      <c r="F138" s="7">
        <f t="shared" si="31"/>
        <v>9.659979319464539E-3</v>
      </c>
      <c r="G138" s="2"/>
      <c r="H138" s="6">
        <v>1548.91</v>
      </c>
      <c r="I138" s="2"/>
      <c r="J138" s="7">
        <f t="shared" si="32"/>
        <v>1.3957581984607738E-2</v>
      </c>
      <c r="K138" s="2"/>
      <c r="L138" s="6">
        <f t="shared" si="33"/>
        <v>1446.26</v>
      </c>
      <c r="M138" s="2"/>
      <c r="N138" s="7">
        <f t="shared" si="34"/>
        <v>0.93372758907877151</v>
      </c>
      <c r="O138" s="11"/>
      <c r="P138" s="6">
        <v>13040.57</v>
      </c>
      <c r="Q138" s="2"/>
      <c r="R138" s="7">
        <f t="shared" si="35"/>
        <v>4.0412858433873768E-3</v>
      </c>
      <c r="S138" s="2"/>
      <c r="T138" s="6">
        <v>8356.24</v>
      </c>
      <c r="U138" s="2"/>
      <c r="V138" s="7">
        <f t="shared" si="36"/>
        <v>3.3864255383715875E-3</v>
      </c>
      <c r="W138" s="2"/>
      <c r="X138" s="6">
        <f t="shared" si="37"/>
        <v>4684.33</v>
      </c>
      <c r="Y138" s="2"/>
      <c r="Z138" s="7">
        <f t="shared" si="38"/>
        <v>0.56057868132078548</v>
      </c>
    </row>
    <row r="139" spans="1:26" s="29" customFormat="1" outlineLevel="1" collapsed="1" x14ac:dyDescent="0.3">
      <c r="A139" s="28"/>
      <c r="B139" s="14" t="str">
        <f>CONCATENATE("     ","*Payroll                                          ")</f>
        <v xml:space="preserve">     *Payroll                                          </v>
      </c>
      <c r="C139" s="14"/>
      <c r="D139" s="1">
        <f>SUM(OSRRefD22_1x_0)</f>
        <v>125576.45000000001</v>
      </c>
      <c r="E139" s="1"/>
      <c r="F139" s="5">
        <f t="shared" ref="F139:F146" si="39">IF(D$12=0,0,D139/D$12)</f>
        <v>0.4050073651952219</v>
      </c>
      <c r="G139" s="1"/>
      <c r="H139" s="1">
        <f>SUM(OSRRefH22_1x_0)</f>
        <v>96374.430000000008</v>
      </c>
      <c r="I139" s="1"/>
      <c r="J139" s="5">
        <f t="shared" ref="J139:J146" si="40">IF(H$12=0,0,H139/H$12)</f>
        <v>0.86845201331571198</v>
      </c>
      <c r="K139" s="1"/>
      <c r="L139" s="1">
        <f t="shared" ref="L139:L146" si="41">+D139-H139</f>
        <v>29202.020000000004</v>
      </c>
      <c r="M139" s="1"/>
      <c r="N139" s="5">
        <f t="shared" ref="N139:N146" si="42">IF(H139=0,0,L139/H139)</f>
        <v>0.30300589067037803</v>
      </c>
      <c r="O139" s="14"/>
      <c r="P139" s="1">
        <f>SUM(OSRRefP22_1x_0)</f>
        <v>823488.66</v>
      </c>
      <c r="Q139" s="1"/>
      <c r="R139" s="5">
        <f t="shared" ref="R139:R146" si="43">IF(P$12=0,0,P139/P$12)</f>
        <v>0.2551999693148414</v>
      </c>
      <c r="S139" s="1"/>
      <c r="T139" s="1">
        <f>SUM(OSRRefT22_1x_0)</f>
        <v>652370.24</v>
      </c>
      <c r="U139" s="1"/>
      <c r="V139" s="5">
        <f t="shared" ref="V139:V146" si="44">IF(T$12=0,0,T139/T$12)</f>
        <v>0.26437766761241915</v>
      </c>
      <c r="W139" s="1"/>
      <c r="X139" s="1">
        <f t="shared" ref="X139:X146" si="45">+P139-T139</f>
        <v>171118.42000000004</v>
      </c>
      <c r="Y139" s="1"/>
      <c r="Z139" s="5">
        <f t="shared" ref="Z139:Z146" si="46">IF(T139=0,0,X139/T139)</f>
        <v>0.26230261515301501</v>
      </c>
    </row>
    <row r="140" spans="1:26" s="24" customFormat="1" hidden="1" outlineLevel="2" x14ac:dyDescent="0.3">
      <c r="A140" s="27"/>
      <c r="B140" s="11" t="str">
        <f>CONCATENATE("          ", "6001", " - ", "ADMINISTRATIVE SALARIES")</f>
        <v xml:space="preserve">          6001 - ADMINISTRATIVE SALARIES</v>
      </c>
      <c r="C140" s="11"/>
      <c r="D140" s="6">
        <v>4192.43</v>
      </c>
      <c r="E140" s="2"/>
      <c r="F140" s="7">
        <f t="shared" si="39"/>
        <v>1.3521365097240797E-2</v>
      </c>
      <c r="G140" s="2"/>
      <c r="H140" s="6">
        <v>3995.45</v>
      </c>
      <c r="I140" s="2"/>
      <c r="J140" s="7">
        <f t="shared" si="40"/>
        <v>3.6003913035877473E-2</v>
      </c>
      <c r="K140" s="2"/>
      <c r="L140" s="6">
        <f t="shared" si="41"/>
        <v>196.98000000000047</v>
      </c>
      <c r="M140" s="2"/>
      <c r="N140" s="7">
        <f t="shared" si="42"/>
        <v>4.9301079978475638E-2</v>
      </c>
      <c r="O140" s="11"/>
      <c r="P140" s="6">
        <v>23676.51</v>
      </c>
      <c r="Q140" s="2"/>
      <c r="R140" s="7">
        <f t="shared" si="43"/>
        <v>7.3373744156750549E-3</v>
      </c>
      <c r="S140" s="2"/>
      <c r="T140" s="6">
        <v>21137.95</v>
      </c>
      <c r="U140" s="2"/>
      <c r="V140" s="7">
        <f t="shared" si="44"/>
        <v>8.5663041881063363E-3</v>
      </c>
      <c r="W140" s="2"/>
      <c r="X140" s="6">
        <f t="shared" si="45"/>
        <v>2538.5599999999977</v>
      </c>
      <c r="Y140" s="2"/>
      <c r="Z140" s="7">
        <f t="shared" si="46"/>
        <v>0.12009490040424911</v>
      </c>
    </row>
    <row r="141" spans="1:26" s="24" customFormat="1" hidden="1" outlineLevel="2" x14ac:dyDescent="0.3">
      <c r="A141" s="27"/>
      <c r="B141" s="11" t="str">
        <f>CONCATENATE("          ", "6002", " - ", "STAFF SALARIES")</f>
        <v xml:space="preserve">          6002 - STAFF SALARIES</v>
      </c>
      <c r="C141" s="11"/>
      <c r="D141" s="6">
        <v>39449.300000000003</v>
      </c>
      <c r="E141" s="2"/>
      <c r="F141" s="7">
        <f t="shared" si="39"/>
        <v>0.12723131647530941</v>
      </c>
      <c r="G141" s="2"/>
      <c r="H141" s="6">
        <v>52152.77</v>
      </c>
      <c r="I141" s="2"/>
      <c r="J141" s="7">
        <f t="shared" si="40"/>
        <v>0.46996052901678648</v>
      </c>
      <c r="K141" s="2"/>
      <c r="L141" s="6">
        <f t="shared" si="41"/>
        <v>-12703.469999999994</v>
      </c>
      <c r="M141" s="2"/>
      <c r="N141" s="7">
        <f t="shared" si="42"/>
        <v>-0.24358188452885618</v>
      </c>
      <c r="O141" s="11"/>
      <c r="P141" s="6">
        <v>289015.34999999998</v>
      </c>
      <c r="Q141" s="2"/>
      <c r="R141" s="7">
        <f t="shared" si="43"/>
        <v>8.9566149522348162E-2</v>
      </c>
      <c r="S141" s="2"/>
      <c r="T141" s="6">
        <v>314786.36</v>
      </c>
      <c r="U141" s="2"/>
      <c r="V141" s="7">
        <f t="shared" si="44"/>
        <v>0.12756940545449058</v>
      </c>
      <c r="W141" s="2"/>
      <c r="X141" s="6">
        <f t="shared" si="45"/>
        <v>-25771.010000000009</v>
      </c>
      <c r="Y141" s="2"/>
      <c r="Z141" s="7">
        <f t="shared" si="46"/>
        <v>-8.1868255028585135E-2</v>
      </c>
    </row>
    <row r="142" spans="1:26" s="24" customFormat="1" hidden="1" outlineLevel="2" x14ac:dyDescent="0.3">
      <c r="A142" s="27"/>
      <c r="B142" s="11" t="str">
        <f>CONCATENATE("          ", "6004", " - ", "STAFF HOURLY")</f>
        <v xml:space="preserve">          6004 - STAFF HOURLY</v>
      </c>
      <c r="C142" s="11"/>
      <c r="D142" s="6">
        <v>21095.77</v>
      </c>
      <c r="E142" s="2"/>
      <c r="F142" s="7">
        <f t="shared" si="39"/>
        <v>6.8037774793477654E-2</v>
      </c>
      <c r="G142" s="2"/>
      <c r="H142" s="6">
        <v>11939.34</v>
      </c>
      <c r="I142" s="2"/>
      <c r="J142" s="7">
        <f t="shared" si="40"/>
        <v>0.10758812125437019</v>
      </c>
      <c r="K142" s="2"/>
      <c r="L142" s="6">
        <f t="shared" si="41"/>
        <v>9156.43</v>
      </c>
      <c r="M142" s="2"/>
      <c r="N142" s="7">
        <f t="shared" si="42"/>
        <v>0.76691257640707111</v>
      </c>
      <c r="O142" s="11"/>
      <c r="P142" s="6">
        <v>111080.52</v>
      </c>
      <c r="Q142" s="2"/>
      <c r="R142" s="7">
        <f t="shared" si="43"/>
        <v>3.4423965589855998E-2</v>
      </c>
      <c r="S142" s="2"/>
      <c r="T142" s="6">
        <v>75516.14</v>
      </c>
      <c r="U142" s="2"/>
      <c r="V142" s="7">
        <f t="shared" si="44"/>
        <v>3.0603451439312916E-2</v>
      </c>
      <c r="W142" s="2"/>
      <c r="X142" s="6">
        <f t="shared" si="45"/>
        <v>35564.380000000005</v>
      </c>
      <c r="Y142" s="2"/>
      <c r="Z142" s="7">
        <f t="shared" si="46"/>
        <v>0.47095071331770938</v>
      </c>
    </row>
    <row r="143" spans="1:26" s="24" customFormat="1" hidden="1" outlineLevel="2" x14ac:dyDescent="0.3">
      <c r="A143" s="27"/>
      <c r="B143" s="11" t="str">
        <f>CONCATENATE("          ", "6005", " - ", "TEMPORARY WAGES-HOURLY")</f>
        <v xml:space="preserve">          6005 - TEMPORARY WAGES-HOURLY</v>
      </c>
      <c r="C143" s="11"/>
      <c r="D143" s="6">
        <v>9559.1299999999992</v>
      </c>
      <c r="E143" s="2"/>
      <c r="F143" s="7">
        <f t="shared" si="39"/>
        <v>3.0829968954040356E-2</v>
      </c>
      <c r="G143" s="2"/>
      <c r="H143" s="6">
        <v>7697.23</v>
      </c>
      <c r="I143" s="2"/>
      <c r="J143" s="7">
        <f t="shared" si="40"/>
        <v>6.9361498588931703E-2</v>
      </c>
      <c r="K143" s="2"/>
      <c r="L143" s="6">
        <f t="shared" si="41"/>
        <v>1861.8999999999996</v>
      </c>
      <c r="M143" s="2"/>
      <c r="N143" s="7">
        <f t="shared" si="42"/>
        <v>0.24189221317279069</v>
      </c>
      <c r="O143" s="11"/>
      <c r="P143" s="6">
        <v>56896.7</v>
      </c>
      <c r="Q143" s="2"/>
      <c r="R143" s="7">
        <f t="shared" si="43"/>
        <v>1.7632344923991707E-2</v>
      </c>
      <c r="S143" s="2"/>
      <c r="T143" s="6">
        <v>90198.09</v>
      </c>
      <c r="U143" s="2"/>
      <c r="V143" s="7">
        <f t="shared" si="44"/>
        <v>3.6553415829169447E-2</v>
      </c>
      <c r="W143" s="2"/>
      <c r="X143" s="6">
        <f t="shared" si="45"/>
        <v>-33301.39</v>
      </c>
      <c r="Y143" s="2"/>
      <c r="Z143" s="7">
        <f t="shared" si="46"/>
        <v>-0.36920282901777635</v>
      </c>
    </row>
    <row r="144" spans="1:26" s="24" customFormat="1" hidden="1" outlineLevel="2" x14ac:dyDescent="0.3">
      <c r="A144" s="27"/>
      <c r="B144" s="11" t="str">
        <f>CONCATENATE("          ", "6006", " - ", "TEMPORARY PART TIME")</f>
        <v xml:space="preserve">          6006 - TEMPORARY PART TIME</v>
      </c>
      <c r="C144" s="11"/>
      <c r="D144" s="6"/>
      <c r="E144" s="2"/>
      <c r="F144" s="7">
        <f t="shared" si="39"/>
        <v>0</v>
      </c>
      <c r="G144" s="2"/>
      <c r="H144" s="6">
        <v>1048.44</v>
      </c>
      <c r="I144" s="2"/>
      <c r="J144" s="7">
        <f t="shared" si="40"/>
        <v>9.4477324414860356E-3</v>
      </c>
      <c r="K144" s="2"/>
      <c r="L144" s="6">
        <f t="shared" si="41"/>
        <v>-1048.44</v>
      </c>
      <c r="M144" s="2"/>
      <c r="N144" s="7">
        <f t="shared" si="42"/>
        <v>-1</v>
      </c>
      <c r="O144" s="11"/>
      <c r="P144" s="6">
        <v>9877.6200000000008</v>
      </c>
      <c r="Q144" s="2"/>
      <c r="R144" s="7">
        <f t="shared" si="43"/>
        <v>3.0610844366741655E-3</v>
      </c>
      <c r="S144" s="2"/>
      <c r="T144" s="6">
        <v>8555.61</v>
      </c>
      <c r="U144" s="2"/>
      <c r="V144" s="7">
        <f t="shared" si="44"/>
        <v>3.4672216451834006E-3</v>
      </c>
      <c r="W144" s="2"/>
      <c r="X144" s="6">
        <f t="shared" si="45"/>
        <v>1322.0100000000002</v>
      </c>
      <c r="Y144" s="2"/>
      <c r="Z144" s="7">
        <f t="shared" si="46"/>
        <v>0.15451966604368364</v>
      </c>
    </row>
    <row r="145" spans="1:26" s="24" customFormat="1" hidden="1" outlineLevel="2" x14ac:dyDescent="0.3">
      <c r="A145" s="27"/>
      <c r="B145" s="11" t="str">
        <f>CONCATENATE("          ", "6007", " - ", "STUDENT HOURLY")</f>
        <v xml:space="preserve">          6007 - STUDENT HOURLY</v>
      </c>
      <c r="C145" s="11"/>
      <c r="D145" s="6">
        <v>44217.89</v>
      </c>
      <c r="E145" s="2"/>
      <c r="F145" s="7">
        <f t="shared" si="39"/>
        <v>0.14261090453976163</v>
      </c>
      <c r="G145" s="2"/>
      <c r="H145" s="6">
        <v>18658.63</v>
      </c>
      <c r="I145" s="2"/>
      <c r="J145" s="7">
        <f t="shared" si="40"/>
        <v>0.16813717901328126</v>
      </c>
      <c r="K145" s="2"/>
      <c r="L145" s="6">
        <f t="shared" si="41"/>
        <v>25559.26</v>
      </c>
      <c r="M145" s="2"/>
      <c r="N145" s="7">
        <f t="shared" si="42"/>
        <v>1.3698358346781085</v>
      </c>
      <c r="O145" s="11"/>
      <c r="P145" s="6">
        <v>282236.28999999998</v>
      </c>
      <c r="Q145" s="2"/>
      <c r="R145" s="7">
        <f t="shared" si="43"/>
        <v>8.746531196620809E-2</v>
      </c>
      <c r="S145" s="2"/>
      <c r="T145" s="6">
        <v>138328.79999999999</v>
      </c>
      <c r="U145" s="2"/>
      <c r="V145" s="7">
        <f t="shared" si="44"/>
        <v>5.6058727491347257E-2</v>
      </c>
      <c r="W145" s="2"/>
      <c r="X145" s="6">
        <f t="shared" si="45"/>
        <v>143907.49</v>
      </c>
      <c r="Y145" s="2"/>
      <c r="Z145" s="7">
        <f t="shared" si="46"/>
        <v>1.0403292011497245</v>
      </c>
    </row>
    <row r="146" spans="1:26" s="24" customFormat="1" hidden="1" outlineLevel="2" x14ac:dyDescent="0.3">
      <c r="A146" s="27"/>
      <c r="B146" s="11" t="str">
        <f>CONCATENATE("          ", "6008", " - ", "STUDENT HOURLY-FICA EXEMPT")</f>
        <v xml:space="preserve">          6008 - STUDENT HOURLY-FICA EXEMPT</v>
      </c>
      <c r="C146" s="11"/>
      <c r="D146" s="6">
        <v>7061.93</v>
      </c>
      <c r="E146" s="2"/>
      <c r="F146" s="7">
        <f t="shared" si="39"/>
        <v>2.2776035335392054E-2</v>
      </c>
      <c r="G146" s="2"/>
      <c r="H146" s="6">
        <v>882.57</v>
      </c>
      <c r="I146" s="2"/>
      <c r="J146" s="7">
        <f t="shared" si="40"/>
        <v>7.9530399649787604E-3</v>
      </c>
      <c r="K146" s="2"/>
      <c r="L146" s="6">
        <f t="shared" si="41"/>
        <v>6179.3600000000006</v>
      </c>
      <c r="M146" s="2"/>
      <c r="N146" s="7">
        <f t="shared" si="42"/>
        <v>7.001552284804605</v>
      </c>
      <c r="O146" s="11"/>
      <c r="P146" s="6">
        <v>50705.67</v>
      </c>
      <c r="Q146" s="2"/>
      <c r="R146" s="7">
        <f t="shared" si="43"/>
        <v>1.571373846008817E-2</v>
      </c>
      <c r="S146" s="2"/>
      <c r="T146" s="6">
        <v>3847.29</v>
      </c>
      <c r="U146" s="2"/>
      <c r="V146" s="7">
        <f t="shared" si="44"/>
        <v>1.5591415648092473E-3</v>
      </c>
      <c r="W146" s="2"/>
      <c r="X146" s="6">
        <f t="shared" si="45"/>
        <v>46858.38</v>
      </c>
      <c r="Y146" s="2"/>
      <c r="Z146" s="7">
        <f t="shared" si="46"/>
        <v>12.179580951786841</v>
      </c>
    </row>
    <row r="147" spans="1:26" s="29" customFormat="1" outlineLevel="1" collapsed="1" x14ac:dyDescent="0.3">
      <c r="A147" s="28"/>
      <c r="B147" s="14" t="str">
        <f>CONCATENATE("     ","Advertising/Promo                                 ")</f>
        <v xml:space="preserve">     Advertising/Promo                                 </v>
      </c>
      <c r="C147" s="14"/>
      <c r="D147" s="1">
        <f>SUM(OSRRefD22_2x_0)</f>
        <v>1685.96</v>
      </c>
      <c r="E147" s="1"/>
      <c r="F147" s="5">
        <f t="shared" ref="F147:F155" si="47">IF(D$12=0,0,D147/D$12)</f>
        <v>5.4375340075669947E-3</v>
      </c>
      <c r="G147" s="1"/>
      <c r="H147" s="1">
        <f>SUM(OSRRefH22_2x_0)</f>
        <v>648.78</v>
      </c>
      <c r="I147" s="1"/>
      <c r="J147" s="5">
        <f t="shared" ref="J147:J155" si="48">IF(H$12=0,0,H147/H$12)</f>
        <v>5.846304846617174E-3</v>
      </c>
      <c r="K147" s="1"/>
      <c r="L147" s="1">
        <f t="shared" ref="L147:L155" si="49">+D147-H147</f>
        <v>1037.18</v>
      </c>
      <c r="M147" s="1"/>
      <c r="N147" s="5">
        <f t="shared" ref="N147:N155" si="50">IF(H147=0,0,L147/H147)</f>
        <v>1.5986621042572213</v>
      </c>
      <c r="O147" s="14"/>
      <c r="P147" s="1">
        <f>SUM(OSRRefP22_2x_0)</f>
        <v>4923.91</v>
      </c>
      <c r="Q147" s="1"/>
      <c r="R147" s="5">
        <f t="shared" ref="R147:R155" si="51">IF(P$12=0,0,P147/P$12)</f>
        <v>1.5259246932544772E-3</v>
      </c>
      <c r="S147" s="1"/>
      <c r="T147" s="1">
        <f>SUM(OSRRefT22_2x_0)</f>
        <v>14358.53</v>
      </c>
      <c r="U147" s="1"/>
      <c r="V147" s="5">
        <f t="shared" ref="V147:V155" si="52">IF(T$12=0,0,T147/T$12)</f>
        <v>5.8188961405458185E-3</v>
      </c>
      <c r="W147" s="1"/>
      <c r="X147" s="1">
        <f t="shared" ref="X147:X155" si="53">+P147-T147</f>
        <v>-9434.6200000000008</v>
      </c>
      <c r="Y147" s="1"/>
      <c r="Z147" s="5">
        <f t="shared" ref="Z147:Z155" si="54">IF(T147=0,0,X147/T147)</f>
        <v>-0.65707422695777351</v>
      </c>
    </row>
    <row r="148" spans="1:26" s="24" customFormat="1" hidden="1" outlineLevel="2" x14ac:dyDescent="0.3">
      <c r="A148" s="27"/>
      <c r="B148" s="11" t="str">
        <f>CONCATENATE("          ", "6362", " - ", "ADVERTISING EXPENSE")</f>
        <v xml:space="preserve">          6362 - ADVERTISING EXPENSE</v>
      </c>
      <c r="C148" s="11"/>
      <c r="D148" s="6">
        <v>1685.96</v>
      </c>
      <c r="E148" s="2"/>
      <c r="F148" s="7">
        <f t="shared" si="47"/>
        <v>5.4375340075669947E-3</v>
      </c>
      <c r="G148" s="2"/>
      <c r="H148" s="6">
        <v>648.78</v>
      </c>
      <c r="I148" s="2"/>
      <c r="J148" s="7">
        <f t="shared" si="48"/>
        <v>5.846304846617174E-3</v>
      </c>
      <c r="K148" s="2"/>
      <c r="L148" s="6">
        <f t="shared" si="49"/>
        <v>1037.18</v>
      </c>
      <c r="M148" s="2"/>
      <c r="N148" s="7">
        <f t="shared" si="50"/>
        <v>1.5986621042572213</v>
      </c>
      <c r="O148" s="11"/>
      <c r="P148" s="6">
        <v>4923.91</v>
      </c>
      <c r="Q148" s="2"/>
      <c r="R148" s="7">
        <f t="shared" si="51"/>
        <v>1.5259246932544772E-3</v>
      </c>
      <c r="S148" s="2"/>
      <c r="T148" s="6">
        <v>14358.53</v>
      </c>
      <c r="U148" s="2"/>
      <c r="V148" s="7">
        <f t="shared" si="52"/>
        <v>5.8188961405458185E-3</v>
      </c>
      <c r="W148" s="2"/>
      <c r="X148" s="6">
        <f t="shared" si="53"/>
        <v>-9434.6200000000008</v>
      </c>
      <c r="Y148" s="2"/>
      <c r="Z148" s="7">
        <f t="shared" si="54"/>
        <v>-0.65707422695777351</v>
      </c>
    </row>
    <row r="149" spans="1:26" s="29" customFormat="1" outlineLevel="1" collapsed="1" x14ac:dyDescent="0.3">
      <c r="A149" s="28"/>
      <c r="B149" s="14" t="str">
        <f>CONCATENATE("     ","Bad Debts/Over/Short                              ")</f>
        <v xml:space="preserve">     Bad Debts/Over/Short                              </v>
      </c>
      <c r="C149" s="14"/>
      <c r="D149" s="1">
        <f>SUM(OSRRefD22_3x_0)</f>
        <v>-38.71</v>
      </c>
      <c r="E149" s="1"/>
      <c r="F149" s="5">
        <f t="shared" si="47"/>
        <v>-1.2484693672027707E-4</v>
      </c>
      <c r="G149" s="1"/>
      <c r="H149" s="1">
        <f>SUM(OSRRefH22_3x_0)</f>
        <v>0.74</v>
      </c>
      <c r="I149" s="1"/>
      <c r="J149" s="5">
        <f t="shared" si="48"/>
        <v>6.6683091132536589E-6</v>
      </c>
      <c r="K149" s="1"/>
      <c r="L149" s="1">
        <f t="shared" si="49"/>
        <v>-39.450000000000003</v>
      </c>
      <c r="M149" s="1"/>
      <c r="N149" s="5">
        <f t="shared" si="50"/>
        <v>-53.310810810810814</v>
      </c>
      <c r="O149" s="14"/>
      <c r="P149" s="1">
        <f>SUM(OSRRefP22_3x_0)</f>
        <v>186.96</v>
      </c>
      <c r="Q149" s="1"/>
      <c r="R149" s="5">
        <f t="shared" si="51"/>
        <v>5.793909325126923E-5</v>
      </c>
      <c r="S149" s="1"/>
      <c r="T149" s="1">
        <f>SUM(OSRRefT22_3x_0)</f>
        <v>54.61</v>
      </c>
      <c r="U149" s="1"/>
      <c r="V149" s="5">
        <f t="shared" si="52"/>
        <v>2.2131089898144666E-5</v>
      </c>
      <c r="W149" s="1"/>
      <c r="X149" s="1">
        <f t="shared" si="53"/>
        <v>132.35000000000002</v>
      </c>
      <c r="Y149" s="1"/>
      <c r="Z149" s="5">
        <f t="shared" si="54"/>
        <v>2.4235488005859738</v>
      </c>
    </row>
    <row r="150" spans="1:26" s="24" customFormat="1" hidden="1" outlineLevel="2" x14ac:dyDescent="0.3">
      <c r="A150" s="27"/>
      <c r="B150" s="11" t="str">
        <f>CONCATENATE("          ", "6272", " - ", "CASH (OVER/SHORT)")</f>
        <v xml:space="preserve">          6272 - CASH (OVER/SHORT)</v>
      </c>
      <c r="C150" s="11"/>
      <c r="D150" s="6">
        <v>-38.71</v>
      </c>
      <c r="E150" s="2"/>
      <c r="F150" s="7">
        <f t="shared" si="47"/>
        <v>-1.2484693672027707E-4</v>
      </c>
      <c r="G150" s="2"/>
      <c r="H150" s="6">
        <v>0.74</v>
      </c>
      <c r="I150" s="2"/>
      <c r="J150" s="7">
        <f t="shared" si="48"/>
        <v>6.6683091132536589E-6</v>
      </c>
      <c r="K150" s="2"/>
      <c r="L150" s="6">
        <f t="shared" si="49"/>
        <v>-39.450000000000003</v>
      </c>
      <c r="M150" s="2"/>
      <c r="N150" s="7">
        <f t="shared" si="50"/>
        <v>-53.310810810810814</v>
      </c>
      <c r="O150" s="11"/>
      <c r="P150" s="6">
        <v>186.96</v>
      </c>
      <c r="Q150" s="2"/>
      <c r="R150" s="7">
        <f t="shared" si="51"/>
        <v>5.793909325126923E-5</v>
      </c>
      <c r="S150" s="2"/>
      <c r="T150" s="6">
        <v>54.61</v>
      </c>
      <c r="U150" s="2"/>
      <c r="V150" s="7">
        <f t="shared" si="52"/>
        <v>2.2131089898144666E-5</v>
      </c>
      <c r="W150" s="2"/>
      <c r="X150" s="6">
        <f t="shared" si="53"/>
        <v>132.35000000000002</v>
      </c>
      <c r="Y150" s="2"/>
      <c r="Z150" s="7">
        <f t="shared" si="54"/>
        <v>2.4235488005859738</v>
      </c>
    </row>
    <row r="151" spans="1:26" s="29" customFormat="1" outlineLevel="1" collapsed="1" x14ac:dyDescent="0.3">
      <c r="A151" s="28"/>
      <c r="B151" s="14" t="str">
        <f>CONCATENATE("     ","Bank/card Fees                                    ")</f>
        <v xml:space="preserve">     Bank/card Fees                                    </v>
      </c>
      <c r="C151" s="14"/>
      <c r="D151" s="1">
        <f>SUM(OSRRefD22_4x_0)</f>
        <v>8597.08</v>
      </c>
      <c r="E151" s="1"/>
      <c r="F151" s="5">
        <f t="shared" si="47"/>
        <v>2.7727179094269173E-2</v>
      </c>
      <c r="G151" s="1"/>
      <c r="H151" s="1">
        <f>SUM(OSRRefH22_4x_0)</f>
        <v>2647.72</v>
      </c>
      <c r="I151" s="1"/>
      <c r="J151" s="5">
        <f t="shared" si="48"/>
        <v>2.385921000722159E-2</v>
      </c>
      <c r="K151" s="1"/>
      <c r="L151" s="1">
        <f t="shared" si="49"/>
        <v>5949.3600000000006</v>
      </c>
      <c r="M151" s="1"/>
      <c r="N151" s="5">
        <f t="shared" si="50"/>
        <v>2.246974755638814</v>
      </c>
      <c r="O151" s="14"/>
      <c r="P151" s="1">
        <f>SUM(OSRRefP22_4x_0)</f>
        <v>61577.760000000002</v>
      </c>
      <c r="Q151" s="1"/>
      <c r="R151" s="5">
        <f t="shared" si="51"/>
        <v>1.9083010156419965E-2</v>
      </c>
      <c r="S151" s="1"/>
      <c r="T151" s="1">
        <f>SUM(OSRRefT22_4x_0)</f>
        <v>42221.71</v>
      </c>
      <c r="U151" s="1"/>
      <c r="V151" s="5">
        <f t="shared" si="52"/>
        <v>1.711064749429397E-2</v>
      </c>
      <c r="W151" s="1"/>
      <c r="X151" s="1">
        <f t="shared" si="53"/>
        <v>19356.050000000003</v>
      </c>
      <c r="Y151" s="1"/>
      <c r="Z151" s="5">
        <f t="shared" si="54"/>
        <v>0.45843832473862389</v>
      </c>
    </row>
    <row r="152" spans="1:26" s="24" customFormat="1" hidden="1" outlineLevel="2" x14ac:dyDescent="0.3">
      <c r="A152" s="27"/>
      <c r="B152" s="11" t="str">
        <f>CONCATENATE("          ", "6381", " - ", "BANK/CREDIT CARD FEES")</f>
        <v xml:space="preserve">          6381 - BANK/CREDIT CARD FEES</v>
      </c>
      <c r="C152" s="11"/>
      <c r="D152" s="6">
        <v>8597.08</v>
      </c>
      <c r="E152" s="2"/>
      <c r="F152" s="7">
        <f t="shared" si="47"/>
        <v>2.7727179094269173E-2</v>
      </c>
      <c r="G152" s="2"/>
      <c r="H152" s="6">
        <v>2647.72</v>
      </c>
      <c r="I152" s="2"/>
      <c r="J152" s="7">
        <f t="shared" si="48"/>
        <v>2.385921000722159E-2</v>
      </c>
      <c r="K152" s="2"/>
      <c r="L152" s="6">
        <f t="shared" si="49"/>
        <v>5949.3600000000006</v>
      </c>
      <c r="M152" s="2"/>
      <c r="N152" s="7">
        <f t="shared" si="50"/>
        <v>2.246974755638814</v>
      </c>
      <c r="O152" s="11"/>
      <c r="P152" s="6">
        <v>61577.760000000002</v>
      </c>
      <c r="Q152" s="2"/>
      <c r="R152" s="7">
        <f t="shared" si="51"/>
        <v>1.9083010156419965E-2</v>
      </c>
      <c r="S152" s="2"/>
      <c r="T152" s="6">
        <v>42221.71</v>
      </c>
      <c r="U152" s="2"/>
      <c r="V152" s="7">
        <f t="shared" si="52"/>
        <v>1.711064749429397E-2</v>
      </c>
      <c r="W152" s="2"/>
      <c r="X152" s="6">
        <f t="shared" si="53"/>
        <v>19356.050000000003</v>
      </c>
      <c r="Y152" s="2"/>
      <c r="Z152" s="7">
        <f t="shared" si="54"/>
        <v>0.45843832473862389</v>
      </c>
    </row>
    <row r="153" spans="1:26" s="29" customFormat="1" outlineLevel="1" collapsed="1" x14ac:dyDescent="0.3">
      <c r="A153" s="28"/>
      <c r="B153" s="14" t="str">
        <f>CONCATENATE("     ","Depreciation                                      ")</f>
        <v xml:space="preserve">     Depreciation                                      </v>
      </c>
      <c r="C153" s="14"/>
      <c r="D153" s="1">
        <f>SUM(OSRRefD22_5x_0)</f>
        <v>36939.599999999999</v>
      </c>
      <c r="E153" s="1"/>
      <c r="F153" s="5">
        <f t="shared" si="47"/>
        <v>0.11913706803596867</v>
      </c>
      <c r="G153" s="1"/>
      <c r="H153" s="1">
        <f>SUM(OSRRefH22_5x_0)</f>
        <v>39887.94</v>
      </c>
      <c r="I153" s="1"/>
      <c r="J153" s="5">
        <f t="shared" si="48"/>
        <v>0.35943934298772318</v>
      </c>
      <c r="K153" s="1"/>
      <c r="L153" s="1">
        <f t="shared" si="49"/>
        <v>-2948.3400000000038</v>
      </c>
      <c r="M153" s="1"/>
      <c r="N153" s="5">
        <f t="shared" si="50"/>
        <v>-7.3915574481911162E-2</v>
      </c>
      <c r="O153" s="14"/>
      <c r="P153" s="1">
        <f>SUM(OSRRefP22_5x_0)</f>
        <v>187447.86</v>
      </c>
      <c r="Q153" s="1"/>
      <c r="R153" s="5">
        <f t="shared" si="51"/>
        <v>5.8090281559108142E-2</v>
      </c>
      <c r="S153" s="1"/>
      <c r="T153" s="1">
        <f>SUM(OSRRefT22_5x_0)</f>
        <v>199916.47</v>
      </c>
      <c r="U153" s="1"/>
      <c r="V153" s="5">
        <f t="shared" si="52"/>
        <v>8.1017567655919082E-2</v>
      </c>
      <c r="W153" s="1"/>
      <c r="X153" s="1">
        <f t="shared" si="53"/>
        <v>-12468.610000000015</v>
      </c>
      <c r="Y153" s="1"/>
      <c r="Z153" s="5">
        <f t="shared" si="54"/>
        <v>-6.2369098453969374E-2</v>
      </c>
    </row>
    <row r="154" spans="1:26" s="24" customFormat="1" hidden="1" outlineLevel="2" x14ac:dyDescent="0.3">
      <c r="A154" s="27"/>
      <c r="B154" s="11" t="str">
        <f>CONCATENATE("          ", "6321", " - ", "BUILDING DEPRECIATION")</f>
        <v xml:space="preserve">          6321 - BUILDING DEPRECIATION</v>
      </c>
      <c r="C154" s="11"/>
      <c r="D154" s="6">
        <v>21477.03</v>
      </c>
      <c r="E154" s="2"/>
      <c r="F154" s="7">
        <f t="shared" si="47"/>
        <v>6.9267409076452915E-2</v>
      </c>
      <c r="G154" s="2"/>
      <c r="H154" s="6">
        <v>21477.03</v>
      </c>
      <c r="I154" s="2"/>
      <c r="J154" s="7">
        <f t="shared" si="48"/>
        <v>0.19353442550624625</v>
      </c>
      <c r="K154" s="2"/>
      <c r="L154" s="6">
        <f t="shared" si="49"/>
        <v>0</v>
      </c>
      <c r="M154" s="2"/>
      <c r="N154" s="7">
        <f t="shared" si="50"/>
        <v>0</v>
      </c>
      <c r="O154" s="11"/>
      <c r="P154" s="6">
        <v>107385.15</v>
      </c>
      <c r="Q154" s="2"/>
      <c r="R154" s="7">
        <f t="shared" si="51"/>
        <v>3.327876668619776E-2</v>
      </c>
      <c r="S154" s="2"/>
      <c r="T154" s="6">
        <v>107385.15</v>
      </c>
      <c r="U154" s="2"/>
      <c r="V154" s="7">
        <f t="shared" si="52"/>
        <v>4.351859381753799E-2</v>
      </c>
      <c r="W154" s="2"/>
      <c r="X154" s="6">
        <f t="shared" si="53"/>
        <v>0</v>
      </c>
      <c r="Y154" s="2"/>
      <c r="Z154" s="7">
        <f t="shared" si="54"/>
        <v>0</v>
      </c>
    </row>
    <row r="155" spans="1:26" s="24" customFormat="1" hidden="1" outlineLevel="2" x14ac:dyDescent="0.3">
      <c r="A155" s="27"/>
      <c r="B155" s="11" t="str">
        <f>CONCATENATE("          ", "6322", " - ", "EQUIPMENT DEPRECIATION EXPENSE")</f>
        <v xml:space="preserve">          6322 - EQUIPMENT DEPRECIATION EXPENSE</v>
      </c>
      <c r="C155" s="11"/>
      <c r="D155" s="6">
        <v>15462.57</v>
      </c>
      <c r="E155" s="2"/>
      <c r="F155" s="7">
        <f t="shared" si="47"/>
        <v>4.9869658959515756E-2</v>
      </c>
      <c r="G155" s="2"/>
      <c r="H155" s="6">
        <v>18410.91</v>
      </c>
      <c r="I155" s="2"/>
      <c r="J155" s="7">
        <f t="shared" si="48"/>
        <v>0.16590491748147693</v>
      </c>
      <c r="K155" s="2"/>
      <c r="L155" s="6">
        <f t="shared" si="49"/>
        <v>-2948.34</v>
      </c>
      <c r="M155" s="2"/>
      <c r="N155" s="7">
        <f t="shared" si="50"/>
        <v>-0.16014091644573789</v>
      </c>
      <c r="O155" s="11"/>
      <c r="P155" s="6">
        <v>80062.710000000006</v>
      </c>
      <c r="Q155" s="2"/>
      <c r="R155" s="7">
        <f t="shared" si="51"/>
        <v>2.4811514872910386E-2</v>
      </c>
      <c r="S155" s="2"/>
      <c r="T155" s="6">
        <v>92531.32</v>
      </c>
      <c r="U155" s="2"/>
      <c r="V155" s="7">
        <f t="shared" si="52"/>
        <v>3.7498973838381099E-2</v>
      </c>
      <c r="W155" s="2"/>
      <c r="X155" s="6">
        <f t="shared" si="53"/>
        <v>-12468.61</v>
      </c>
      <c r="Y155" s="2"/>
      <c r="Z155" s="7">
        <f t="shared" si="54"/>
        <v>-0.13475015810862742</v>
      </c>
    </row>
    <row r="156" spans="1:26" s="29" customFormat="1" outlineLevel="1" collapsed="1" x14ac:dyDescent="0.3">
      <c r="A156" s="28"/>
      <c r="B156" s="14" t="str">
        <f>CONCATENATE("     ","Discounts and Markdowns                           ")</f>
        <v xml:space="preserve">     Discounts and Markdowns                           </v>
      </c>
      <c r="C156" s="14"/>
      <c r="D156" s="1">
        <f>SUM(OSRRefD22_6x_0)</f>
        <v>3409.87</v>
      </c>
      <c r="E156" s="1"/>
      <c r="F156" s="5">
        <f t="shared" ref="F156:F158" si="55">IF(D$12=0,0,D156/D$12)</f>
        <v>1.0997463810756166E-2</v>
      </c>
      <c r="G156" s="1"/>
      <c r="H156" s="1">
        <f>SUM(OSRRefH22_6x_0)</f>
        <v>418.85</v>
      </c>
      <c r="I156" s="1"/>
      <c r="J156" s="5">
        <f t="shared" ref="J156:J158" si="56">IF(H$12=0,0,H156/H$12)</f>
        <v>3.7743530703868854E-3</v>
      </c>
      <c r="K156" s="1"/>
      <c r="L156" s="1">
        <f t="shared" ref="L156:L158" si="57">+D156-H156</f>
        <v>2991.02</v>
      </c>
      <c r="M156" s="1"/>
      <c r="N156" s="5">
        <f t="shared" ref="N156:N158" si="58">IF(H156=0,0,L156/H156)</f>
        <v>7.1410290079980898</v>
      </c>
      <c r="O156" s="14"/>
      <c r="P156" s="1">
        <f>SUM(OSRRefP22_6x_0)</f>
        <v>3343.63</v>
      </c>
      <c r="Q156" s="1"/>
      <c r="R156" s="5">
        <f t="shared" ref="R156:R158" si="59">IF(P$12=0,0,P156/P$12)</f>
        <v>1.0361943216075167E-3</v>
      </c>
      <c r="S156" s="1"/>
      <c r="T156" s="1">
        <f>SUM(OSRRefT22_6x_0)</f>
        <v>0</v>
      </c>
      <c r="U156" s="1"/>
      <c r="V156" s="5">
        <f t="shared" ref="V156:V158" si="60">IF(T$12=0,0,T156/T$12)</f>
        <v>0</v>
      </c>
      <c r="W156" s="1"/>
      <c r="X156" s="1">
        <f t="shared" ref="X156:X158" si="61">+P156-T156</f>
        <v>3343.63</v>
      </c>
      <c r="Y156" s="1"/>
      <c r="Z156" s="5">
        <f t="shared" ref="Z156:Z158" si="62">IF(T156=0,0,X156/T156)</f>
        <v>0</v>
      </c>
    </row>
    <row r="157" spans="1:26" s="24" customFormat="1" hidden="1" outlineLevel="2" x14ac:dyDescent="0.3">
      <c r="A157" s="27"/>
      <c r="B157" s="11" t="str">
        <f>CONCATENATE("          ", "6382", " - ", "DISCOUNTS/MARK DOWNS")</f>
        <v xml:space="preserve">          6382 - DISCOUNTS/MARK DOWNS</v>
      </c>
      <c r="C157" s="11"/>
      <c r="D157" s="6">
        <v>3410</v>
      </c>
      <c r="E157" s="2"/>
      <c r="F157" s="7">
        <f t="shared" si="55"/>
        <v>1.0997883084891368E-2</v>
      </c>
      <c r="G157" s="2"/>
      <c r="H157" s="6">
        <v>0</v>
      </c>
      <c r="I157" s="2"/>
      <c r="J157" s="7">
        <f t="shared" si="56"/>
        <v>0</v>
      </c>
      <c r="K157" s="2"/>
      <c r="L157" s="6">
        <f t="shared" si="57"/>
        <v>3410</v>
      </c>
      <c r="M157" s="2"/>
      <c r="N157" s="7">
        <f t="shared" si="58"/>
        <v>0</v>
      </c>
      <c r="O157" s="11"/>
      <c r="P157" s="6">
        <v>3410</v>
      </c>
      <c r="Q157" s="2"/>
      <c r="R157" s="7">
        <f t="shared" si="59"/>
        <v>1.0567624517909076E-3</v>
      </c>
      <c r="S157" s="2"/>
      <c r="T157" s="6">
        <v>0</v>
      </c>
      <c r="U157" s="2"/>
      <c r="V157" s="7">
        <f t="shared" si="60"/>
        <v>0</v>
      </c>
      <c r="W157" s="2"/>
      <c r="X157" s="6">
        <f t="shared" si="61"/>
        <v>3410</v>
      </c>
      <c r="Y157" s="2"/>
      <c r="Z157" s="7">
        <f t="shared" si="62"/>
        <v>0</v>
      </c>
    </row>
    <row r="158" spans="1:26" s="24" customFormat="1" hidden="1" outlineLevel="2" x14ac:dyDescent="0.3">
      <c r="A158" s="27"/>
      <c r="B158" s="11" t="str">
        <f>CONCATENATE("          ", "9175", " - ", "EARNED DISCOUNTS")</f>
        <v xml:space="preserve">          9175 - EARNED DISCOUNTS</v>
      </c>
      <c r="C158" s="11"/>
      <c r="D158" s="6">
        <v>-0.13</v>
      </c>
      <c r="E158" s="2"/>
      <c r="F158" s="7">
        <f t="shared" si="55"/>
        <v>-4.1927413520113722E-7</v>
      </c>
      <c r="G158" s="2"/>
      <c r="H158" s="6">
        <v>418.85</v>
      </c>
      <c r="I158" s="2"/>
      <c r="J158" s="7">
        <f t="shared" si="56"/>
        <v>3.7743530703868854E-3</v>
      </c>
      <c r="K158" s="2"/>
      <c r="L158" s="6">
        <f t="shared" si="57"/>
        <v>-418.98</v>
      </c>
      <c r="M158" s="2"/>
      <c r="N158" s="7">
        <f t="shared" si="58"/>
        <v>-1.0003103736421153</v>
      </c>
      <c r="O158" s="11"/>
      <c r="P158" s="6">
        <v>-66.37</v>
      </c>
      <c r="Q158" s="2"/>
      <c r="R158" s="7">
        <f t="shared" si="59"/>
        <v>-2.0568130183390774E-5</v>
      </c>
      <c r="S158" s="2"/>
      <c r="T158" s="6">
        <v>0</v>
      </c>
      <c r="U158" s="2"/>
      <c r="V158" s="7">
        <f t="shared" si="60"/>
        <v>0</v>
      </c>
      <c r="W158" s="2"/>
      <c r="X158" s="6">
        <f t="shared" si="61"/>
        <v>-66.37</v>
      </c>
      <c r="Y158" s="2"/>
      <c r="Z158" s="7">
        <f t="shared" si="62"/>
        <v>0</v>
      </c>
    </row>
    <row r="159" spans="1:26" s="29" customFormat="1" outlineLevel="1" collapsed="1" x14ac:dyDescent="0.3">
      <c r="A159" s="28"/>
      <c r="B159" s="14" t="str">
        <f>CONCATENATE("     ","Donations                                         ")</f>
        <v xml:space="preserve">     Donations                                         </v>
      </c>
      <c r="C159" s="14"/>
      <c r="D159" s="1">
        <f>SUM(OSRRefD22_7x_0)</f>
        <v>1336.74</v>
      </c>
      <c r="E159" s="1"/>
      <c r="F159" s="5">
        <f t="shared" ref="F159:F167" si="63">IF(D$12=0,0,D159/D$12)</f>
        <v>4.3112346729905241E-3</v>
      </c>
      <c r="G159" s="1"/>
      <c r="H159" s="1">
        <f>SUM(OSRRefH22_7x_0)</f>
        <v>0</v>
      </c>
      <c r="I159" s="1"/>
      <c r="J159" s="5">
        <f t="shared" ref="J159:J167" si="64">IF(H$12=0,0,H159/H$12)</f>
        <v>0</v>
      </c>
      <c r="K159" s="1"/>
      <c r="L159" s="1">
        <f t="shared" ref="L159:L167" si="65">+D159-H159</f>
        <v>1336.74</v>
      </c>
      <c r="M159" s="1"/>
      <c r="N159" s="5">
        <f t="shared" ref="N159:N167" si="66">IF(H159=0,0,L159/H159)</f>
        <v>0</v>
      </c>
      <c r="O159" s="14"/>
      <c r="P159" s="1">
        <f>SUM(OSRRefP22_7x_0)</f>
        <v>2820.22</v>
      </c>
      <c r="Q159" s="1"/>
      <c r="R159" s="5">
        <f t="shared" ref="R159:R167" si="67">IF(P$12=0,0,P159/P$12)</f>
        <v>8.7398903278291878E-4</v>
      </c>
      <c r="S159" s="1"/>
      <c r="T159" s="1">
        <f>SUM(OSRRefT22_7x_0)</f>
        <v>0</v>
      </c>
      <c r="U159" s="1"/>
      <c r="V159" s="5">
        <f t="shared" ref="V159:V167" si="68">IF(T$12=0,0,T159/T$12)</f>
        <v>0</v>
      </c>
      <c r="W159" s="1"/>
      <c r="X159" s="1">
        <f t="shared" ref="X159:X167" si="69">+P159-T159</f>
        <v>2820.22</v>
      </c>
      <c r="Y159" s="1"/>
      <c r="Z159" s="5">
        <f t="shared" ref="Z159:Z167" si="70">IF(T159=0,0,X159/T159)</f>
        <v>0</v>
      </c>
    </row>
    <row r="160" spans="1:26" s="24" customFormat="1" hidden="1" outlineLevel="2" x14ac:dyDescent="0.3">
      <c r="A160" s="27"/>
      <c r="B160" s="11" t="str">
        <f>CONCATENATE("          ", "6399", " - ", "DONATION-ON CAMPUS")</f>
        <v xml:space="preserve">          6399 - DONATION-ON CAMPUS</v>
      </c>
      <c r="C160" s="11"/>
      <c r="D160" s="6">
        <v>1336.74</v>
      </c>
      <c r="E160" s="2"/>
      <c r="F160" s="7">
        <f t="shared" si="63"/>
        <v>4.3112346729905241E-3</v>
      </c>
      <c r="G160" s="2"/>
      <c r="H160" s="6"/>
      <c r="I160" s="2"/>
      <c r="J160" s="7">
        <f t="shared" si="64"/>
        <v>0</v>
      </c>
      <c r="K160" s="2"/>
      <c r="L160" s="6">
        <f t="shared" si="65"/>
        <v>1336.74</v>
      </c>
      <c r="M160" s="2"/>
      <c r="N160" s="7">
        <f t="shared" si="66"/>
        <v>0</v>
      </c>
      <c r="O160" s="11"/>
      <c r="P160" s="6">
        <v>2820.22</v>
      </c>
      <c r="Q160" s="2"/>
      <c r="R160" s="7">
        <f t="shared" si="67"/>
        <v>8.7398903278291878E-4</v>
      </c>
      <c r="S160" s="2"/>
      <c r="T160" s="6"/>
      <c r="U160" s="2"/>
      <c r="V160" s="7">
        <f t="shared" si="68"/>
        <v>0</v>
      </c>
      <c r="W160" s="2"/>
      <c r="X160" s="6">
        <f t="shared" si="69"/>
        <v>2820.22</v>
      </c>
      <c r="Y160" s="2"/>
      <c r="Z160" s="7">
        <f t="shared" si="70"/>
        <v>0</v>
      </c>
    </row>
    <row r="161" spans="1:26" s="29" customFormat="1" outlineLevel="1" collapsed="1" x14ac:dyDescent="0.3">
      <c r="A161" s="28"/>
      <c r="B161" s="14" t="str">
        <f>CONCATENATE("     ","Employees' Appreciation                           ")</f>
        <v xml:space="preserve">     Employees' Appreciation                           </v>
      </c>
      <c r="C161" s="14"/>
      <c r="D161" s="1">
        <f>SUM(OSRRefD22_8x_0)</f>
        <v>490.02</v>
      </c>
      <c r="E161" s="1"/>
      <c r="F161" s="5">
        <f t="shared" si="63"/>
        <v>1.5804054748558556E-3</v>
      </c>
      <c r="G161" s="1"/>
      <c r="H161" s="1">
        <f>SUM(OSRRefH22_8x_0)</f>
        <v>0</v>
      </c>
      <c r="I161" s="1"/>
      <c r="J161" s="5">
        <f t="shared" si="64"/>
        <v>0</v>
      </c>
      <c r="K161" s="1"/>
      <c r="L161" s="1">
        <f t="shared" si="65"/>
        <v>490.02</v>
      </c>
      <c r="M161" s="1"/>
      <c r="N161" s="5">
        <f t="shared" si="66"/>
        <v>0</v>
      </c>
      <c r="O161" s="14"/>
      <c r="P161" s="1">
        <f>SUM(OSRRefP22_8x_0)</f>
        <v>1874.65</v>
      </c>
      <c r="Q161" s="1"/>
      <c r="R161" s="5">
        <f t="shared" si="67"/>
        <v>5.8095593262458213E-4</v>
      </c>
      <c r="S161" s="1"/>
      <c r="T161" s="1">
        <f>SUM(OSRRefT22_8x_0)</f>
        <v>107.7</v>
      </c>
      <c r="U161" s="1"/>
      <c r="V161" s="5">
        <f t="shared" si="68"/>
        <v>4.3646189013553942E-5</v>
      </c>
      <c r="W161" s="1"/>
      <c r="X161" s="1">
        <f t="shared" si="69"/>
        <v>1766.95</v>
      </c>
      <c r="Y161" s="1"/>
      <c r="Z161" s="5">
        <f t="shared" si="70"/>
        <v>16.406220984215413</v>
      </c>
    </row>
    <row r="162" spans="1:26" s="24" customFormat="1" hidden="1" outlineLevel="2" x14ac:dyDescent="0.3">
      <c r="A162" s="27"/>
      <c r="B162" s="11" t="str">
        <f>CONCATENATE("          ", "6277", " - ", "EMPLOYEE APPRECIATION")</f>
        <v xml:space="preserve">          6277 - EMPLOYEE APPRECIATION</v>
      </c>
      <c r="C162" s="11"/>
      <c r="D162" s="6">
        <v>490.02</v>
      </c>
      <c r="E162" s="2"/>
      <c r="F162" s="7">
        <f t="shared" si="63"/>
        <v>1.5804054748558556E-3</v>
      </c>
      <c r="G162" s="2"/>
      <c r="H162" s="6"/>
      <c r="I162" s="2"/>
      <c r="J162" s="7">
        <f t="shared" si="64"/>
        <v>0</v>
      </c>
      <c r="K162" s="2"/>
      <c r="L162" s="6">
        <f t="shared" si="65"/>
        <v>490.02</v>
      </c>
      <c r="M162" s="2"/>
      <c r="N162" s="7">
        <f t="shared" si="66"/>
        <v>0</v>
      </c>
      <c r="O162" s="11"/>
      <c r="P162" s="6">
        <v>1874.65</v>
      </c>
      <c r="Q162" s="2"/>
      <c r="R162" s="7">
        <f t="shared" si="67"/>
        <v>5.8095593262458213E-4</v>
      </c>
      <c r="S162" s="2"/>
      <c r="T162" s="6">
        <v>107.7</v>
      </c>
      <c r="U162" s="2"/>
      <c r="V162" s="7">
        <f t="shared" si="68"/>
        <v>4.3646189013553942E-5</v>
      </c>
      <c r="W162" s="2"/>
      <c r="X162" s="6">
        <f t="shared" si="69"/>
        <v>1766.95</v>
      </c>
      <c r="Y162" s="2"/>
      <c r="Z162" s="7">
        <f t="shared" si="70"/>
        <v>16.406220984215413</v>
      </c>
    </row>
    <row r="163" spans="1:26" s="29" customFormat="1" outlineLevel="1" collapsed="1" x14ac:dyDescent="0.3">
      <c r="A163" s="28"/>
      <c r="B163" s="14" t="str">
        <f>CONCATENATE("     ","Equipment Rental                                  ")</f>
        <v xml:space="preserve">     Equipment Rental                                  </v>
      </c>
      <c r="C163" s="14"/>
      <c r="D163" s="1">
        <f>SUM(OSRRefD22_9x_0)</f>
        <v>1712.05</v>
      </c>
      <c r="E163" s="1"/>
      <c r="F163" s="5">
        <f t="shared" si="63"/>
        <v>5.521679101316207E-3</v>
      </c>
      <c r="G163" s="1"/>
      <c r="H163" s="1">
        <f>SUM(OSRRefH22_9x_0)</f>
        <v>1712.05</v>
      </c>
      <c r="I163" s="1"/>
      <c r="J163" s="5">
        <f t="shared" si="64"/>
        <v>1.5427673807224224E-2</v>
      </c>
      <c r="K163" s="1"/>
      <c r="L163" s="1">
        <f t="shared" si="65"/>
        <v>0</v>
      </c>
      <c r="M163" s="1"/>
      <c r="N163" s="5">
        <f t="shared" si="66"/>
        <v>0</v>
      </c>
      <c r="O163" s="14"/>
      <c r="P163" s="1">
        <f>SUM(OSRRefP22_9x_0)</f>
        <v>8323.4500000000007</v>
      </c>
      <c r="Q163" s="1"/>
      <c r="R163" s="5">
        <f t="shared" si="67"/>
        <v>2.5794455804571937E-3</v>
      </c>
      <c r="S163" s="1"/>
      <c r="T163" s="1">
        <f>SUM(OSRRefT22_9x_0)</f>
        <v>7679.84</v>
      </c>
      <c r="U163" s="1"/>
      <c r="V163" s="5">
        <f t="shared" si="68"/>
        <v>3.112309640054337E-3</v>
      </c>
      <c r="W163" s="1"/>
      <c r="X163" s="1">
        <f t="shared" si="69"/>
        <v>643.61000000000058</v>
      </c>
      <c r="Y163" s="1"/>
      <c r="Z163" s="5">
        <f t="shared" si="70"/>
        <v>8.3805131356903345E-2</v>
      </c>
    </row>
    <row r="164" spans="1:26" s="24" customFormat="1" hidden="1" outlineLevel="2" x14ac:dyDescent="0.3">
      <c r="A164" s="27"/>
      <c r="B164" s="11" t="str">
        <f>CONCATENATE("          ", "6351", " - ", "EQUIPMENT RENTAL")</f>
        <v xml:space="preserve">          6351 - EQUIPMENT RENTAL</v>
      </c>
      <c r="C164" s="11"/>
      <c r="D164" s="6">
        <v>1712.05</v>
      </c>
      <c r="E164" s="2"/>
      <c r="F164" s="7">
        <f t="shared" si="63"/>
        <v>5.521679101316207E-3</v>
      </c>
      <c r="G164" s="2"/>
      <c r="H164" s="6">
        <v>1712.05</v>
      </c>
      <c r="I164" s="2"/>
      <c r="J164" s="7">
        <f t="shared" si="64"/>
        <v>1.5427673807224224E-2</v>
      </c>
      <c r="K164" s="2"/>
      <c r="L164" s="6">
        <f t="shared" si="65"/>
        <v>0</v>
      </c>
      <c r="M164" s="2"/>
      <c r="N164" s="7">
        <f t="shared" si="66"/>
        <v>0</v>
      </c>
      <c r="O164" s="11"/>
      <c r="P164" s="6">
        <v>8323.4500000000007</v>
      </c>
      <c r="Q164" s="2"/>
      <c r="R164" s="7">
        <f t="shared" si="67"/>
        <v>2.5794455804571937E-3</v>
      </c>
      <c r="S164" s="2"/>
      <c r="T164" s="6">
        <v>7679.84</v>
      </c>
      <c r="U164" s="2"/>
      <c r="V164" s="7">
        <f t="shared" si="68"/>
        <v>3.112309640054337E-3</v>
      </c>
      <c r="W164" s="2"/>
      <c r="X164" s="6">
        <f t="shared" si="69"/>
        <v>643.61000000000058</v>
      </c>
      <c r="Y164" s="2"/>
      <c r="Z164" s="7">
        <f t="shared" si="70"/>
        <v>8.3805131356903345E-2</v>
      </c>
    </row>
    <row r="165" spans="1:26" s="29" customFormat="1" outlineLevel="1" collapsed="1" x14ac:dyDescent="0.3">
      <c r="A165" s="28"/>
      <c r="B165" s="14" t="str">
        <f>CONCATENATE("     ","Freight out/Postage                               ")</f>
        <v xml:space="preserve">     Freight out/Postage                               </v>
      </c>
      <c r="C165" s="14"/>
      <c r="D165" s="1">
        <f>SUM(OSRRefD22_10x_0)</f>
        <v>5663.0599999999995</v>
      </c>
      <c r="E165" s="1"/>
      <c r="F165" s="5">
        <f t="shared" si="63"/>
        <v>1.8264419877631936E-2</v>
      </c>
      <c r="G165" s="1"/>
      <c r="H165" s="1">
        <f>SUM(OSRRefH22_10x_0)</f>
        <v>12498.470000000001</v>
      </c>
      <c r="I165" s="1"/>
      <c r="J165" s="5">
        <f t="shared" si="64"/>
        <v>0.11262656946314523</v>
      </c>
      <c r="K165" s="1"/>
      <c r="L165" s="1">
        <f t="shared" si="65"/>
        <v>-6835.4100000000017</v>
      </c>
      <c r="M165" s="1"/>
      <c r="N165" s="5">
        <f t="shared" si="66"/>
        <v>-0.54689974052824075</v>
      </c>
      <c r="O165" s="14"/>
      <c r="P165" s="1">
        <f>SUM(OSRRefP22_10x_0)</f>
        <v>-29986.23000000001</v>
      </c>
      <c r="Q165" s="1"/>
      <c r="R165" s="5">
        <f t="shared" si="67"/>
        <v>-9.2927630307231904E-3</v>
      </c>
      <c r="S165" s="1"/>
      <c r="T165" s="1">
        <f>SUM(OSRRefT22_10x_0)</f>
        <v>-19249.449999999997</v>
      </c>
      <c r="U165" s="1"/>
      <c r="V165" s="5">
        <f t="shared" si="68"/>
        <v>-7.8009761662669987E-3</v>
      </c>
      <c r="W165" s="1"/>
      <c r="X165" s="1">
        <f t="shared" si="69"/>
        <v>-10736.780000000013</v>
      </c>
      <c r="Y165" s="1"/>
      <c r="Z165" s="5">
        <f t="shared" si="70"/>
        <v>0.55777074150170602</v>
      </c>
    </row>
    <row r="166" spans="1:26" s="24" customFormat="1" hidden="1" outlineLevel="2" x14ac:dyDescent="0.3">
      <c r="A166" s="27"/>
      <c r="B166" s="11" t="str">
        <f>CONCATENATE("          ", "6305", " - ", "FREIGHT OUT")</f>
        <v xml:space="preserve">          6305 - FREIGHT OUT</v>
      </c>
      <c r="C166" s="11"/>
      <c r="D166" s="6">
        <v>11063.73</v>
      </c>
      <c r="E166" s="2"/>
      <c r="F166" s="7">
        <f t="shared" si="63"/>
        <v>3.5682583291145209E-2</v>
      </c>
      <c r="G166" s="2"/>
      <c r="H166" s="6">
        <v>16818.18</v>
      </c>
      <c r="I166" s="2"/>
      <c r="J166" s="7">
        <f t="shared" si="64"/>
        <v>0.15155246346262219</v>
      </c>
      <c r="K166" s="2"/>
      <c r="L166" s="6">
        <f t="shared" si="65"/>
        <v>-5754.4500000000007</v>
      </c>
      <c r="M166" s="2"/>
      <c r="N166" s="7">
        <f t="shared" si="66"/>
        <v>-0.34215652347638098</v>
      </c>
      <c r="O166" s="11"/>
      <c r="P166" s="6">
        <v>65828.62</v>
      </c>
      <c r="Q166" s="2"/>
      <c r="R166" s="7">
        <f t="shared" si="67"/>
        <v>2.0400355973375944E-2</v>
      </c>
      <c r="S166" s="2"/>
      <c r="T166" s="6">
        <v>103166.35</v>
      </c>
      <c r="U166" s="2"/>
      <c r="V166" s="7">
        <f t="shared" si="68"/>
        <v>4.1808895189772148E-2</v>
      </c>
      <c r="W166" s="2"/>
      <c r="X166" s="6">
        <f t="shared" si="69"/>
        <v>-37337.73000000001</v>
      </c>
      <c r="Y166" s="2"/>
      <c r="Z166" s="7">
        <f t="shared" si="70"/>
        <v>-0.36191771832579139</v>
      </c>
    </row>
    <row r="167" spans="1:26" s="24" customFormat="1" hidden="1" outlineLevel="2" x14ac:dyDescent="0.3">
      <c r="A167" s="27"/>
      <c r="B167" s="11" t="str">
        <f>CONCATENATE("          ", "6307", " - ", "POSTAGE")</f>
        <v xml:space="preserve">          6307 - POSTAGE</v>
      </c>
      <c r="C167" s="11"/>
      <c r="D167" s="6">
        <v>-5400.67</v>
      </c>
      <c r="E167" s="2"/>
      <c r="F167" s="7">
        <f t="shared" si="63"/>
        <v>-1.7418163413513273E-2</v>
      </c>
      <c r="G167" s="2"/>
      <c r="H167" s="6">
        <v>-4319.71</v>
      </c>
      <c r="I167" s="2"/>
      <c r="J167" s="7">
        <f t="shared" si="64"/>
        <v>-3.8925893999476976E-2</v>
      </c>
      <c r="K167" s="2"/>
      <c r="L167" s="6">
        <f t="shared" si="65"/>
        <v>-1080.96</v>
      </c>
      <c r="M167" s="2"/>
      <c r="N167" s="7">
        <f t="shared" si="66"/>
        <v>0.25023902067499904</v>
      </c>
      <c r="O167" s="11"/>
      <c r="P167" s="6">
        <v>-95814.85</v>
      </c>
      <c r="Q167" s="2"/>
      <c r="R167" s="7">
        <f t="shared" si="67"/>
        <v>-2.9693119004099135E-2</v>
      </c>
      <c r="S167" s="2"/>
      <c r="T167" s="6">
        <v>-122415.8</v>
      </c>
      <c r="U167" s="2"/>
      <c r="V167" s="7">
        <f t="shared" si="68"/>
        <v>-4.9609871356039149E-2</v>
      </c>
      <c r="W167" s="2"/>
      <c r="X167" s="6">
        <f t="shared" si="69"/>
        <v>26600.949999999997</v>
      </c>
      <c r="Y167" s="2"/>
      <c r="Z167" s="7">
        <f t="shared" si="70"/>
        <v>-0.21729997271594023</v>
      </c>
    </row>
    <row r="168" spans="1:26" s="29" customFormat="1" outlineLevel="1" collapsed="1" x14ac:dyDescent="0.3">
      <c r="A168" s="28"/>
      <c r="B168" s="14" t="str">
        <f>CONCATENATE("     ","General                                           ")</f>
        <v xml:space="preserve">     General                                           </v>
      </c>
      <c r="C168" s="14"/>
      <c r="D168" s="1">
        <f>SUM(OSRRefD22_11x_0)</f>
        <v>1682.28</v>
      </c>
      <c r="E168" s="1"/>
      <c r="F168" s="5">
        <f t="shared" ref="F168:F176" si="71">IF(D$12=0,0,D168/D$12)</f>
        <v>5.4256653243551466E-3</v>
      </c>
      <c r="G168" s="1"/>
      <c r="H168" s="1">
        <f>SUM(OSRRefH22_11x_0)</f>
        <v>4207.7299999999996</v>
      </c>
      <c r="I168" s="1"/>
      <c r="J168" s="5">
        <f t="shared" ref="J168:J176" si="72">IF(H$12=0,0,H168/H$12)</f>
        <v>3.7916816628528131E-2</v>
      </c>
      <c r="K168" s="1"/>
      <c r="L168" s="1">
        <f t="shared" ref="L168:L176" si="73">+D168-H168</f>
        <v>-2525.4499999999998</v>
      </c>
      <c r="M168" s="1"/>
      <c r="N168" s="5">
        <f t="shared" ref="N168:N176" si="74">IF(H168=0,0,L168/H168)</f>
        <v>-0.60019297816162165</v>
      </c>
      <c r="O168" s="14"/>
      <c r="P168" s="1">
        <f>SUM(OSRRefP22_11x_0)</f>
        <v>5488.38</v>
      </c>
      <c r="Q168" s="1"/>
      <c r="R168" s="5">
        <f t="shared" ref="R168:R176" si="75">IF(P$12=0,0,P168/P$12)</f>
        <v>1.7008545176422818E-3</v>
      </c>
      <c r="S168" s="1"/>
      <c r="T168" s="1">
        <f>SUM(OSRRefT22_11x_0)</f>
        <v>2470</v>
      </c>
      <c r="U168" s="1"/>
      <c r="V168" s="5">
        <f t="shared" ref="V168:V176" si="76">IF(T$12=0,0,T168/T$12)</f>
        <v>1.0009850219450161E-3</v>
      </c>
      <c r="W168" s="1"/>
      <c r="X168" s="1">
        <f t="shared" ref="X168:X176" si="77">+P168-T168</f>
        <v>3018.38</v>
      </c>
      <c r="Y168" s="1"/>
      <c r="Z168" s="5">
        <f t="shared" ref="Z168:Z176" si="78">IF(T168=0,0,X168/T168)</f>
        <v>1.2220161943319838</v>
      </c>
    </row>
    <row r="169" spans="1:26" s="24" customFormat="1" hidden="1" outlineLevel="2" x14ac:dyDescent="0.3">
      <c r="A169" s="27"/>
      <c r="B169" s="11" t="str">
        <f>CONCATENATE("          ", "6279", " - ", "GENERAL EXPENSE")</f>
        <v xml:space="preserve">          6279 - GENERAL EXPENSE</v>
      </c>
      <c r="C169" s="11"/>
      <c r="D169" s="6">
        <v>1682.28</v>
      </c>
      <c r="E169" s="2"/>
      <c r="F169" s="7">
        <f t="shared" si="71"/>
        <v>5.4256653243551466E-3</v>
      </c>
      <c r="G169" s="2"/>
      <c r="H169" s="6">
        <v>4207.7299999999996</v>
      </c>
      <c r="I169" s="2"/>
      <c r="J169" s="7">
        <f t="shared" si="72"/>
        <v>3.7916816628528131E-2</v>
      </c>
      <c r="K169" s="2"/>
      <c r="L169" s="6">
        <f t="shared" si="73"/>
        <v>-2525.4499999999998</v>
      </c>
      <c r="M169" s="2"/>
      <c r="N169" s="7">
        <f t="shared" si="74"/>
        <v>-0.60019297816162165</v>
      </c>
      <c r="O169" s="11"/>
      <c r="P169" s="6">
        <v>5488.38</v>
      </c>
      <c r="Q169" s="2"/>
      <c r="R169" s="7">
        <f t="shared" si="75"/>
        <v>1.7008545176422818E-3</v>
      </c>
      <c r="S169" s="2"/>
      <c r="T169" s="6">
        <v>2470</v>
      </c>
      <c r="U169" s="2"/>
      <c r="V169" s="7">
        <f t="shared" si="76"/>
        <v>1.0009850219450161E-3</v>
      </c>
      <c r="W169" s="2"/>
      <c r="X169" s="6">
        <f t="shared" si="77"/>
        <v>3018.38</v>
      </c>
      <c r="Y169" s="2"/>
      <c r="Z169" s="7">
        <f t="shared" si="78"/>
        <v>1.2220161943319838</v>
      </c>
    </row>
    <row r="170" spans="1:26" s="29" customFormat="1" outlineLevel="1" collapsed="1" x14ac:dyDescent="0.3">
      <c r="A170" s="28"/>
      <c r="B170" s="14" t="str">
        <f>CONCATENATE("     ","Insurance                                         ")</f>
        <v xml:space="preserve">     Insurance                                         </v>
      </c>
      <c r="C170" s="14"/>
      <c r="D170" s="1">
        <f>SUM(OSRRefD22_12x_0)</f>
        <v>5825.58</v>
      </c>
      <c r="E170" s="1"/>
      <c r="F170" s="5">
        <f t="shared" si="71"/>
        <v>1.8788577050346467E-2</v>
      </c>
      <c r="G170" s="1"/>
      <c r="H170" s="1">
        <f>SUM(OSRRefH22_12x_0)</f>
        <v>4288.28</v>
      </c>
      <c r="I170" s="1"/>
      <c r="J170" s="5">
        <f t="shared" si="72"/>
        <v>3.8642671086734325E-2</v>
      </c>
      <c r="K170" s="1"/>
      <c r="L170" s="1">
        <f t="shared" si="73"/>
        <v>1537.3000000000002</v>
      </c>
      <c r="M170" s="1"/>
      <c r="N170" s="5">
        <f t="shared" si="74"/>
        <v>0.35848871808743837</v>
      </c>
      <c r="O170" s="14"/>
      <c r="P170" s="1">
        <f>SUM(OSRRefP22_12x_0)</f>
        <v>29127.9</v>
      </c>
      <c r="Q170" s="1"/>
      <c r="R170" s="5">
        <f t="shared" si="75"/>
        <v>9.0267656948740116E-3</v>
      </c>
      <c r="S170" s="1"/>
      <c r="T170" s="1">
        <f>SUM(OSRRefT22_12x_0)</f>
        <v>21441.4</v>
      </c>
      <c r="U170" s="1"/>
      <c r="V170" s="5">
        <f t="shared" si="76"/>
        <v>8.6892794532517689E-3</v>
      </c>
      <c r="W170" s="1"/>
      <c r="X170" s="1">
        <f t="shared" si="77"/>
        <v>7686.5</v>
      </c>
      <c r="Y170" s="1"/>
      <c r="Z170" s="5">
        <f t="shared" si="78"/>
        <v>0.35848871808743832</v>
      </c>
    </row>
    <row r="171" spans="1:26" s="24" customFormat="1" hidden="1" outlineLevel="2" x14ac:dyDescent="0.3">
      <c r="A171" s="27"/>
      <c r="B171" s="11" t="str">
        <f>CONCATENATE("          ", "6314", " - ", "LIABILITY INSURANCE")</f>
        <v xml:space="preserve">          6314 - LIABILITY INSURANCE</v>
      </c>
      <c r="C171" s="11"/>
      <c r="D171" s="6">
        <v>5825.58</v>
      </c>
      <c r="E171" s="2"/>
      <c r="F171" s="7">
        <f t="shared" si="71"/>
        <v>1.8788577050346467E-2</v>
      </c>
      <c r="G171" s="2"/>
      <c r="H171" s="6">
        <v>4288.28</v>
      </c>
      <c r="I171" s="2"/>
      <c r="J171" s="7">
        <f t="shared" si="72"/>
        <v>3.8642671086734325E-2</v>
      </c>
      <c r="K171" s="2"/>
      <c r="L171" s="6">
        <f t="shared" si="73"/>
        <v>1537.3000000000002</v>
      </c>
      <c r="M171" s="2"/>
      <c r="N171" s="7">
        <f t="shared" si="74"/>
        <v>0.35848871808743837</v>
      </c>
      <c r="O171" s="11"/>
      <c r="P171" s="6">
        <v>29127.9</v>
      </c>
      <c r="Q171" s="2"/>
      <c r="R171" s="7">
        <f t="shared" si="75"/>
        <v>9.0267656948740116E-3</v>
      </c>
      <c r="S171" s="2"/>
      <c r="T171" s="6">
        <v>21441.4</v>
      </c>
      <c r="U171" s="2"/>
      <c r="V171" s="7">
        <f t="shared" si="76"/>
        <v>8.6892794532517689E-3</v>
      </c>
      <c r="W171" s="2"/>
      <c r="X171" s="6">
        <f t="shared" si="77"/>
        <v>7686.5</v>
      </c>
      <c r="Y171" s="2"/>
      <c r="Z171" s="7">
        <f t="shared" si="78"/>
        <v>0.35848871808743832</v>
      </c>
    </row>
    <row r="172" spans="1:26" s="29" customFormat="1" outlineLevel="1" collapsed="1" x14ac:dyDescent="0.3">
      <c r="A172" s="28"/>
      <c r="B172" s="14" t="str">
        <f>CONCATENATE("     ","Interest                                          ")</f>
        <v xml:space="preserve">     Interest                                          </v>
      </c>
      <c r="C172" s="14"/>
      <c r="D172" s="1">
        <f>SUM(OSRRefD22_13x_0)</f>
        <v>3905</v>
      </c>
      <c r="E172" s="1"/>
      <c r="F172" s="5">
        <f t="shared" si="71"/>
        <v>1.2594349984311084E-2</v>
      </c>
      <c r="G172" s="1"/>
      <c r="H172" s="1">
        <f>SUM(OSRRefH22_13x_0)</f>
        <v>4044</v>
      </c>
      <c r="I172" s="1"/>
      <c r="J172" s="5">
        <f t="shared" si="72"/>
        <v>3.6441408181078105E-2</v>
      </c>
      <c r="K172" s="1"/>
      <c r="L172" s="1">
        <f t="shared" si="73"/>
        <v>-139</v>
      </c>
      <c r="M172" s="1"/>
      <c r="N172" s="5">
        <f t="shared" si="74"/>
        <v>-3.4371909000989118E-2</v>
      </c>
      <c r="O172" s="14"/>
      <c r="P172" s="1">
        <f>SUM(OSRRefP22_13x_0)</f>
        <v>19249</v>
      </c>
      <c r="Q172" s="1"/>
      <c r="R172" s="5">
        <f t="shared" si="75"/>
        <v>5.9652845849041585E-3</v>
      </c>
      <c r="S172" s="1"/>
      <c r="T172" s="1">
        <f>SUM(OSRRefT22_13x_0)</f>
        <v>19957.849999999999</v>
      </c>
      <c r="U172" s="1"/>
      <c r="V172" s="5">
        <f t="shared" si="76"/>
        <v>8.0880602915892053E-3</v>
      </c>
      <c r="W172" s="1"/>
      <c r="X172" s="1">
        <f t="shared" si="77"/>
        <v>-708.84999999999854</v>
      </c>
      <c r="Y172" s="1"/>
      <c r="Z172" s="5">
        <f t="shared" si="78"/>
        <v>-3.5517352821070339E-2</v>
      </c>
    </row>
    <row r="173" spans="1:26" s="24" customFormat="1" hidden="1" outlineLevel="2" x14ac:dyDescent="0.3">
      <c r="A173" s="27"/>
      <c r="B173" s="11" t="str">
        <f>CONCATENATE("          ", "6401", " - ", "INTEREST EXPENSE")</f>
        <v xml:space="preserve">          6401 - INTEREST EXPENSE</v>
      </c>
      <c r="C173" s="11"/>
      <c r="D173" s="6">
        <v>3905</v>
      </c>
      <c r="E173" s="2"/>
      <c r="F173" s="7">
        <f t="shared" si="71"/>
        <v>1.2594349984311084E-2</v>
      </c>
      <c r="G173" s="2"/>
      <c r="H173" s="6">
        <v>4044</v>
      </c>
      <c r="I173" s="2"/>
      <c r="J173" s="7">
        <f t="shared" si="72"/>
        <v>3.6441408181078105E-2</v>
      </c>
      <c r="K173" s="2"/>
      <c r="L173" s="6">
        <f t="shared" si="73"/>
        <v>-139</v>
      </c>
      <c r="M173" s="2"/>
      <c r="N173" s="7">
        <f t="shared" si="74"/>
        <v>-3.4371909000989118E-2</v>
      </c>
      <c r="O173" s="11"/>
      <c r="P173" s="6">
        <v>19249</v>
      </c>
      <c r="Q173" s="2"/>
      <c r="R173" s="7">
        <f t="shared" si="75"/>
        <v>5.9652845849041585E-3</v>
      </c>
      <c r="S173" s="2"/>
      <c r="T173" s="6">
        <v>19957.849999999999</v>
      </c>
      <c r="U173" s="2"/>
      <c r="V173" s="7">
        <f t="shared" si="76"/>
        <v>8.0880602915892053E-3</v>
      </c>
      <c r="W173" s="2"/>
      <c r="X173" s="6">
        <f t="shared" si="77"/>
        <v>-708.84999999999854</v>
      </c>
      <c r="Y173" s="2"/>
      <c r="Z173" s="7">
        <f t="shared" si="78"/>
        <v>-3.5517352821070339E-2</v>
      </c>
    </row>
    <row r="174" spans="1:26" s="29" customFormat="1" outlineLevel="1" collapsed="1" x14ac:dyDescent="0.3">
      <c r="A174" s="28"/>
      <c r="B174" s="14" t="str">
        <f>CONCATENATE("     ","Inventory Adjustment                              ")</f>
        <v xml:space="preserve">     Inventory Adjustment                              </v>
      </c>
      <c r="C174" s="14"/>
      <c r="D174" s="1">
        <f>SUM(OSRRefD22_14x_0)</f>
        <v>5100</v>
      </c>
      <c r="E174" s="1"/>
      <c r="F174" s="5">
        <f t="shared" si="71"/>
        <v>1.644844684250615E-2</v>
      </c>
      <c r="G174" s="1"/>
      <c r="H174" s="1">
        <f>SUM(OSRRefH22_14x_0)</f>
        <v>2100</v>
      </c>
      <c r="I174" s="1"/>
      <c r="J174" s="5">
        <f t="shared" si="72"/>
        <v>1.8923579915990113E-2</v>
      </c>
      <c r="K174" s="1"/>
      <c r="L174" s="1">
        <f t="shared" si="73"/>
        <v>3000</v>
      </c>
      <c r="M174" s="1"/>
      <c r="N174" s="5">
        <f t="shared" si="74"/>
        <v>1.4285714285714286</v>
      </c>
      <c r="O174" s="14"/>
      <c r="P174" s="1">
        <f>SUM(OSRRefP22_14x_0)</f>
        <v>25500</v>
      </c>
      <c r="Q174" s="1"/>
      <c r="R174" s="5">
        <f t="shared" si="75"/>
        <v>7.9024758125126517E-3</v>
      </c>
      <c r="S174" s="1"/>
      <c r="T174" s="1">
        <f>SUM(OSRRefT22_14x_0)</f>
        <v>10500</v>
      </c>
      <c r="U174" s="1"/>
      <c r="V174" s="5">
        <f t="shared" si="76"/>
        <v>4.25519948600108E-3</v>
      </c>
      <c r="W174" s="1"/>
      <c r="X174" s="1">
        <f t="shared" si="77"/>
        <v>15000</v>
      </c>
      <c r="Y174" s="1"/>
      <c r="Z174" s="5">
        <f t="shared" si="78"/>
        <v>1.4285714285714286</v>
      </c>
    </row>
    <row r="175" spans="1:26" s="24" customFormat="1" hidden="1" outlineLevel="2" x14ac:dyDescent="0.3">
      <c r="A175" s="27"/>
      <c r="B175" s="11" t="str">
        <f>CONCATENATE("          ", "6408", " - ", "INVENTORY ADJUSTMENT")</f>
        <v xml:space="preserve">          6408 - INVENTORY ADJUSTMENT</v>
      </c>
      <c r="C175" s="11"/>
      <c r="D175" s="6">
        <v>5100</v>
      </c>
      <c r="E175" s="2"/>
      <c r="F175" s="7">
        <f t="shared" si="71"/>
        <v>1.644844684250615E-2</v>
      </c>
      <c r="G175" s="2"/>
      <c r="H175" s="6">
        <v>2100</v>
      </c>
      <c r="I175" s="2"/>
      <c r="J175" s="7">
        <f t="shared" si="72"/>
        <v>1.8923579915990113E-2</v>
      </c>
      <c r="K175" s="2"/>
      <c r="L175" s="6">
        <f t="shared" si="73"/>
        <v>3000</v>
      </c>
      <c r="M175" s="2"/>
      <c r="N175" s="7">
        <f t="shared" si="74"/>
        <v>1.4285714285714286</v>
      </c>
      <c r="O175" s="11"/>
      <c r="P175" s="6">
        <v>25500</v>
      </c>
      <c r="Q175" s="2"/>
      <c r="R175" s="7">
        <f t="shared" si="75"/>
        <v>7.9024758125126517E-3</v>
      </c>
      <c r="S175" s="2"/>
      <c r="T175" s="6">
        <v>10500</v>
      </c>
      <c r="U175" s="2"/>
      <c r="V175" s="7">
        <f t="shared" si="76"/>
        <v>4.25519948600108E-3</v>
      </c>
      <c r="W175" s="2"/>
      <c r="X175" s="6">
        <f t="shared" si="77"/>
        <v>15000</v>
      </c>
      <c r="Y175" s="2"/>
      <c r="Z175" s="7">
        <f t="shared" si="78"/>
        <v>1.4285714285714286</v>
      </c>
    </row>
    <row r="176" spans="1:26" s="24" customFormat="1" hidden="1" outlineLevel="2" x14ac:dyDescent="0.3">
      <c r="A176" s="27"/>
      <c r="B176" s="11" t="str">
        <f>CONCATENATE("          ", "7741", " - ", "INV. SHRINKAGE-LOGO GIFTS")</f>
        <v xml:space="preserve">          7741 - INV. SHRINKAGE-LOGO GIFTS</v>
      </c>
      <c r="C176" s="11"/>
      <c r="D176" s="6"/>
      <c r="E176" s="2"/>
      <c r="F176" s="7">
        <f t="shared" si="71"/>
        <v>0</v>
      </c>
      <c r="G176" s="2"/>
      <c r="H176" s="6"/>
      <c r="I176" s="2"/>
      <c r="J176" s="7">
        <f t="shared" si="72"/>
        <v>0</v>
      </c>
      <c r="K176" s="2"/>
      <c r="L176" s="6">
        <f t="shared" si="73"/>
        <v>0</v>
      </c>
      <c r="M176" s="2"/>
      <c r="N176" s="7">
        <f t="shared" si="74"/>
        <v>0</v>
      </c>
      <c r="O176" s="11"/>
      <c r="P176" s="6"/>
      <c r="Q176" s="2"/>
      <c r="R176" s="7">
        <f t="shared" si="75"/>
        <v>0</v>
      </c>
      <c r="S176" s="2"/>
      <c r="T176" s="6">
        <v>0</v>
      </c>
      <c r="U176" s="2"/>
      <c r="V176" s="7">
        <f t="shared" si="76"/>
        <v>0</v>
      </c>
      <c r="W176" s="2"/>
      <c r="X176" s="6">
        <f t="shared" si="77"/>
        <v>0</v>
      </c>
      <c r="Y176" s="2"/>
      <c r="Z176" s="7">
        <f t="shared" si="78"/>
        <v>0</v>
      </c>
    </row>
    <row r="177" spans="1:26" s="29" customFormat="1" outlineLevel="1" collapsed="1" x14ac:dyDescent="0.3">
      <c r="A177" s="28"/>
      <c r="B177" s="14" t="str">
        <f>CONCATENATE("     ","Professional Services                             ")</f>
        <v xml:space="preserve">     Professional Services                             </v>
      </c>
      <c r="C177" s="14"/>
      <c r="D177" s="1">
        <f>SUM(OSRRefD22_15x_0)</f>
        <v>0</v>
      </c>
      <c r="E177" s="1"/>
      <c r="F177" s="5">
        <f t="shared" ref="F177:F185" si="79">IF(D$12=0,0,D177/D$12)</f>
        <v>0</v>
      </c>
      <c r="G177" s="1"/>
      <c r="H177" s="1">
        <f>SUM(OSRRefH22_15x_0)</f>
        <v>0</v>
      </c>
      <c r="I177" s="1"/>
      <c r="J177" s="5">
        <f t="shared" ref="J177:J185" si="80">IF(H$12=0,0,H177/H$12)</f>
        <v>0</v>
      </c>
      <c r="K177" s="1"/>
      <c r="L177" s="1">
        <f t="shared" ref="L177:L185" si="81">+D177-H177</f>
        <v>0</v>
      </c>
      <c r="M177" s="1"/>
      <c r="N177" s="5">
        <f t="shared" ref="N177:N185" si="82">IF(H177=0,0,L177/H177)</f>
        <v>0</v>
      </c>
      <c r="O177" s="14"/>
      <c r="P177" s="1">
        <f>SUM(OSRRefP22_15x_0)</f>
        <v>8186.53</v>
      </c>
      <c r="Q177" s="1"/>
      <c r="R177" s="5">
        <f t="shared" ref="R177:R185" si="83">IF(P$12=0,0,P177/P$12)</f>
        <v>2.5370139338591843E-3</v>
      </c>
      <c r="S177" s="1"/>
      <c r="T177" s="1">
        <f>SUM(OSRRefT22_15x_0)</f>
        <v>0</v>
      </c>
      <c r="U177" s="1"/>
      <c r="V177" s="5">
        <f t="shared" ref="V177:V185" si="84">IF(T$12=0,0,T177/T$12)</f>
        <v>0</v>
      </c>
      <c r="W177" s="1"/>
      <c r="X177" s="1">
        <f t="shared" ref="X177:X185" si="85">+P177-T177</f>
        <v>8186.53</v>
      </c>
      <c r="Y177" s="1"/>
      <c r="Z177" s="5">
        <f t="shared" ref="Z177:Z185" si="86">IF(T177=0,0,X177/T177)</f>
        <v>0</v>
      </c>
    </row>
    <row r="178" spans="1:26" s="24" customFormat="1" hidden="1" outlineLevel="2" x14ac:dyDescent="0.3">
      <c r="A178" s="27"/>
      <c r="B178" s="11" t="str">
        <f>CONCATENATE("          ", "6336", " - ", "PROFESSIONAL SERVICES")</f>
        <v xml:space="preserve">          6336 - PROFESSIONAL SERVICES</v>
      </c>
      <c r="C178" s="11"/>
      <c r="D178" s="6"/>
      <c r="E178" s="2"/>
      <c r="F178" s="7">
        <f t="shared" si="79"/>
        <v>0</v>
      </c>
      <c r="G178" s="2"/>
      <c r="H178" s="6"/>
      <c r="I178" s="2"/>
      <c r="J178" s="7">
        <f t="shared" si="80"/>
        <v>0</v>
      </c>
      <c r="K178" s="2"/>
      <c r="L178" s="6">
        <f t="shared" si="81"/>
        <v>0</v>
      </c>
      <c r="M178" s="2"/>
      <c r="N178" s="7">
        <f t="shared" si="82"/>
        <v>0</v>
      </c>
      <c r="O178" s="11"/>
      <c r="P178" s="6">
        <v>8186.53</v>
      </c>
      <c r="Q178" s="2"/>
      <c r="R178" s="7">
        <f t="shared" si="83"/>
        <v>2.5370139338591843E-3</v>
      </c>
      <c r="S178" s="2"/>
      <c r="T178" s="6"/>
      <c r="U178" s="2"/>
      <c r="V178" s="7">
        <f t="shared" si="84"/>
        <v>0</v>
      </c>
      <c r="W178" s="2"/>
      <c r="X178" s="6">
        <f t="shared" si="85"/>
        <v>8186.53</v>
      </c>
      <c r="Y178" s="2"/>
      <c r="Z178" s="7">
        <f t="shared" si="86"/>
        <v>0</v>
      </c>
    </row>
    <row r="179" spans="1:26" s="29" customFormat="1" outlineLevel="1" collapsed="1" x14ac:dyDescent="0.3">
      <c r="A179" s="28"/>
      <c r="B179" s="14" t="str">
        <f>CONCATENATE("     ","Rent                                              ")</f>
        <v xml:space="preserve">     Rent                                              </v>
      </c>
      <c r="C179" s="14"/>
      <c r="D179" s="1">
        <f>SUM(OSRRefD22_16x_0)</f>
        <v>6100</v>
      </c>
      <c r="E179" s="1"/>
      <c r="F179" s="5">
        <f t="shared" si="79"/>
        <v>1.9673632497899513E-2</v>
      </c>
      <c r="G179" s="1"/>
      <c r="H179" s="1">
        <f>SUM(OSRRefH22_16x_0)</f>
        <v>6100</v>
      </c>
      <c r="I179" s="1"/>
      <c r="J179" s="5">
        <f t="shared" si="80"/>
        <v>5.4968494041685564E-2</v>
      </c>
      <c r="K179" s="1"/>
      <c r="L179" s="1">
        <f t="shared" si="81"/>
        <v>0</v>
      </c>
      <c r="M179" s="1"/>
      <c r="N179" s="5">
        <f t="shared" si="82"/>
        <v>0</v>
      </c>
      <c r="O179" s="14"/>
      <c r="P179" s="1">
        <f>SUM(OSRRefP22_16x_0)</f>
        <v>30500</v>
      </c>
      <c r="Q179" s="1"/>
      <c r="R179" s="5">
        <f t="shared" si="83"/>
        <v>9.4519808737896418E-3</v>
      </c>
      <c r="S179" s="1"/>
      <c r="T179" s="1">
        <f>SUM(OSRRefT22_16x_0)</f>
        <v>30500</v>
      </c>
      <c r="U179" s="1"/>
      <c r="V179" s="5">
        <f t="shared" si="84"/>
        <v>1.2360341364098377E-2</v>
      </c>
      <c r="W179" s="1"/>
      <c r="X179" s="1">
        <f t="shared" si="85"/>
        <v>0</v>
      </c>
      <c r="Y179" s="1"/>
      <c r="Z179" s="5">
        <f t="shared" si="86"/>
        <v>0</v>
      </c>
    </row>
    <row r="180" spans="1:26" s="24" customFormat="1" hidden="1" outlineLevel="2" x14ac:dyDescent="0.3">
      <c r="A180" s="27"/>
      <c r="B180" s="11" t="str">
        <f>CONCATENATE("          ", "6273", " - ", "RENT")</f>
        <v xml:space="preserve">          6273 - RENT</v>
      </c>
      <c r="C180" s="11"/>
      <c r="D180" s="6">
        <v>6100</v>
      </c>
      <c r="E180" s="2"/>
      <c r="F180" s="7">
        <f t="shared" si="79"/>
        <v>1.9673632497899513E-2</v>
      </c>
      <c r="G180" s="2"/>
      <c r="H180" s="6">
        <v>6100</v>
      </c>
      <c r="I180" s="2"/>
      <c r="J180" s="7">
        <f t="shared" si="80"/>
        <v>5.4968494041685564E-2</v>
      </c>
      <c r="K180" s="2"/>
      <c r="L180" s="6">
        <f t="shared" si="81"/>
        <v>0</v>
      </c>
      <c r="M180" s="2"/>
      <c r="N180" s="7">
        <f t="shared" si="82"/>
        <v>0</v>
      </c>
      <c r="O180" s="11"/>
      <c r="P180" s="6">
        <v>30500</v>
      </c>
      <c r="Q180" s="2"/>
      <c r="R180" s="7">
        <f t="shared" si="83"/>
        <v>9.4519808737896418E-3</v>
      </c>
      <c r="S180" s="2"/>
      <c r="T180" s="6">
        <v>30500</v>
      </c>
      <c r="U180" s="2"/>
      <c r="V180" s="7">
        <f t="shared" si="84"/>
        <v>1.2360341364098377E-2</v>
      </c>
      <c r="W180" s="2"/>
      <c r="X180" s="6">
        <f t="shared" si="85"/>
        <v>0</v>
      </c>
      <c r="Y180" s="2"/>
      <c r="Z180" s="7">
        <f t="shared" si="86"/>
        <v>0</v>
      </c>
    </row>
    <row r="181" spans="1:26" s="29" customFormat="1" outlineLevel="1" collapsed="1" x14ac:dyDescent="0.3">
      <c r="A181" s="28"/>
      <c r="B181" s="14" t="str">
        <f>CONCATENATE("     ","Repair and Maintenance                            ")</f>
        <v xml:space="preserve">     Repair and Maintenance                            </v>
      </c>
      <c r="C181" s="14"/>
      <c r="D181" s="1">
        <f>SUM(OSRRefD22_17x_0)</f>
        <v>1338.03</v>
      </c>
      <c r="E181" s="1"/>
      <c r="F181" s="5">
        <f t="shared" si="79"/>
        <v>4.3153951624859818E-3</v>
      </c>
      <c r="G181" s="1"/>
      <c r="H181" s="1">
        <f>SUM(OSRRefH22_17x_0)</f>
        <v>4116.45</v>
      </c>
      <c r="I181" s="1"/>
      <c r="J181" s="5">
        <f t="shared" si="80"/>
        <v>3.7094271688179761E-2</v>
      </c>
      <c r="K181" s="1"/>
      <c r="L181" s="1">
        <f t="shared" si="81"/>
        <v>-2778.42</v>
      </c>
      <c r="M181" s="1"/>
      <c r="N181" s="5">
        <f t="shared" si="82"/>
        <v>-0.67495536202310247</v>
      </c>
      <c r="O181" s="14"/>
      <c r="P181" s="1">
        <f>SUM(OSRRefP22_17x_0)</f>
        <v>93160.3</v>
      </c>
      <c r="Q181" s="1"/>
      <c r="R181" s="5">
        <f t="shared" si="83"/>
        <v>2.8870471272016564E-2</v>
      </c>
      <c r="S181" s="1"/>
      <c r="T181" s="1">
        <f>SUM(OSRRefT22_17x_0)</f>
        <v>103169.55</v>
      </c>
      <c r="U181" s="1"/>
      <c r="V181" s="5">
        <f t="shared" si="84"/>
        <v>4.1810192012472644E-2</v>
      </c>
      <c r="W181" s="1"/>
      <c r="X181" s="1">
        <f t="shared" si="85"/>
        <v>-10009.25</v>
      </c>
      <c r="Y181" s="1"/>
      <c r="Z181" s="5">
        <f t="shared" si="86"/>
        <v>-9.7017482387002751E-2</v>
      </c>
    </row>
    <row r="182" spans="1:26" s="24" customFormat="1" hidden="1" outlineLevel="2" x14ac:dyDescent="0.3">
      <c r="A182" s="27"/>
      <c r="B182" s="11" t="str">
        <f>CONCATENATE("          ", "6371", " - ", "COMPUTER SOFTWARE MAINTENANCE")</f>
        <v xml:space="preserve">          6371 - COMPUTER SOFTWARE MAINTENANCE</v>
      </c>
      <c r="C182" s="11"/>
      <c r="D182" s="6"/>
      <c r="E182" s="2"/>
      <c r="F182" s="7">
        <f t="shared" si="79"/>
        <v>0</v>
      </c>
      <c r="G182" s="2"/>
      <c r="H182" s="6"/>
      <c r="I182" s="2"/>
      <c r="J182" s="7">
        <f t="shared" si="80"/>
        <v>0</v>
      </c>
      <c r="K182" s="2"/>
      <c r="L182" s="6">
        <f t="shared" si="81"/>
        <v>0</v>
      </c>
      <c r="M182" s="2"/>
      <c r="N182" s="7">
        <f t="shared" si="82"/>
        <v>0</v>
      </c>
      <c r="O182" s="11"/>
      <c r="P182" s="6">
        <v>62511</v>
      </c>
      <c r="Q182" s="2"/>
      <c r="R182" s="7">
        <f t="shared" si="83"/>
        <v>1.9372222177097193E-2</v>
      </c>
      <c r="S182" s="2"/>
      <c r="T182" s="6">
        <v>58436.47</v>
      </c>
      <c r="U182" s="2"/>
      <c r="V182" s="7">
        <f t="shared" si="84"/>
        <v>2.3681794010258814E-2</v>
      </c>
      <c r="W182" s="2"/>
      <c r="X182" s="6">
        <f t="shared" si="85"/>
        <v>4074.5299999999988</v>
      </c>
      <c r="Y182" s="2"/>
      <c r="Z182" s="7">
        <f t="shared" si="86"/>
        <v>6.972580650405473E-2</v>
      </c>
    </row>
    <row r="183" spans="1:26" s="24" customFormat="1" hidden="1" outlineLevel="2" x14ac:dyDescent="0.3">
      <c r="A183" s="27"/>
      <c r="B183" s="11" t="str">
        <f>CONCATENATE("          ", "6372", " - ", "COMPUTER HARDWARE MAINTENANCE")</f>
        <v xml:space="preserve">          6372 - COMPUTER HARDWARE MAINTENANCE</v>
      </c>
      <c r="C183" s="11"/>
      <c r="D183" s="6"/>
      <c r="E183" s="2"/>
      <c r="F183" s="7">
        <f t="shared" si="79"/>
        <v>0</v>
      </c>
      <c r="G183" s="2"/>
      <c r="H183" s="6"/>
      <c r="I183" s="2"/>
      <c r="J183" s="7">
        <f t="shared" si="80"/>
        <v>0</v>
      </c>
      <c r="K183" s="2"/>
      <c r="L183" s="6">
        <f t="shared" si="81"/>
        <v>0</v>
      </c>
      <c r="M183" s="2"/>
      <c r="N183" s="7">
        <f t="shared" si="82"/>
        <v>0</v>
      </c>
      <c r="O183" s="11"/>
      <c r="P183" s="6"/>
      <c r="Q183" s="2"/>
      <c r="R183" s="7">
        <f t="shared" si="83"/>
        <v>0</v>
      </c>
      <c r="S183" s="2"/>
      <c r="T183" s="6">
        <v>0</v>
      </c>
      <c r="U183" s="2"/>
      <c r="V183" s="7">
        <f t="shared" si="84"/>
        <v>0</v>
      </c>
      <c r="W183" s="2"/>
      <c r="X183" s="6">
        <f t="shared" si="85"/>
        <v>0</v>
      </c>
      <c r="Y183" s="2"/>
      <c r="Z183" s="7">
        <f t="shared" si="86"/>
        <v>0</v>
      </c>
    </row>
    <row r="184" spans="1:26" s="24" customFormat="1" hidden="1" outlineLevel="2" x14ac:dyDescent="0.3">
      <c r="A184" s="27"/>
      <c r="B184" s="11" t="str">
        <f>CONCATENATE("          ", "6373", " - ", "MAINTENANCE CONTRACTS")</f>
        <v xml:space="preserve">          6373 - MAINTENANCE CONTRACTS</v>
      </c>
      <c r="C184" s="11"/>
      <c r="D184" s="6">
        <v>179.27</v>
      </c>
      <c r="E184" s="2"/>
      <c r="F184" s="7">
        <f t="shared" si="79"/>
        <v>5.7817903244236819E-4</v>
      </c>
      <c r="G184" s="2"/>
      <c r="H184" s="6">
        <v>440.29</v>
      </c>
      <c r="I184" s="2"/>
      <c r="J184" s="7">
        <f t="shared" si="80"/>
        <v>3.9675538101006129E-3</v>
      </c>
      <c r="K184" s="2"/>
      <c r="L184" s="6">
        <f t="shared" si="81"/>
        <v>-261.02</v>
      </c>
      <c r="M184" s="2"/>
      <c r="N184" s="7">
        <f t="shared" si="82"/>
        <v>-0.59283653955347604</v>
      </c>
      <c r="O184" s="11"/>
      <c r="P184" s="6">
        <v>12449.58</v>
      </c>
      <c r="Q184" s="2"/>
      <c r="R184" s="7">
        <f t="shared" si="83"/>
        <v>3.8581374441545593E-3</v>
      </c>
      <c r="S184" s="2"/>
      <c r="T184" s="6">
        <v>31681.16</v>
      </c>
      <c r="U184" s="2"/>
      <c r="V184" s="7">
        <f t="shared" si="84"/>
        <v>1.2839014833135046E-2</v>
      </c>
      <c r="W184" s="2"/>
      <c r="X184" s="6">
        <f t="shared" si="85"/>
        <v>-19231.580000000002</v>
      </c>
      <c r="Y184" s="2"/>
      <c r="Z184" s="7">
        <f t="shared" si="86"/>
        <v>-0.60703522219514694</v>
      </c>
    </row>
    <row r="185" spans="1:26" s="24" customFormat="1" hidden="1" outlineLevel="2" x14ac:dyDescent="0.3">
      <c r="A185" s="27"/>
      <c r="B185" s="11" t="str">
        <f>CONCATENATE("          ", "6375", " - ", "OUTSIDE REPAIRS &amp; MAINTENANCE")</f>
        <v xml:space="preserve">          6375 - OUTSIDE REPAIRS &amp; MAINTENANCE</v>
      </c>
      <c r="C185" s="11"/>
      <c r="D185" s="6">
        <v>1158.76</v>
      </c>
      <c r="E185" s="2"/>
      <c r="F185" s="7">
        <f t="shared" si="79"/>
        <v>3.7372161300436133E-3</v>
      </c>
      <c r="G185" s="2"/>
      <c r="H185" s="6">
        <v>3676.16</v>
      </c>
      <c r="I185" s="2"/>
      <c r="J185" s="7">
        <f t="shared" si="80"/>
        <v>3.3126717878079151E-2</v>
      </c>
      <c r="K185" s="2"/>
      <c r="L185" s="6">
        <f t="shared" si="81"/>
        <v>-2517.3999999999996</v>
      </c>
      <c r="M185" s="2"/>
      <c r="N185" s="7">
        <f t="shared" si="82"/>
        <v>-0.68479065111420601</v>
      </c>
      <c r="O185" s="11"/>
      <c r="P185" s="6">
        <v>18199.72</v>
      </c>
      <c r="Q185" s="2"/>
      <c r="R185" s="7">
        <f t="shared" si="83"/>
        <v>5.6401116507648142E-3</v>
      </c>
      <c r="S185" s="2"/>
      <c r="T185" s="6">
        <v>13051.92</v>
      </c>
      <c r="U185" s="2"/>
      <c r="V185" s="7">
        <f t="shared" si="84"/>
        <v>5.289383169078783E-3</v>
      </c>
      <c r="W185" s="2"/>
      <c r="X185" s="6">
        <f t="shared" si="85"/>
        <v>5147.8000000000011</v>
      </c>
      <c r="Y185" s="2"/>
      <c r="Z185" s="7">
        <f t="shared" si="86"/>
        <v>0.39440940489981557</v>
      </c>
    </row>
    <row r="186" spans="1:26" s="29" customFormat="1" outlineLevel="1" collapsed="1" x14ac:dyDescent="0.3">
      <c r="A186" s="28"/>
      <c r="B186" s="14" t="str">
        <f>CONCATENATE("     ","Royalty &amp; Commissions                             ")</f>
        <v xml:space="preserve">     Royalty &amp; Commissions                             </v>
      </c>
      <c r="C186" s="14"/>
      <c r="D186" s="1">
        <f>SUM(OSRRefD22_18x_0)</f>
        <v>784.77</v>
      </c>
      <c r="E186" s="1"/>
      <c r="F186" s="5">
        <f t="shared" ref="F186:F189" si="87">IF(D$12=0,0,D186/D$12)</f>
        <v>2.5310289467830494E-3</v>
      </c>
      <c r="G186" s="1"/>
      <c r="H186" s="1">
        <f>SUM(OSRRefH22_18x_0)</f>
        <v>4453.09</v>
      </c>
      <c r="I186" s="1"/>
      <c r="J186" s="5">
        <f t="shared" ref="J186:J189" si="88">IF(H$12=0,0,H186/H$12)</f>
        <v>4.012781166099829E-2</v>
      </c>
      <c r="K186" s="1"/>
      <c r="L186" s="1">
        <f t="shared" ref="L186:L189" si="89">+D186-H186</f>
        <v>-3668.32</v>
      </c>
      <c r="M186" s="1"/>
      <c r="N186" s="5">
        <f t="shared" ref="N186:N189" si="90">IF(H186=0,0,L186/H186)</f>
        <v>-0.82376956225901565</v>
      </c>
      <c r="O186" s="14"/>
      <c r="P186" s="1">
        <f>SUM(OSRRefP22_18x_0)</f>
        <v>20625.7</v>
      </c>
      <c r="Q186" s="1"/>
      <c r="R186" s="5">
        <f t="shared" ref="R186:R189" si="91">IF(P$12=0,0,P186/P$12)</f>
        <v>6.3919253084761653E-3</v>
      </c>
      <c r="S186" s="1"/>
      <c r="T186" s="1">
        <f>SUM(OSRRefT22_18x_0)</f>
        <v>28755.79</v>
      </c>
      <c r="U186" s="1"/>
      <c r="V186" s="5">
        <f t="shared" ref="V186:V189" si="92">IF(T$12=0,0,T186/T$12)</f>
        <v>1.1653487888338572E-2</v>
      </c>
      <c r="W186" s="1"/>
      <c r="X186" s="1">
        <f t="shared" ref="X186:X189" si="93">+P186-T186</f>
        <v>-8130.09</v>
      </c>
      <c r="Y186" s="1"/>
      <c r="Z186" s="5">
        <f t="shared" ref="Z186:Z189" si="94">IF(T186=0,0,X186/T186)</f>
        <v>-0.28272880000862433</v>
      </c>
    </row>
    <row r="187" spans="1:26" s="24" customFormat="1" hidden="1" outlineLevel="2" x14ac:dyDescent="0.3">
      <c r="A187" s="27"/>
      <c r="B187" s="11" t="str">
        <f>CONCATENATE("          ", "6253", " - ", "ROYALTY DUE ATHLETICS-LRG")</f>
        <v xml:space="preserve">          6253 - ROYALTY DUE ATHLETICS-LRG</v>
      </c>
      <c r="C187" s="11"/>
      <c r="D187" s="6"/>
      <c r="E187" s="2"/>
      <c r="F187" s="7">
        <f t="shared" si="87"/>
        <v>0</v>
      </c>
      <c r="G187" s="2"/>
      <c r="H187" s="6"/>
      <c r="I187" s="2"/>
      <c r="J187" s="7">
        <f t="shared" si="88"/>
        <v>0</v>
      </c>
      <c r="K187" s="2"/>
      <c r="L187" s="6">
        <f t="shared" si="89"/>
        <v>0</v>
      </c>
      <c r="M187" s="2"/>
      <c r="N187" s="7">
        <f t="shared" si="90"/>
        <v>0</v>
      </c>
      <c r="O187" s="11"/>
      <c r="P187" s="6">
        <v>23160.29</v>
      </c>
      <c r="Q187" s="2"/>
      <c r="R187" s="7">
        <f t="shared" si="91"/>
        <v>7.1773973151285746E-3</v>
      </c>
      <c r="S187" s="2"/>
      <c r="T187" s="6">
        <v>18411.8</v>
      </c>
      <c r="U187" s="2"/>
      <c r="V187" s="7">
        <f t="shared" si="92"/>
        <v>7.4615125615575895E-3</v>
      </c>
      <c r="W187" s="2"/>
      <c r="X187" s="6">
        <f t="shared" si="93"/>
        <v>4748.4900000000016</v>
      </c>
      <c r="Y187" s="2"/>
      <c r="Z187" s="7">
        <f t="shared" si="94"/>
        <v>0.25790471328169989</v>
      </c>
    </row>
    <row r="188" spans="1:26" s="24" customFormat="1" hidden="1" outlineLevel="2" x14ac:dyDescent="0.3">
      <c r="A188" s="27"/>
      <c r="B188" s="11" t="str">
        <f>CONCATENATE("          ", "6254", " - ", "ROYALTY &amp; COMMISSIONS")</f>
        <v xml:space="preserve">          6254 - ROYALTY &amp; COMMISSIONS</v>
      </c>
      <c r="C188" s="11"/>
      <c r="D188" s="6"/>
      <c r="E188" s="2"/>
      <c r="F188" s="7">
        <f t="shared" si="87"/>
        <v>0</v>
      </c>
      <c r="G188" s="2"/>
      <c r="H188" s="6"/>
      <c r="I188" s="2"/>
      <c r="J188" s="7">
        <f t="shared" si="88"/>
        <v>0</v>
      </c>
      <c r="K188" s="2"/>
      <c r="L188" s="6">
        <f t="shared" si="89"/>
        <v>0</v>
      </c>
      <c r="M188" s="2"/>
      <c r="N188" s="7">
        <f t="shared" si="90"/>
        <v>0</v>
      </c>
      <c r="O188" s="11"/>
      <c r="P188" s="6">
        <v>-7027.5</v>
      </c>
      <c r="Q188" s="2"/>
      <c r="R188" s="7">
        <f t="shared" si="91"/>
        <v>-2.17782936362481E-3</v>
      </c>
      <c r="S188" s="2"/>
      <c r="T188" s="6">
        <v>185.7</v>
      </c>
      <c r="U188" s="2"/>
      <c r="V188" s="7">
        <f t="shared" si="92"/>
        <v>7.5256242338133392E-5</v>
      </c>
      <c r="W188" s="2"/>
      <c r="X188" s="6">
        <f t="shared" si="93"/>
        <v>-7213.2</v>
      </c>
      <c r="Y188" s="2"/>
      <c r="Z188" s="7">
        <f t="shared" si="94"/>
        <v>-38.843295638126008</v>
      </c>
    </row>
    <row r="189" spans="1:26" s="24" customFormat="1" hidden="1" outlineLevel="2" x14ac:dyDescent="0.3">
      <c r="A189" s="27"/>
      <c r="B189" s="11" t="str">
        <f>CONCATENATE("          ", "6259", " - ", "ROYALTY &amp; COMMISSIONS")</f>
        <v xml:space="preserve">          6259 - ROYALTY &amp; COMMISSIONS</v>
      </c>
      <c r="C189" s="11"/>
      <c r="D189" s="6">
        <v>784.77</v>
      </c>
      <c r="E189" s="2"/>
      <c r="F189" s="7">
        <f t="shared" si="87"/>
        <v>2.5310289467830494E-3</v>
      </c>
      <c r="G189" s="2"/>
      <c r="H189" s="6">
        <v>4453.09</v>
      </c>
      <c r="I189" s="2"/>
      <c r="J189" s="7">
        <f t="shared" si="88"/>
        <v>4.012781166099829E-2</v>
      </c>
      <c r="K189" s="2"/>
      <c r="L189" s="6">
        <f t="shared" si="89"/>
        <v>-3668.32</v>
      </c>
      <c r="M189" s="2"/>
      <c r="N189" s="7">
        <f t="shared" si="90"/>
        <v>-0.82376956225901565</v>
      </c>
      <c r="O189" s="11"/>
      <c r="P189" s="6">
        <v>4492.91</v>
      </c>
      <c r="Q189" s="2"/>
      <c r="R189" s="7">
        <f t="shared" si="91"/>
        <v>1.3923573569724007E-3</v>
      </c>
      <c r="S189" s="2"/>
      <c r="T189" s="6">
        <v>10158.290000000001</v>
      </c>
      <c r="U189" s="2"/>
      <c r="V189" s="7">
        <f t="shared" si="92"/>
        <v>4.116719084442849E-3</v>
      </c>
      <c r="W189" s="2"/>
      <c r="X189" s="6">
        <f t="shared" si="93"/>
        <v>-5665.380000000001</v>
      </c>
      <c r="Y189" s="2"/>
      <c r="Z189" s="7">
        <f t="shared" si="94"/>
        <v>-0.55771000827895256</v>
      </c>
    </row>
    <row r="190" spans="1:26" s="29" customFormat="1" outlineLevel="1" collapsed="1" x14ac:dyDescent="0.3">
      <c r="A190" s="28"/>
      <c r="B190" s="14" t="str">
        <f>CONCATENATE("     ","Services                                          ")</f>
        <v xml:space="preserve">     Services                                          </v>
      </c>
      <c r="C190" s="14"/>
      <c r="D190" s="1">
        <f>SUM(OSRRefD22_19x_0)</f>
        <v>4925.1099999999997</v>
      </c>
      <c r="E190" s="1"/>
      <c r="F190" s="5">
        <f t="shared" ref="F190:F195" si="95">IF(D$12=0,0,D190/D$12)</f>
        <v>1.5884394123234405E-2</v>
      </c>
      <c r="G190" s="1"/>
      <c r="H190" s="1">
        <f>SUM(OSRRefH22_19x_0)</f>
        <v>4228.53</v>
      </c>
      <c r="I190" s="1"/>
      <c r="J190" s="5">
        <f t="shared" ref="J190:J195" si="96">IF(H$12=0,0,H190/H$12)</f>
        <v>3.8104250181981748E-2</v>
      </c>
      <c r="K190" s="1"/>
      <c r="L190" s="1">
        <f t="shared" ref="L190:L195" si="97">+D190-H190</f>
        <v>696.57999999999993</v>
      </c>
      <c r="M190" s="1"/>
      <c r="N190" s="5">
        <f t="shared" ref="N190:N195" si="98">IF(H190=0,0,L190/H190)</f>
        <v>0.16473337069856428</v>
      </c>
      <c r="O190" s="14"/>
      <c r="P190" s="1">
        <f>SUM(OSRRefP22_19x_0)</f>
        <v>40332.11</v>
      </c>
      <c r="Q190" s="1"/>
      <c r="R190" s="5">
        <f t="shared" ref="R190:R195" si="99">IF(P$12=0,0,P190/P$12)</f>
        <v>1.2498961715396065E-2</v>
      </c>
      <c r="S190" s="1"/>
      <c r="T190" s="1">
        <f>SUM(OSRRefT22_19x_0)</f>
        <v>16044.96</v>
      </c>
      <c r="U190" s="1"/>
      <c r="V190" s="5">
        <f t="shared" ref="V190:V195" si="100">IF(T$12=0,0,T190/T$12)</f>
        <v>6.5023338614197991E-3</v>
      </c>
      <c r="W190" s="1"/>
      <c r="X190" s="1">
        <f t="shared" ref="X190:X195" si="101">+P190-T190</f>
        <v>24287.15</v>
      </c>
      <c r="Y190" s="1"/>
      <c r="Z190" s="5">
        <f t="shared" ref="Z190:Z195" si="102">IF(T190=0,0,X190/T190)</f>
        <v>1.5136933965556787</v>
      </c>
    </row>
    <row r="191" spans="1:26" s="24" customFormat="1" hidden="1" outlineLevel="2" x14ac:dyDescent="0.3">
      <c r="A191" s="27"/>
      <c r="B191" s="11" t="str">
        <f>CONCATENATE("          ", "6282", " - ", "JANITORIAL/EXTERMINATOR EXPENS")</f>
        <v xml:space="preserve">          6282 - JANITORIAL/EXTERMINATOR EXPENS</v>
      </c>
      <c r="C191" s="11"/>
      <c r="D191" s="6">
        <v>449.25</v>
      </c>
      <c r="E191" s="2"/>
      <c r="F191" s="7">
        <f t="shared" si="95"/>
        <v>1.4489146556854683E-3</v>
      </c>
      <c r="G191" s="2"/>
      <c r="H191" s="6">
        <v>307.5</v>
      </c>
      <c r="I191" s="2"/>
      <c r="J191" s="7">
        <f t="shared" si="96"/>
        <v>2.7709527734128378E-3</v>
      </c>
      <c r="K191" s="2"/>
      <c r="L191" s="6">
        <f t="shared" si="97"/>
        <v>141.75</v>
      </c>
      <c r="M191" s="2"/>
      <c r="N191" s="7">
        <f t="shared" si="98"/>
        <v>0.46097560975609758</v>
      </c>
      <c r="O191" s="11"/>
      <c r="P191" s="6">
        <v>3458.93</v>
      </c>
      <c r="Q191" s="2"/>
      <c r="R191" s="7">
        <f t="shared" si="99"/>
        <v>1.0719259083205642E-3</v>
      </c>
      <c r="S191" s="2"/>
      <c r="T191" s="6">
        <v>5210.96</v>
      </c>
      <c r="U191" s="2"/>
      <c r="V191" s="7">
        <f t="shared" si="100"/>
        <v>2.1117785060544942E-3</v>
      </c>
      <c r="W191" s="2"/>
      <c r="X191" s="6">
        <f t="shared" si="101"/>
        <v>-1752.0300000000002</v>
      </c>
      <c r="Y191" s="2"/>
      <c r="Z191" s="7">
        <f t="shared" si="102"/>
        <v>-0.33622019743003212</v>
      </c>
    </row>
    <row r="192" spans="1:26" s="24" customFormat="1" hidden="1" outlineLevel="2" x14ac:dyDescent="0.3">
      <c r="A192" s="27"/>
      <c r="B192" s="11" t="str">
        <f>CONCATENATE("          ", "6283", " - ", "PLANT SERVICE")</f>
        <v xml:space="preserve">          6283 - PLANT SERVICE</v>
      </c>
      <c r="C192" s="11"/>
      <c r="D192" s="6"/>
      <c r="E192" s="2"/>
      <c r="F192" s="7">
        <f t="shared" si="95"/>
        <v>0</v>
      </c>
      <c r="G192" s="2"/>
      <c r="H192" s="6">
        <v>41.31</v>
      </c>
      <c r="I192" s="2"/>
      <c r="J192" s="7">
        <f t="shared" si="96"/>
        <v>3.7225385063311984E-4</v>
      </c>
      <c r="K192" s="2"/>
      <c r="L192" s="6">
        <f t="shared" si="97"/>
        <v>-41.31</v>
      </c>
      <c r="M192" s="2"/>
      <c r="N192" s="7">
        <f t="shared" si="98"/>
        <v>-1</v>
      </c>
      <c r="O192" s="11"/>
      <c r="P192" s="6"/>
      <c r="Q192" s="2"/>
      <c r="R192" s="7">
        <f t="shared" si="99"/>
        <v>0</v>
      </c>
      <c r="S192" s="2"/>
      <c r="T192" s="6">
        <v>171.31</v>
      </c>
      <c r="U192" s="2"/>
      <c r="V192" s="7">
        <f t="shared" si="100"/>
        <v>6.9424592756842394E-5</v>
      </c>
      <c r="W192" s="2"/>
      <c r="X192" s="6">
        <f t="shared" si="101"/>
        <v>-171.31</v>
      </c>
      <c r="Y192" s="2"/>
      <c r="Z192" s="7">
        <f t="shared" si="102"/>
        <v>-1</v>
      </c>
    </row>
    <row r="193" spans="1:26" s="24" customFormat="1" hidden="1" outlineLevel="2" x14ac:dyDescent="0.3">
      <c r="A193" s="27"/>
      <c r="B193" s="11" t="str">
        <f>CONCATENATE("          ", "6284", " - ", "TRASH REMOVAL EXPENSE")</f>
        <v xml:space="preserve">          6284 - TRASH REMOVAL EXPENSE</v>
      </c>
      <c r="C193" s="11"/>
      <c r="D193" s="6">
        <v>149.69999999999999</v>
      </c>
      <c r="E193" s="2"/>
      <c r="F193" s="7">
        <f t="shared" si="95"/>
        <v>4.8281029261238644E-4</v>
      </c>
      <c r="G193" s="2"/>
      <c r="H193" s="6">
        <v>289</v>
      </c>
      <c r="I193" s="2"/>
      <c r="J193" s="7">
        <f t="shared" si="96"/>
        <v>2.6042450455814963E-3</v>
      </c>
      <c r="K193" s="2"/>
      <c r="L193" s="6">
        <f t="shared" si="97"/>
        <v>-139.30000000000001</v>
      </c>
      <c r="M193" s="2"/>
      <c r="N193" s="7">
        <f t="shared" si="98"/>
        <v>-0.48200692041522497</v>
      </c>
      <c r="O193" s="11"/>
      <c r="P193" s="6">
        <v>741.37</v>
      </c>
      <c r="Q193" s="2"/>
      <c r="R193" s="7">
        <f t="shared" si="99"/>
        <v>2.2975131345578448E-4</v>
      </c>
      <c r="S193" s="2"/>
      <c r="T193" s="6">
        <v>874.3</v>
      </c>
      <c r="U193" s="2"/>
      <c r="V193" s="7">
        <f t="shared" si="100"/>
        <v>3.5431627720102329E-4</v>
      </c>
      <c r="W193" s="2"/>
      <c r="X193" s="6">
        <f t="shared" si="101"/>
        <v>-132.92999999999995</v>
      </c>
      <c r="Y193" s="2"/>
      <c r="Z193" s="7">
        <f t="shared" si="102"/>
        <v>-0.15204163330664527</v>
      </c>
    </row>
    <row r="194" spans="1:26" s="24" customFormat="1" hidden="1" outlineLevel="2" x14ac:dyDescent="0.3">
      <c r="A194" s="27"/>
      <c r="B194" s="11" t="str">
        <f>CONCATENATE("          ", "6285", " - ", "JANITORIAL SERVICES")</f>
        <v xml:space="preserve">          6285 - JANITORIAL SERVICES</v>
      </c>
      <c r="C194" s="11"/>
      <c r="D194" s="6">
        <v>4222.28</v>
      </c>
      <c r="E194" s="2"/>
      <c r="F194" s="7">
        <f t="shared" si="95"/>
        <v>1.3617636889054287E-2</v>
      </c>
      <c r="G194" s="2"/>
      <c r="H194" s="6">
        <v>3590.72</v>
      </c>
      <c r="I194" s="2"/>
      <c r="J194" s="7">
        <f t="shared" si="96"/>
        <v>3.235679851235429E-2</v>
      </c>
      <c r="K194" s="2"/>
      <c r="L194" s="6">
        <f t="shared" si="97"/>
        <v>631.55999999999995</v>
      </c>
      <c r="M194" s="2"/>
      <c r="N194" s="7">
        <f t="shared" si="98"/>
        <v>0.17588673023794671</v>
      </c>
      <c r="O194" s="11"/>
      <c r="P194" s="6">
        <v>35820.17</v>
      </c>
      <c r="Q194" s="2"/>
      <c r="R194" s="7">
        <f t="shared" si="99"/>
        <v>1.1100706942160444E-2</v>
      </c>
      <c r="S194" s="2"/>
      <c r="T194" s="6">
        <v>9788.39</v>
      </c>
      <c r="U194" s="2"/>
      <c r="V194" s="7">
        <f t="shared" si="100"/>
        <v>3.966814485407439E-3</v>
      </c>
      <c r="W194" s="2"/>
      <c r="X194" s="6">
        <f t="shared" si="101"/>
        <v>26031.78</v>
      </c>
      <c r="Y194" s="2"/>
      <c r="Z194" s="7">
        <f t="shared" si="102"/>
        <v>2.6594547213586708</v>
      </c>
    </row>
    <row r="195" spans="1:26" s="24" customFormat="1" hidden="1" outlineLevel="2" x14ac:dyDescent="0.3">
      <c r="A195" s="27"/>
      <c r="B195" s="11" t="str">
        <f>CONCATENATE("          ", "6286", " - ", "LAUNDRY EXPENSE")</f>
        <v xml:space="preserve">          6286 - LAUNDRY EXPENSE</v>
      </c>
      <c r="C195" s="11"/>
      <c r="D195" s="6">
        <v>103.88</v>
      </c>
      <c r="E195" s="2"/>
      <c r="F195" s="7">
        <f t="shared" si="95"/>
        <v>3.3503228588226255E-4</v>
      </c>
      <c r="G195" s="2"/>
      <c r="H195" s="6"/>
      <c r="I195" s="2"/>
      <c r="J195" s="7">
        <f t="shared" si="96"/>
        <v>0</v>
      </c>
      <c r="K195" s="2"/>
      <c r="L195" s="6">
        <f t="shared" si="97"/>
        <v>103.88</v>
      </c>
      <c r="M195" s="2"/>
      <c r="N195" s="7">
        <f t="shared" si="98"/>
        <v>0</v>
      </c>
      <c r="O195" s="11"/>
      <c r="P195" s="6">
        <v>311.64</v>
      </c>
      <c r="Q195" s="2"/>
      <c r="R195" s="7">
        <f t="shared" si="99"/>
        <v>9.6577551459272256E-5</v>
      </c>
      <c r="S195" s="2"/>
      <c r="T195" s="6"/>
      <c r="U195" s="2"/>
      <c r="V195" s="7">
        <f t="shared" si="100"/>
        <v>0</v>
      </c>
      <c r="W195" s="2"/>
      <c r="X195" s="6">
        <f t="shared" si="101"/>
        <v>311.64</v>
      </c>
      <c r="Y195" s="2"/>
      <c r="Z195" s="7">
        <f t="shared" si="102"/>
        <v>0</v>
      </c>
    </row>
    <row r="196" spans="1:26" s="29" customFormat="1" outlineLevel="1" collapsed="1" x14ac:dyDescent="0.3">
      <c r="A196" s="28"/>
      <c r="B196" s="14" t="str">
        <f>CONCATENATE("     ","Subscriptions &amp; Dues                              ")</f>
        <v xml:space="preserve">     Subscriptions &amp; Dues                              </v>
      </c>
      <c r="C196" s="14"/>
      <c r="D196" s="1">
        <f>SUM(OSRRefD22_20x_0)</f>
        <v>148.66</v>
      </c>
      <c r="E196" s="1"/>
      <c r="F196" s="5">
        <f t="shared" ref="F196:F198" si="103">IF(D$12=0,0,D196/D$12)</f>
        <v>4.7945609953077735E-4</v>
      </c>
      <c r="G196" s="1"/>
      <c r="H196" s="1">
        <f>SUM(OSRRefH22_20x_0)</f>
        <v>-274.08</v>
      </c>
      <c r="I196" s="1"/>
      <c r="J196" s="5">
        <f t="shared" ref="J196:J198" si="104">IF(H$12=0,0,H196/H$12)</f>
        <v>-2.4697975158926525E-3</v>
      </c>
      <c r="K196" s="1"/>
      <c r="L196" s="1">
        <f t="shared" ref="L196:L198" si="105">+D196-H196</f>
        <v>422.74</v>
      </c>
      <c r="M196" s="1"/>
      <c r="N196" s="5">
        <f t="shared" ref="N196:N198" si="106">IF(H196=0,0,L196/H196)</f>
        <v>-1.5423963806187975</v>
      </c>
      <c r="O196" s="14"/>
      <c r="P196" s="1">
        <f>SUM(OSRRefP22_20x_0)</f>
        <v>1105.5</v>
      </c>
      <c r="Q196" s="1"/>
      <c r="R196" s="5">
        <f t="shared" ref="R196:R198" si="107">IF(P$12=0,0,P196/P$12)</f>
        <v>3.4259556904834258E-4</v>
      </c>
      <c r="S196" s="1"/>
      <c r="T196" s="1">
        <f>SUM(OSRRefT22_20x_0)</f>
        <v>1375.01</v>
      </c>
      <c r="U196" s="1"/>
      <c r="V196" s="5">
        <f t="shared" ref="V196:V198" si="108">IF(T$12=0,0,T196/T$12)</f>
        <v>5.5723255669012819E-4</v>
      </c>
      <c r="W196" s="1"/>
      <c r="X196" s="1">
        <f t="shared" ref="X196:X198" si="109">+P196-T196</f>
        <v>-269.51</v>
      </c>
      <c r="Y196" s="1"/>
      <c r="Z196" s="5">
        <f t="shared" ref="Z196:Z198" si="110">IF(T196=0,0,X196/T196)</f>
        <v>-0.19600584723020195</v>
      </c>
    </row>
    <row r="197" spans="1:26" s="24" customFormat="1" hidden="1" outlineLevel="2" x14ac:dyDescent="0.3">
      <c r="A197" s="27"/>
      <c r="B197" s="11" t="str">
        <f>CONCATENATE("          ", "6258", " - ", "MEMBERSHIP DUES")</f>
        <v xml:space="preserve">          6258 - MEMBERSHIP DUES</v>
      </c>
      <c r="C197" s="11"/>
      <c r="D197" s="6">
        <v>148.66</v>
      </c>
      <c r="E197" s="2"/>
      <c r="F197" s="7">
        <f t="shared" si="103"/>
        <v>4.7945609953077735E-4</v>
      </c>
      <c r="G197" s="2"/>
      <c r="H197" s="6">
        <v>-274.08</v>
      </c>
      <c r="I197" s="2"/>
      <c r="J197" s="7">
        <f t="shared" si="104"/>
        <v>-2.4697975158926525E-3</v>
      </c>
      <c r="K197" s="2"/>
      <c r="L197" s="6">
        <f t="shared" si="105"/>
        <v>422.74</v>
      </c>
      <c r="M197" s="2"/>
      <c r="N197" s="7">
        <f t="shared" si="106"/>
        <v>-1.5423963806187975</v>
      </c>
      <c r="O197" s="11"/>
      <c r="P197" s="6">
        <v>1105.5</v>
      </c>
      <c r="Q197" s="2"/>
      <c r="R197" s="7">
        <f t="shared" si="107"/>
        <v>3.4259556904834258E-4</v>
      </c>
      <c r="S197" s="2"/>
      <c r="T197" s="6">
        <v>1149.28</v>
      </c>
      <c r="U197" s="2"/>
      <c r="V197" s="7">
        <f t="shared" si="108"/>
        <v>4.6575387288298303E-4</v>
      </c>
      <c r="W197" s="2"/>
      <c r="X197" s="6">
        <f t="shared" si="109"/>
        <v>-43.779999999999973</v>
      </c>
      <c r="Y197" s="2"/>
      <c r="Z197" s="7">
        <f t="shared" si="110"/>
        <v>-3.8093415007656943E-2</v>
      </c>
    </row>
    <row r="198" spans="1:26" s="24" customFormat="1" hidden="1" outlineLevel="2" x14ac:dyDescent="0.3">
      <c r="A198" s="27"/>
      <c r="B198" s="11" t="str">
        <f>CONCATENATE("          ", "6275", " - ", "SUBSCRIPTIONS")</f>
        <v xml:space="preserve">          6275 - SUBSCRIPTIONS</v>
      </c>
      <c r="C198" s="11"/>
      <c r="D198" s="6"/>
      <c r="E198" s="2"/>
      <c r="F198" s="7">
        <f t="shared" si="103"/>
        <v>0</v>
      </c>
      <c r="G198" s="2"/>
      <c r="H198" s="6"/>
      <c r="I198" s="2"/>
      <c r="J198" s="7">
        <f t="shared" si="104"/>
        <v>0</v>
      </c>
      <c r="K198" s="2"/>
      <c r="L198" s="6">
        <f t="shared" si="105"/>
        <v>0</v>
      </c>
      <c r="M198" s="2"/>
      <c r="N198" s="7">
        <f t="shared" si="106"/>
        <v>0</v>
      </c>
      <c r="O198" s="11"/>
      <c r="P198" s="6"/>
      <c r="Q198" s="2"/>
      <c r="R198" s="7">
        <f t="shared" si="107"/>
        <v>0</v>
      </c>
      <c r="S198" s="2"/>
      <c r="T198" s="6">
        <v>225.73</v>
      </c>
      <c r="U198" s="2"/>
      <c r="V198" s="7">
        <f t="shared" si="108"/>
        <v>9.1478683807145125E-5</v>
      </c>
      <c r="W198" s="2"/>
      <c r="X198" s="6">
        <f t="shared" si="109"/>
        <v>-225.73</v>
      </c>
      <c r="Y198" s="2"/>
      <c r="Z198" s="7">
        <f t="shared" si="110"/>
        <v>-1</v>
      </c>
    </row>
    <row r="199" spans="1:26" s="29" customFormat="1" outlineLevel="1" collapsed="1" x14ac:dyDescent="0.3">
      <c r="A199" s="28"/>
      <c r="B199" s="14" t="str">
        <f>CONCATENATE("     ","Supplies                                          ")</f>
        <v xml:space="preserve">     Supplies                                          </v>
      </c>
      <c r="C199" s="14"/>
      <c r="D199" s="1">
        <f>SUM(OSRRefD22_21x_0)</f>
        <v>7026.06</v>
      </c>
      <c r="E199" s="1"/>
      <c r="F199" s="5">
        <f t="shared" ref="F199:F206" si="111">IF(D$12=0,0,D199/D$12)</f>
        <v>2.2660347925933095E-2</v>
      </c>
      <c r="G199" s="1"/>
      <c r="H199" s="1">
        <f>SUM(OSRRefH22_21x_0)</f>
        <v>14796.98</v>
      </c>
      <c r="I199" s="1"/>
      <c r="J199" s="5">
        <f t="shared" ref="J199:J206" si="112">IF(H$12=0,0,H199/H$12)</f>
        <v>0.13333896835490827</v>
      </c>
      <c r="K199" s="1"/>
      <c r="L199" s="1">
        <f t="shared" ref="L199:L206" si="113">+D199-H199</f>
        <v>-7770.9199999999992</v>
      </c>
      <c r="M199" s="1"/>
      <c r="N199" s="5">
        <f t="shared" ref="N199:N206" si="114">IF(H199=0,0,L199/H199)</f>
        <v>-0.52516932509201197</v>
      </c>
      <c r="O199" s="14"/>
      <c r="P199" s="1">
        <f>SUM(OSRRefP22_21x_0)</f>
        <v>49321.210000000006</v>
      </c>
      <c r="Q199" s="1"/>
      <c r="R199" s="5">
        <f t="shared" ref="R199:R206" si="115">IF(P$12=0,0,P199/P$12)</f>
        <v>1.5284692904661066E-2</v>
      </c>
      <c r="S199" s="1"/>
      <c r="T199" s="1">
        <f>SUM(OSRRefT22_21x_0)</f>
        <v>72490.009999999995</v>
      </c>
      <c r="U199" s="1"/>
      <c r="V199" s="5">
        <f t="shared" ref="V199:V206" si="116">IF(T$12=0,0,T199/T$12)</f>
        <v>2.9377090789734585E-2</v>
      </c>
      <c r="W199" s="1"/>
      <c r="X199" s="1">
        <f t="shared" ref="X199:X206" si="117">+P199-T199</f>
        <v>-23168.799999999988</v>
      </c>
      <c r="Y199" s="1"/>
      <c r="Z199" s="5">
        <f t="shared" ref="Z199:Z206" si="118">IF(T199=0,0,X199/T199)</f>
        <v>-0.31961369573545362</v>
      </c>
    </row>
    <row r="200" spans="1:26" s="24" customFormat="1" hidden="1" outlineLevel="2" x14ac:dyDescent="0.3">
      <c r="A200" s="27"/>
      <c r="B200" s="11" t="str">
        <f>CONCATENATE("          ", "6234", " - ", "EXPENDABLE SUPPLIES &amp; EQUIPMEN")</f>
        <v xml:space="preserve">          6234 - EXPENDABLE SUPPLIES &amp; EQUIPMEN</v>
      </c>
      <c r="C200" s="11"/>
      <c r="D200" s="6">
        <v>2747.16</v>
      </c>
      <c r="E200" s="2"/>
      <c r="F200" s="7">
        <f t="shared" si="111"/>
        <v>8.8601010250704305E-3</v>
      </c>
      <c r="G200" s="2"/>
      <c r="H200" s="6">
        <v>-550.67999999999995</v>
      </c>
      <c r="I200" s="2"/>
      <c r="J200" s="7">
        <f t="shared" si="112"/>
        <v>-4.9623033276844928E-3</v>
      </c>
      <c r="K200" s="2"/>
      <c r="L200" s="6">
        <f t="shared" si="113"/>
        <v>3297.8399999999997</v>
      </c>
      <c r="M200" s="2"/>
      <c r="N200" s="7">
        <f t="shared" si="114"/>
        <v>-5.9886685552407934</v>
      </c>
      <c r="O200" s="11"/>
      <c r="P200" s="6">
        <v>6484.46</v>
      </c>
      <c r="Q200" s="2"/>
      <c r="R200" s="7">
        <f t="shared" si="115"/>
        <v>2.0095407179296387E-3</v>
      </c>
      <c r="S200" s="2"/>
      <c r="T200" s="6">
        <v>-132.66999999999999</v>
      </c>
      <c r="U200" s="2"/>
      <c r="V200" s="7">
        <f t="shared" si="116"/>
        <v>-5.3765458648358405E-5</v>
      </c>
      <c r="W200" s="2"/>
      <c r="X200" s="6">
        <f t="shared" si="117"/>
        <v>6617.13</v>
      </c>
      <c r="Y200" s="2"/>
      <c r="Z200" s="7">
        <f t="shared" si="118"/>
        <v>-49.876611140423613</v>
      </c>
    </row>
    <row r="201" spans="1:26" s="24" customFormat="1" hidden="1" outlineLevel="2" x14ac:dyDescent="0.3">
      <c r="A201" s="27"/>
      <c r="B201" s="11" t="str">
        <f>CONCATENATE("          ", "6235", " - ", "COVID-19 EXPENSES")</f>
        <v xml:space="preserve">          6235 - COVID-19 EXPENSES</v>
      </c>
      <c r="C201" s="11"/>
      <c r="D201" s="6"/>
      <c r="E201" s="2"/>
      <c r="F201" s="7">
        <f t="shared" si="111"/>
        <v>0</v>
      </c>
      <c r="G201" s="2"/>
      <c r="H201" s="6">
        <v>2556.84</v>
      </c>
      <c r="I201" s="2"/>
      <c r="J201" s="7">
        <f t="shared" si="112"/>
        <v>2.3040269558285791E-2</v>
      </c>
      <c r="K201" s="2"/>
      <c r="L201" s="6">
        <f t="shared" si="113"/>
        <v>-2556.84</v>
      </c>
      <c r="M201" s="2"/>
      <c r="N201" s="7">
        <f t="shared" si="114"/>
        <v>-1</v>
      </c>
      <c r="O201" s="11"/>
      <c r="P201" s="6">
        <v>3430.32</v>
      </c>
      <c r="Q201" s="2"/>
      <c r="R201" s="7">
        <f t="shared" si="115"/>
        <v>1.0630596403599373E-3</v>
      </c>
      <c r="S201" s="2"/>
      <c r="T201" s="6">
        <v>28663.9</v>
      </c>
      <c r="U201" s="2"/>
      <c r="V201" s="7">
        <f t="shared" si="116"/>
        <v>1.1616248813979655E-2</v>
      </c>
      <c r="W201" s="2"/>
      <c r="X201" s="6">
        <f t="shared" si="117"/>
        <v>-25233.58</v>
      </c>
      <c r="Y201" s="2"/>
      <c r="Z201" s="7">
        <f t="shared" si="118"/>
        <v>-0.88032612449806202</v>
      </c>
    </row>
    <row r="202" spans="1:26" s="24" customFormat="1" hidden="1" outlineLevel="2" x14ac:dyDescent="0.3">
      <c r="A202" s="27"/>
      <c r="B202" s="11" t="str">
        <f>CONCATENATE("          ", "6237", " - ", "JANITORIAL SUPPLIES")</f>
        <v xml:space="preserve">          6237 - JANITORIAL SUPPLIES</v>
      </c>
      <c r="C202" s="11"/>
      <c r="D202" s="6">
        <v>489.67</v>
      </c>
      <c r="E202" s="2"/>
      <c r="F202" s="7">
        <f t="shared" si="111"/>
        <v>1.579276659876468E-3</v>
      </c>
      <c r="G202" s="2"/>
      <c r="H202" s="6">
        <v>246.99</v>
      </c>
      <c r="I202" s="2"/>
      <c r="J202" s="7">
        <f t="shared" si="112"/>
        <v>2.22568333497638E-3</v>
      </c>
      <c r="K202" s="2"/>
      <c r="L202" s="6">
        <f t="shared" si="113"/>
        <v>242.68</v>
      </c>
      <c r="M202" s="2"/>
      <c r="N202" s="7">
        <f t="shared" si="114"/>
        <v>0.98254990080570059</v>
      </c>
      <c r="O202" s="11"/>
      <c r="P202" s="6">
        <v>4393.32</v>
      </c>
      <c r="Q202" s="2"/>
      <c r="R202" s="7">
        <f t="shared" si="115"/>
        <v>1.3614943151618855E-3</v>
      </c>
      <c r="S202" s="2"/>
      <c r="T202" s="6">
        <v>1812.92</v>
      </c>
      <c r="U202" s="2"/>
      <c r="V202" s="7">
        <f t="shared" si="116"/>
        <v>7.3469869068200756E-4</v>
      </c>
      <c r="W202" s="2"/>
      <c r="X202" s="6">
        <f t="shared" si="117"/>
        <v>2580.3999999999996</v>
      </c>
      <c r="Y202" s="2"/>
      <c r="Z202" s="7">
        <f t="shared" si="118"/>
        <v>1.4233391434812344</v>
      </c>
    </row>
    <row r="203" spans="1:26" s="24" customFormat="1" hidden="1" outlineLevel="2" x14ac:dyDescent="0.3">
      <c r="A203" s="27"/>
      <c r="B203" s="11" t="str">
        <f>CONCATENATE("          ", "6241", " - ", "OFFICE EXPENSE")</f>
        <v xml:space="preserve">          6241 - OFFICE EXPENSE</v>
      </c>
      <c r="C203" s="11"/>
      <c r="D203" s="6">
        <v>512.19000000000005</v>
      </c>
      <c r="E203" s="2"/>
      <c r="F203" s="7">
        <f t="shared" si="111"/>
        <v>1.6519078408359267E-3</v>
      </c>
      <c r="G203" s="2"/>
      <c r="H203" s="6">
        <v>669.18</v>
      </c>
      <c r="I203" s="2"/>
      <c r="J203" s="7">
        <f t="shared" si="112"/>
        <v>6.0301339086582207E-3</v>
      </c>
      <c r="K203" s="2"/>
      <c r="L203" s="6">
        <f t="shared" si="113"/>
        <v>-156.9899999999999</v>
      </c>
      <c r="M203" s="2"/>
      <c r="N203" s="7">
        <f t="shared" si="114"/>
        <v>-0.23460055590424087</v>
      </c>
      <c r="O203" s="11"/>
      <c r="P203" s="6">
        <v>7718.89</v>
      </c>
      <c r="Q203" s="2"/>
      <c r="R203" s="7">
        <f t="shared" si="115"/>
        <v>2.3920918244880701E-3</v>
      </c>
      <c r="S203" s="2"/>
      <c r="T203" s="6">
        <v>8610.16</v>
      </c>
      <c r="U203" s="2"/>
      <c r="V203" s="7">
        <f t="shared" si="116"/>
        <v>3.4893284196559106E-3</v>
      </c>
      <c r="W203" s="2"/>
      <c r="X203" s="6">
        <f t="shared" si="117"/>
        <v>-891.26999999999953</v>
      </c>
      <c r="Y203" s="2"/>
      <c r="Z203" s="7">
        <f t="shared" si="118"/>
        <v>-0.10351375584193552</v>
      </c>
    </row>
    <row r="204" spans="1:26" s="24" customFormat="1" hidden="1" outlineLevel="2" x14ac:dyDescent="0.3">
      <c r="A204" s="27"/>
      <c r="B204" s="11" t="str">
        <f>CONCATENATE("          ", "6243", " - ", "PAPER SUPPLIES")</f>
        <v xml:space="preserve">          6243 - PAPER SUPPLIES</v>
      </c>
      <c r="C204" s="11"/>
      <c r="D204" s="6">
        <v>284.11</v>
      </c>
      <c r="E204" s="2"/>
      <c r="F204" s="7">
        <f t="shared" si="111"/>
        <v>9.1630749655380837E-4</v>
      </c>
      <c r="G204" s="2"/>
      <c r="H204" s="6">
        <v>1108.5999999999999</v>
      </c>
      <c r="I204" s="2"/>
      <c r="J204" s="7">
        <f t="shared" si="112"/>
        <v>9.9898479499364937E-3</v>
      </c>
      <c r="K204" s="2"/>
      <c r="L204" s="6">
        <f t="shared" si="113"/>
        <v>-824.4899999999999</v>
      </c>
      <c r="M204" s="2"/>
      <c r="N204" s="7">
        <f t="shared" si="114"/>
        <v>-0.74372181129352333</v>
      </c>
      <c r="O204" s="11"/>
      <c r="P204" s="6">
        <v>4470.8999999999996</v>
      </c>
      <c r="Q204" s="2"/>
      <c r="R204" s="7">
        <f t="shared" si="115"/>
        <v>1.3855364356926592E-3</v>
      </c>
      <c r="S204" s="2"/>
      <c r="T204" s="6">
        <v>4682.3</v>
      </c>
      <c r="U204" s="2"/>
      <c r="V204" s="7">
        <f t="shared" si="116"/>
        <v>1.8975352907907486E-3</v>
      </c>
      <c r="W204" s="2"/>
      <c r="X204" s="6">
        <f t="shared" si="117"/>
        <v>-211.40000000000055</v>
      </c>
      <c r="Y204" s="2"/>
      <c r="Z204" s="7">
        <f t="shared" si="118"/>
        <v>-4.5148751681865863E-2</v>
      </c>
    </row>
    <row r="205" spans="1:26" s="24" customFormat="1" hidden="1" outlineLevel="2" x14ac:dyDescent="0.3">
      <c r="A205" s="27"/>
      <c r="B205" s="11" t="str">
        <f>CONCATENATE("          ", "6245", " - ", "PRINTING")</f>
        <v xml:space="preserve">          6245 - PRINTING</v>
      </c>
      <c r="C205" s="11"/>
      <c r="D205" s="6">
        <v>1092.56</v>
      </c>
      <c r="E205" s="2"/>
      <c r="F205" s="7">
        <f t="shared" si="111"/>
        <v>3.5237088396565725E-3</v>
      </c>
      <c r="G205" s="2"/>
      <c r="H205" s="6">
        <v>93.72</v>
      </c>
      <c r="I205" s="2"/>
      <c r="J205" s="7">
        <f t="shared" si="112"/>
        <v>8.4453233796504446E-4</v>
      </c>
      <c r="K205" s="2"/>
      <c r="L205" s="6">
        <f t="shared" si="113"/>
        <v>998.83999999999992</v>
      </c>
      <c r="M205" s="2"/>
      <c r="N205" s="7">
        <f t="shared" si="114"/>
        <v>10.657703798548868</v>
      </c>
      <c r="O205" s="11"/>
      <c r="P205" s="6">
        <v>1065.49</v>
      </c>
      <c r="Q205" s="2"/>
      <c r="R205" s="7">
        <f t="shared" si="115"/>
        <v>3.3019642954800415E-4</v>
      </c>
      <c r="S205" s="2"/>
      <c r="T205" s="6">
        <v>508.27</v>
      </c>
      <c r="U205" s="2"/>
      <c r="V205" s="7">
        <f t="shared" si="116"/>
        <v>2.0598002311902563E-4</v>
      </c>
      <c r="W205" s="2"/>
      <c r="X205" s="6">
        <f t="shared" si="117"/>
        <v>557.22</v>
      </c>
      <c r="Y205" s="2"/>
      <c r="Z205" s="7">
        <f t="shared" si="118"/>
        <v>1.0963070808822084</v>
      </c>
    </row>
    <row r="206" spans="1:26" s="24" customFormat="1" hidden="1" outlineLevel="2" x14ac:dyDescent="0.3">
      <c r="A206" s="27"/>
      <c r="B206" s="11" t="str">
        <f>CONCATENATE("          ", "6247", " - ", "STORE SUPPLIES")</f>
        <v xml:space="preserve">          6247 - STORE SUPPLIES</v>
      </c>
      <c r="C206" s="11"/>
      <c r="D206" s="6">
        <v>1900.37</v>
      </c>
      <c r="E206" s="2"/>
      <c r="F206" s="7">
        <f t="shared" si="111"/>
        <v>6.1290460639398846E-3</v>
      </c>
      <c r="G206" s="2"/>
      <c r="H206" s="6">
        <v>10672.33</v>
      </c>
      <c r="I206" s="2"/>
      <c r="J206" s="7">
        <f t="shared" si="112"/>
        <v>9.6170804592770845E-2</v>
      </c>
      <c r="K206" s="2"/>
      <c r="L206" s="6">
        <f t="shared" si="113"/>
        <v>-8771.9599999999991</v>
      </c>
      <c r="M206" s="2"/>
      <c r="N206" s="7">
        <f t="shared" si="114"/>
        <v>-0.82193485396347366</v>
      </c>
      <c r="O206" s="11"/>
      <c r="P206" s="6">
        <v>21757.83</v>
      </c>
      <c r="Q206" s="2"/>
      <c r="R206" s="7">
        <f t="shared" si="115"/>
        <v>6.7427735414808693E-3</v>
      </c>
      <c r="S206" s="2"/>
      <c r="T206" s="6">
        <v>28345.13</v>
      </c>
      <c r="U206" s="2"/>
      <c r="V206" s="7">
        <f t="shared" si="116"/>
        <v>1.1487065010155601E-2</v>
      </c>
      <c r="W206" s="2"/>
      <c r="X206" s="6">
        <f t="shared" si="117"/>
        <v>-6587.2999999999993</v>
      </c>
      <c r="Y206" s="2"/>
      <c r="Z206" s="7">
        <f t="shared" si="118"/>
        <v>-0.23239618234243409</v>
      </c>
    </row>
    <row r="207" spans="1:26" s="29" customFormat="1" outlineLevel="1" collapsed="1" x14ac:dyDescent="0.3">
      <c r="A207" s="28"/>
      <c r="B207" s="14" t="str">
        <f>CONCATENATE("     ","Telephone/Data Lines                              ")</f>
        <v xml:space="preserve">     Telephone/Data Lines                              </v>
      </c>
      <c r="C207" s="14"/>
      <c r="D207" s="1">
        <f>SUM(OSRRefD22_22x_0)</f>
        <v>1923.64</v>
      </c>
      <c r="E207" s="1"/>
      <c r="F207" s="5">
        <f t="shared" ref="F207:F209" si="119">IF(D$12=0,0,D207/D$12)</f>
        <v>6.2040961341408895E-3</v>
      </c>
      <c r="G207" s="1"/>
      <c r="H207" s="1">
        <f>SUM(OSRRefH22_22x_0)</f>
        <v>2804.0299999999997</v>
      </c>
      <c r="I207" s="1"/>
      <c r="J207" s="5">
        <f t="shared" ref="J207:J209" si="120">IF(H$12=0,0,H207/H$12)</f>
        <v>2.5267755138968454E-2</v>
      </c>
      <c r="K207" s="1"/>
      <c r="L207" s="1">
        <f t="shared" ref="L207:L209" si="121">+D207-H207</f>
        <v>-880.38999999999965</v>
      </c>
      <c r="M207" s="1"/>
      <c r="N207" s="5">
        <f t="shared" ref="N207:N209" si="122">IF(H207=0,0,L207/H207)</f>
        <v>-0.31397310299818465</v>
      </c>
      <c r="O207" s="14"/>
      <c r="P207" s="1">
        <f>SUM(OSRRefP22_22x_0)</f>
        <v>10044.35</v>
      </c>
      <c r="Q207" s="1"/>
      <c r="R207" s="5">
        <f t="shared" ref="R207:R209" si="123">IF(P$12=0,0,P207/P$12)</f>
        <v>3.112754232447508E-3</v>
      </c>
      <c r="S207" s="1"/>
      <c r="T207" s="1">
        <f>SUM(OSRRefT22_22x_0)</f>
        <v>15441.39</v>
      </c>
      <c r="U207" s="1"/>
      <c r="V207" s="5">
        <f t="shared" ref="V207:V209" si="124">IF(T$12=0,0,T207/T$12)</f>
        <v>6.2577328372516398E-3</v>
      </c>
      <c r="W207" s="1"/>
      <c r="X207" s="1">
        <f t="shared" ref="X207:X209" si="125">+P207-T207</f>
        <v>-5397.0399999999991</v>
      </c>
      <c r="Y207" s="1"/>
      <c r="Z207" s="5">
        <f t="shared" ref="Z207:Z209" si="126">IF(T207=0,0,X207/T207)</f>
        <v>-0.34951775714492017</v>
      </c>
    </row>
    <row r="208" spans="1:26" s="24" customFormat="1" hidden="1" outlineLevel="2" x14ac:dyDescent="0.3">
      <c r="A208" s="27"/>
      <c r="B208" s="11" t="str">
        <f>CONCATENATE("          ", "6303", " - ", "DATA PHONE LINES")</f>
        <v xml:space="preserve">          6303 - DATA PHONE LINES</v>
      </c>
      <c r="C208" s="11"/>
      <c r="D208" s="6"/>
      <c r="E208" s="2"/>
      <c r="F208" s="7">
        <f t="shared" si="119"/>
        <v>0</v>
      </c>
      <c r="G208" s="2"/>
      <c r="H208" s="6">
        <v>885</v>
      </c>
      <c r="I208" s="2"/>
      <c r="J208" s="7">
        <f t="shared" si="120"/>
        <v>7.9749372503101195E-3</v>
      </c>
      <c r="K208" s="2"/>
      <c r="L208" s="6">
        <f t="shared" si="121"/>
        <v>-885</v>
      </c>
      <c r="M208" s="2"/>
      <c r="N208" s="7">
        <f t="shared" si="122"/>
        <v>-1</v>
      </c>
      <c r="O208" s="11"/>
      <c r="P208" s="6">
        <v>295</v>
      </c>
      <c r="Q208" s="2"/>
      <c r="R208" s="7">
        <f t="shared" si="123"/>
        <v>9.1420798615342438E-5</v>
      </c>
      <c r="S208" s="2"/>
      <c r="T208" s="6">
        <v>2065</v>
      </c>
      <c r="U208" s="2"/>
      <c r="V208" s="7">
        <f t="shared" si="124"/>
        <v>8.3685589891354577E-4</v>
      </c>
      <c r="W208" s="2"/>
      <c r="X208" s="6">
        <f t="shared" si="125"/>
        <v>-1770</v>
      </c>
      <c r="Y208" s="2"/>
      <c r="Z208" s="7">
        <f t="shared" si="126"/>
        <v>-0.8571428571428571</v>
      </c>
    </row>
    <row r="209" spans="1:26" s="24" customFormat="1" hidden="1" outlineLevel="2" x14ac:dyDescent="0.3">
      <c r="A209" s="27"/>
      <c r="B209" s="11" t="str">
        <f>CONCATENATE("          ", "6309", " - ", "TELEPHONE")</f>
        <v xml:space="preserve">          6309 - TELEPHONE</v>
      </c>
      <c r="C209" s="11"/>
      <c r="D209" s="6">
        <v>1923.64</v>
      </c>
      <c r="E209" s="2"/>
      <c r="F209" s="7">
        <f t="shared" si="119"/>
        <v>6.2040961341408895E-3</v>
      </c>
      <c r="G209" s="2"/>
      <c r="H209" s="6">
        <v>1919.03</v>
      </c>
      <c r="I209" s="2"/>
      <c r="J209" s="7">
        <f t="shared" si="120"/>
        <v>1.7292817888658336E-2</v>
      </c>
      <c r="K209" s="2"/>
      <c r="L209" s="6">
        <f t="shared" si="121"/>
        <v>4.6100000000001273</v>
      </c>
      <c r="M209" s="2"/>
      <c r="N209" s="7">
        <f t="shared" si="122"/>
        <v>2.4022553060661519E-3</v>
      </c>
      <c r="O209" s="11"/>
      <c r="P209" s="6">
        <v>9749.35</v>
      </c>
      <c r="Q209" s="2"/>
      <c r="R209" s="7">
        <f t="shared" si="123"/>
        <v>3.0213334338321657E-3</v>
      </c>
      <c r="S209" s="2"/>
      <c r="T209" s="6">
        <v>13376.39</v>
      </c>
      <c r="U209" s="2"/>
      <c r="V209" s="7">
        <f t="shared" si="124"/>
        <v>5.4208769383380945E-3</v>
      </c>
      <c r="W209" s="2"/>
      <c r="X209" s="6">
        <f t="shared" si="125"/>
        <v>-3627.0399999999991</v>
      </c>
      <c r="Y209" s="2"/>
      <c r="Z209" s="7">
        <f t="shared" si="126"/>
        <v>-0.2711523811730967</v>
      </c>
    </row>
    <row r="210" spans="1:26" s="29" customFormat="1" outlineLevel="1" collapsed="1" x14ac:dyDescent="0.3">
      <c r="A210" s="28"/>
      <c r="B210" s="14" t="str">
        <f>CONCATENATE("     ","Training                                          ")</f>
        <v xml:space="preserve">     Training                                          </v>
      </c>
      <c r="C210" s="14"/>
      <c r="D210" s="1">
        <f>SUM(OSRRefD22_23x_0)</f>
        <v>0</v>
      </c>
      <c r="E210" s="1"/>
      <c r="F210" s="5">
        <f t="shared" ref="F210:F215" si="127">IF(D$12=0,0,D210/D$12)</f>
        <v>0</v>
      </c>
      <c r="G210" s="1"/>
      <c r="H210" s="1">
        <f>SUM(OSRRefH22_23x_0)</f>
        <v>0</v>
      </c>
      <c r="I210" s="1"/>
      <c r="J210" s="5">
        <f t="shared" ref="J210:J215" si="128">IF(H$12=0,0,H210/H$12)</f>
        <v>0</v>
      </c>
      <c r="K210" s="1"/>
      <c r="L210" s="1">
        <f t="shared" ref="L210:L215" si="129">+D210-H210</f>
        <v>0</v>
      </c>
      <c r="M210" s="1"/>
      <c r="N210" s="5">
        <f t="shared" ref="N210:N215" si="130">IF(H210=0,0,L210/H210)</f>
        <v>0</v>
      </c>
      <c r="O210" s="14"/>
      <c r="P210" s="1">
        <f>SUM(OSRRefP22_23x_0)</f>
        <v>595</v>
      </c>
      <c r="Q210" s="1"/>
      <c r="R210" s="5">
        <f t="shared" ref="R210:R215" si="131">IF(P$12=0,0,P210/P$12)</f>
        <v>1.8439110229196188E-4</v>
      </c>
      <c r="S210" s="1"/>
      <c r="T210" s="1">
        <f>SUM(OSRRefT22_23x_0)</f>
        <v>145.63</v>
      </c>
      <c r="U210" s="1"/>
      <c r="V210" s="5">
        <f t="shared" ref="V210:V215" si="132">IF(T$12=0,0,T210/T$12)</f>
        <v>5.9017590585365457E-5</v>
      </c>
      <c r="W210" s="1"/>
      <c r="X210" s="1">
        <f t="shared" ref="X210:X215" si="133">+P210-T210</f>
        <v>449.37</v>
      </c>
      <c r="Y210" s="1"/>
      <c r="Z210" s="5">
        <f t="shared" ref="Z210:Z215" si="134">IF(T210=0,0,X210/T210)</f>
        <v>3.085696628441942</v>
      </c>
    </row>
    <row r="211" spans="1:26" s="24" customFormat="1" hidden="1" outlineLevel="2" x14ac:dyDescent="0.3">
      <c r="A211" s="27"/>
      <c r="B211" s="11" t="str">
        <f>CONCATENATE("          ", "6376", " - ", "TRAINING")</f>
        <v xml:space="preserve">          6376 - TRAINING</v>
      </c>
      <c r="C211" s="11"/>
      <c r="D211" s="6"/>
      <c r="E211" s="2"/>
      <c r="F211" s="7">
        <f t="shared" si="127"/>
        <v>0</v>
      </c>
      <c r="G211" s="2"/>
      <c r="H211" s="6"/>
      <c r="I211" s="2"/>
      <c r="J211" s="7">
        <f t="shared" si="128"/>
        <v>0</v>
      </c>
      <c r="K211" s="2"/>
      <c r="L211" s="6">
        <f t="shared" si="129"/>
        <v>0</v>
      </c>
      <c r="M211" s="2"/>
      <c r="N211" s="7">
        <f t="shared" si="130"/>
        <v>0</v>
      </c>
      <c r="O211" s="11"/>
      <c r="P211" s="6">
        <v>595</v>
      </c>
      <c r="Q211" s="2"/>
      <c r="R211" s="7">
        <f t="shared" si="131"/>
        <v>1.8439110229196188E-4</v>
      </c>
      <c r="S211" s="2"/>
      <c r="T211" s="6">
        <v>145.63</v>
      </c>
      <c r="U211" s="2"/>
      <c r="V211" s="7">
        <f t="shared" si="132"/>
        <v>5.9017590585365457E-5</v>
      </c>
      <c r="W211" s="2"/>
      <c r="X211" s="6">
        <f t="shared" si="133"/>
        <v>449.37</v>
      </c>
      <c r="Y211" s="2"/>
      <c r="Z211" s="7">
        <f t="shared" si="134"/>
        <v>3.085696628441942</v>
      </c>
    </row>
    <row r="212" spans="1:26" s="29" customFormat="1" outlineLevel="1" collapsed="1" x14ac:dyDescent="0.3">
      <c r="A212" s="28"/>
      <c r="B212" s="14" t="str">
        <f>CONCATENATE("     ","Travel                                            ")</f>
        <v xml:space="preserve">     Travel                                            </v>
      </c>
      <c r="C212" s="14"/>
      <c r="D212" s="1">
        <f>SUM(OSRRefD22_24x_0)</f>
        <v>97.08</v>
      </c>
      <c r="E212" s="1"/>
      <c r="F212" s="5">
        <f t="shared" si="127"/>
        <v>3.1310102342558768E-4</v>
      </c>
      <c r="G212" s="1"/>
      <c r="H212" s="1">
        <f>SUM(OSRRefH22_24x_0)</f>
        <v>299</v>
      </c>
      <c r="I212" s="1"/>
      <c r="J212" s="5">
        <f t="shared" si="128"/>
        <v>2.6943573308957349E-3</v>
      </c>
      <c r="K212" s="1"/>
      <c r="L212" s="1">
        <f t="shared" si="129"/>
        <v>-201.92000000000002</v>
      </c>
      <c r="M212" s="1"/>
      <c r="N212" s="5">
        <f t="shared" si="130"/>
        <v>-0.67531772575250837</v>
      </c>
      <c r="O212" s="14"/>
      <c r="P212" s="1">
        <f>SUM(OSRRefP22_24x_0)</f>
        <v>857.61</v>
      </c>
      <c r="Q212" s="1"/>
      <c r="R212" s="5">
        <f t="shared" si="131"/>
        <v>2.6577420712035199E-4</v>
      </c>
      <c r="S212" s="1"/>
      <c r="T212" s="1">
        <f>SUM(OSRRefT22_24x_0)</f>
        <v>680.93</v>
      </c>
      <c r="U212" s="1"/>
      <c r="V212" s="5">
        <f t="shared" si="132"/>
        <v>2.7595171295263955E-4</v>
      </c>
      <c r="W212" s="1"/>
      <c r="X212" s="1">
        <f t="shared" si="133"/>
        <v>176.68000000000006</v>
      </c>
      <c r="Y212" s="1"/>
      <c r="Z212" s="5">
        <f t="shared" si="134"/>
        <v>0.25946866785132111</v>
      </c>
    </row>
    <row r="213" spans="1:26" s="24" customFormat="1" hidden="1" outlineLevel="2" x14ac:dyDescent="0.3">
      <c r="A213" s="27"/>
      <c r="B213" s="11" t="str">
        <f>CONCATENATE("          ", "6292", " - ", "TRAVEL/CONFERENCE")</f>
        <v xml:space="preserve">          6292 - TRAVEL/CONFERENCE</v>
      </c>
      <c r="C213" s="11"/>
      <c r="D213" s="6"/>
      <c r="E213" s="2"/>
      <c r="F213" s="7">
        <f t="shared" si="127"/>
        <v>0</v>
      </c>
      <c r="G213" s="2"/>
      <c r="H213" s="6">
        <v>299</v>
      </c>
      <c r="I213" s="2"/>
      <c r="J213" s="7">
        <f t="shared" si="128"/>
        <v>2.6943573308957349E-3</v>
      </c>
      <c r="K213" s="2"/>
      <c r="L213" s="6">
        <f t="shared" si="129"/>
        <v>-299</v>
      </c>
      <c r="M213" s="2"/>
      <c r="N213" s="7">
        <f t="shared" si="130"/>
        <v>-1</v>
      </c>
      <c r="O213" s="11"/>
      <c r="P213" s="6">
        <v>495</v>
      </c>
      <c r="Q213" s="2"/>
      <c r="R213" s="7">
        <f t="shared" si="131"/>
        <v>1.5340100106642207E-4</v>
      </c>
      <c r="S213" s="2"/>
      <c r="T213" s="6">
        <v>299.16000000000003</v>
      </c>
      <c r="U213" s="2"/>
      <c r="V213" s="7">
        <f t="shared" si="132"/>
        <v>1.2123671221257936E-4</v>
      </c>
      <c r="W213" s="2"/>
      <c r="X213" s="6">
        <f t="shared" si="133"/>
        <v>195.83999999999997</v>
      </c>
      <c r="Y213" s="2"/>
      <c r="Z213" s="7">
        <f t="shared" si="134"/>
        <v>0.65463297232250284</v>
      </c>
    </row>
    <row r="214" spans="1:26" s="24" customFormat="1" hidden="1" outlineLevel="2" x14ac:dyDescent="0.3">
      <c r="A214" s="27"/>
      <c r="B214" s="11" t="str">
        <f>CONCATENATE("          ", "6294", " - ", "TRAVEL OPERATIONAL")</f>
        <v xml:space="preserve">          6294 - TRAVEL OPERATIONAL</v>
      </c>
      <c r="C214" s="11"/>
      <c r="D214" s="6"/>
      <c r="E214" s="2"/>
      <c r="F214" s="7">
        <f t="shared" si="127"/>
        <v>0</v>
      </c>
      <c r="G214" s="2"/>
      <c r="H214" s="6"/>
      <c r="I214" s="2"/>
      <c r="J214" s="7">
        <f t="shared" si="128"/>
        <v>0</v>
      </c>
      <c r="K214" s="2"/>
      <c r="L214" s="6">
        <f t="shared" si="129"/>
        <v>0</v>
      </c>
      <c r="M214" s="2"/>
      <c r="N214" s="7">
        <f t="shared" si="130"/>
        <v>0</v>
      </c>
      <c r="O214" s="11"/>
      <c r="P214" s="6">
        <v>215.53</v>
      </c>
      <c r="Q214" s="2"/>
      <c r="R214" s="7">
        <f t="shared" si="131"/>
        <v>6.6792965171405953E-5</v>
      </c>
      <c r="S214" s="2"/>
      <c r="T214" s="6">
        <v>321.88</v>
      </c>
      <c r="U214" s="2"/>
      <c r="V214" s="7">
        <f t="shared" si="132"/>
        <v>1.3044415338609789E-4</v>
      </c>
      <c r="W214" s="2"/>
      <c r="X214" s="6">
        <f t="shared" si="133"/>
        <v>-106.35</v>
      </c>
      <c r="Y214" s="2"/>
      <c r="Z214" s="7">
        <f t="shared" si="134"/>
        <v>-0.33040263452218216</v>
      </c>
    </row>
    <row r="215" spans="1:26" s="24" customFormat="1" hidden="1" outlineLevel="2" x14ac:dyDescent="0.3">
      <c r="A215" s="27"/>
      <c r="B215" s="11" t="str">
        <f>CONCATENATE("          ", "6298", " - ", "VEHICLE MILEAGE")</f>
        <v xml:space="preserve">          6298 - VEHICLE MILEAGE</v>
      </c>
      <c r="C215" s="11"/>
      <c r="D215" s="6">
        <v>97.08</v>
      </c>
      <c r="E215" s="2"/>
      <c r="F215" s="7">
        <f t="shared" si="127"/>
        <v>3.1310102342558768E-4</v>
      </c>
      <c r="G215" s="2"/>
      <c r="H215" s="6"/>
      <c r="I215" s="2"/>
      <c r="J215" s="7">
        <f t="shared" si="128"/>
        <v>0</v>
      </c>
      <c r="K215" s="2"/>
      <c r="L215" s="6">
        <f t="shared" si="129"/>
        <v>97.08</v>
      </c>
      <c r="M215" s="2"/>
      <c r="N215" s="7">
        <f t="shared" si="130"/>
        <v>0</v>
      </c>
      <c r="O215" s="11"/>
      <c r="P215" s="6">
        <v>147.08000000000001</v>
      </c>
      <c r="Q215" s="2"/>
      <c r="R215" s="7">
        <f t="shared" si="131"/>
        <v>4.5580240882523957E-5</v>
      </c>
      <c r="S215" s="2"/>
      <c r="T215" s="6">
        <v>59.89</v>
      </c>
      <c r="U215" s="2"/>
      <c r="V215" s="7">
        <f t="shared" si="132"/>
        <v>2.4270847353962353E-5</v>
      </c>
      <c r="W215" s="2"/>
      <c r="X215" s="6">
        <f t="shared" si="133"/>
        <v>87.190000000000012</v>
      </c>
      <c r="Y215" s="2"/>
      <c r="Z215" s="7">
        <f t="shared" si="134"/>
        <v>1.455835698781099</v>
      </c>
    </row>
    <row r="216" spans="1:26" s="29" customFormat="1" outlineLevel="1" collapsed="1" x14ac:dyDescent="0.3">
      <c r="A216" s="28"/>
      <c r="B216" s="14" t="str">
        <f>CONCATENATE("     ","Utilities                                         ")</f>
        <v xml:space="preserve">     Utilities                                         </v>
      </c>
      <c r="C216" s="14"/>
      <c r="D216" s="1">
        <f>SUM(OSRRefD22_25x_0)</f>
        <v>6133.61</v>
      </c>
      <c r="E216" s="1"/>
      <c r="F216" s="5">
        <f t="shared" ref="F216:F217" si="135">IF(D$12=0,0,D216/D$12)</f>
        <v>1.9782030987777286E-2</v>
      </c>
      <c r="G216" s="1"/>
      <c r="H216" s="1">
        <f>SUM(OSRRefH22_25x_0)</f>
        <v>7286.38</v>
      </c>
      <c r="I216" s="1"/>
      <c r="J216" s="5">
        <f t="shared" ref="J216:J217" si="136">IF(H$12=0,0,H216/H$12)</f>
        <v>6.5659235346796213E-2</v>
      </c>
      <c r="K216" s="1"/>
      <c r="L216" s="1">
        <f t="shared" ref="L216:L217" si="137">+D216-H216</f>
        <v>-1152.7700000000004</v>
      </c>
      <c r="M216" s="1"/>
      <c r="N216" s="5">
        <f t="shared" ref="N216:N217" si="138">IF(H216=0,0,L216/H216)</f>
        <v>-0.1582088773849292</v>
      </c>
      <c r="O216" s="14"/>
      <c r="P216" s="1">
        <f>SUM(OSRRefP22_25x_0)</f>
        <v>30683.59</v>
      </c>
      <c r="Q216" s="1"/>
      <c r="R216" s="5">
        <f t="shared" ref="R216:R217" si="139">IF(P$12=0,0,P216/P$12)</f>
        <v>9.5088756006296103E-3</v>
      </c>
      <c r="S216" s="1"/>
      <c r="T216" s="1">
        <f>SUM(OSRRefT22_25x_0)</f>
        <v>33007.81</v>
      </c>
      <c r="U216" s="1"/>
      <c r="V216" s="5">
        <f t="shared" ref="V216:V217" si="140">IF(T$12=0,0,T216/T$12)</f>
        <v>1.3376649156763934E-2</v>
      </c>
      <c r="W216" s="1"/>
      <c r="X216" s="1">
        <f t="shared" ref="X216:X217" si="141">+P216-T216</f>
        <v>-2324.2199999999975</v>
      </c>
      <c r="Y216" s="1"/>
      <c r="Z216" s="5">
        <f t="shared" ref="Z216:Z217" si="142">IF(T216=0,0,X216/T216)</f>
        <v>-7.0414244386404243E-2</v>
      </c>
    </row>
    <row r="217" spans="1:26" s="24" customFormat="1" hidden="1" outlineLevel="2" x14ac:dyDescent="0.3">
      <c r="A217" s="27"/>
      <c r="B217" s="11" t="str">
        <f>CONCATENATE("          ", "6274", " - ", "UTILITIES")</f>
        <v xml:space="preserve">          6274 - UTILITIES</v>
      </c>
      <c r="C217" s="11"/>
      <c r="D217" s="6">
        <v>6133.61</v>
      </c>
      <c r="E217" s="2"/>
      <c r="F217" s="7">
        <f t="shared" si="135"/>
        <v>1.9782030987777286E-2</v>
      </c>
      <c r="G217" s="2"/>
      <c r="H217" s="6">
        <v>7286.38</v>
      </c>
      <c r="I217" s="2"/>
      <c r="J217" s="7">
        <f t="shared" si="136"/>
        <v>6.5659235346796213E-2</v>
      </c>
      <c r="K217" s="2"/>
      <c r="L217" s="6">
        <f t="shared" si="137"/>
        <v>-1152.7700000000004</v>
      </c>
      <c r="M217" s="2"/>
      <c r="N217" s="7">
        <f t="shared" si="138"/>
        <v>-0.1582088773849292</v>
      </c>
      <c r="O217" s="11"/>
      <c r="P217" s="6">
        <v>30683.59</v>
      </c>
      <c r="Q217" s="2"/>
      <c r="R217" s="7">
        <f t="shared" si="139"/>
        <v>9.5088756006296103E-3</v>
      </c>
      <c r="S217" s="2"/>
      <c r="T217" s="6">
        <v>33007.81</v>
      </c>
      <c r="U217" s="2"/>
      <c r="V217" s="7">
        <f t="shared" si="140"/>
        <v>1.3376649156763934E-2</v>
      </c>
      <c r="W217" s="2"/>
      <c r="X217" s="6">
        <f t="shared" si="141"/>
        <v>-2324.2199999999975</v>
      </c>
      <c r="Y217" s="2"/>
      <c r="Z217" s="7">
        <f t="shared" si="142"/>
        <v>-7.0414244386404243E-2</v>
      </c>
    </row>
    <row r="218" spans="1:26" s="62" customFormat="1" x14ac:dyDescent="0.3">
      <c r="A218" s="37"/>
      <c r="B218" s="37"/>
      <c r="C218" s="37"/>
      <c r="D218" s="1"/>
      <c r="E218" s="1"/>
      <c r="F218" s="5"/>
      <c r="G218" s="1"/>
      <c r="H218" s="1"/>
      <c r="I218" s="1"/>
      <c r="J218" s="5"/>
      <c r="K218" s="1"/>
      <c r="L218" s="1"/>
      <c r="M218" s="1"/>
      <c r="N218" s="5"/>
      <c r="O218" s="37"/>
      <c r="P218" s="1"/>
      <c r="Q218" s="1"/>
      <c r="R218" s="5"/>
      <c r="S218" s="1"/>
      <c r="T218" s="1"/>
      <c r="U218" s="1"/>
      <c r="V218" s="5"/>
      <c r="W218" s="1"/>
      <c r="X218" s="1"/>
      <c r="Y218" s="1"/>
      <c r="Z218" s="5"/>
    </row>
    <row r="219" spans="1:26" s="23" customFormat="1" collapsed="1" x14ac:dyDescent="0.3">
      <c r="A219" s="10"/>
      <c r="B219" s="26" t="s">
        <v>292</v>
      </c>
      <c r="C219" s="10"/>
      <c r="D219" s="4">
        <f>SUM(OSRRefD25x_0)</f>
        <v>54598.81</v>
      </c>
      <c r="E219" s="4"/>
      <c r="F219" s="12">
        <f t="shared" ref="F219:F223" si="143">IF(D$12=0,0,D219/D$12)</f>
        <v>0.17609129881354771</v>
      </c>
      <c r="G219" s="4"/>
      <c r="H219" s="4">
        <f>SUM(OSRRefH25x_0)</f>
        <v>72384.83</v>
      </c>
      <c r="I219" s="4"/>
      <c r="J219" s="12">
        <f t="shared" ref="J219:J223" si="144">IF(H$12=0,0,H219/H$12)</f>
        <v>0.652276245338266</v>
      </c>
      <c r="K219" s="4"/>
      <c r="L219" s="4">
        <f t="shared" ref="L219:L223" si="145">+D219-H219</f>
        <v>-17786.020000000004</v>
      </c>
      <c r="M219" s="4"/>
      <c r="N219" s="12">
        <f t="shared" ref="N219:N223" si="146">IF(H219=0,0,L219/H219)</f>
        <v>-0.24571474437392482</v>
      </c>
      <c r="O219" s="10"/>
      <c r="P219" s="4">
        <f>SUM(OSRRefP25x_0)</f>
        <v>456237.79</v>
      </c>
      <c r="Q219" s="4"/>
      <c r="R219" s="12">
        <f t="shared" ref="R219:R223" si="147">IF(P$12=0,0,P219/P$12)</f>
        <v>0.14138855295016575</v>
      </c>
      <c r="S219" s="4"/>
      <c r="T219" s="4">
        <f>SUM(OSRRefT25x_0)</f>
        <v>524380.25</v>
      </c>
      <c r="U219" s="4"/>
      <c r="V219" s="12">
        <f t="shared" ref="V219:V223" si="148">IF(T$12=0,0,T219/T$12)</f>
        <v>0.21250881621610648</v>
      </c>
      <c r="W219" s="4"/>
      <c r="X219" s="4">
        <f t="shared" ref="X219:X223" si="149">+P219-T219</f>
        <v>-68142.460000000021</v>
      </c>
      <c r="Y219" s="4"/>
      <c r="Z219" s="12">
        <f t="shared" ref="Z219:Z223" si="150">IF(T219=0,0,X219/T219)</f>
        <v>-0.12994856308947567</v>
      </c>
    </row>
    <row r="220" spans="1:26" s="24" customFormat="1" hidden="1" outlineLevel="1" x14ac:dyDescent="0.3">
      <c r="A220" s="44"/>
      <c r="B220" s="11" t="str">
        <f>CONCATENATE("          ", "9150", " - ", "MISC. INCOME")</f>
        <v xml:space="preserve">          9150 - MISC. INCOME</v>
      </c>
      <c r="C220" s="11"/>
      <c r="D220" s="2">
        <f>--54598.81</f>
        <v>54598.81</v>
      </c>
      <c r="E220" s="2"/>
      <c r="F220" s="19">
        <f t="shared" si="143"/>
        <v>0.17609129881354771</v>
      </c>
      <c r="G220" s="2"/>
      <c r="H220" s="2">
        <f>--57387.68</f>
        <v>57387.68</v>
      </c>
      <c r="I220" s="2"/>
      <c r="J220" s="19">
        <f t="shared" si="144"/>
        <v>0.51713349936822262</v>
      </c>
      <c r="K220" s="2"/>
      <c r="L220" s="2">
        <f t="shared" si="145"/>
        <v>-2788.8700000000026</v>
      </c>
      <c r="M220" s="2"/>
      <c r="N220" s="19">
        <f t="shared" si="146"/>
        <v>-4.8597015944885774E-2</v>
      </c>
      <c r="O220" s="11"/>
      <c r="P220" s="2">
        <f>--212830.82</f>
        <v>212830.82</v>
      </c>
      <c r="Q220" s="2"/>
      <c r="R220" s="19">
        <f t="shared" si="147"/>
        <v>6.5956486557146435E-2</v>
      </c>
      <c r="S220" s="2"/>
      <c r="T220" s="2">
        <f>--199082.79</f>
        <v>199082.79</v>
      </c>
      <c r="U220" s="2"/>
      <c r="V220" s="19">
        <f t="shared" si="148"/>
        <v>8.0679712921872482E-2</v>
      </c>
      <c r="W220" s="2"/>
      <c r="X220" s="2">
        <f t="shared" si="149"/>
        <v>13748.029999999999</v>
      </c>
      <c r="Y220" s="2"/>
      <c r="Z220" s="19">
        <f t="shared" si="150"/>
        <v>6.9056848158497261E-2</v>
      </c>
    </row>
    <row r="221" spans="1:26" s="24" customFormat="1" hidden="1" outlineLevel="1" x14ac:dyDescent="0.3">
      <c r="A221" s="44"/>
      <c r="B221" s="11" t="str">
        <f>CONCATENATE("          ", "9151", " - ", "MISC. INCOME")</f>
        <v xml:space="preserve">          9151 - MISC. INCOME</v>
      </c>
      <c r="C221" s="11"/>
      <c r="D221" s="2">
        <f t="shared" ref="D221:D223" si="151">0</f>
        <v>0</v>
      </c>
      <c r="E221" s="2"/>
      <c r="F221" s="19">
        <f t="shared" si="143"/>
        <v>0</v>
      </c>
      <c r="G221" s="2"/>
      <c r="H221" s="2">
        <f>0</f>
        <v>0</v>
      </c>
      <c r="I221" s="2"/>
      <c r="J221" s="19">
        <f t="shared" si="144"/>
        <v>0</v>
      </c>
      <c r="K221" s="2"/>
      <c r="L221" s="2">
        <f t="shared" si="145"/>
        <v>0</v>
      </c>
      <c r="M221" s="2"/>
      <c r="N221" s="19">
        <f t="shared" si="146"/>
        <v>0</v>
      </c>
      <c r="O221" s="11"/>
      <c r="P221" s="2">
        <f>--168463.36</f>
        <v>168463.35999999999</v>
      </c>
      <c r="Q221" s="2"/>
      <c r="R221" s="19">
        <f t="shared" si="147"/>
        <v>5.2206965791945538E-2</v>
      </c>
      <c r="S221" s="2"/>
      <c r="T221" s="2">
        <f>--147285.39</f>
        <v>147285.39000000001</v>
      </c>
      <c r="U221" s="2"/>
      <c r="V221" s="19">
        <f t="shared" si="148"/>
        <v>5.9688449126044638E-2</v>
      </c>
      <c r="W221" s="2"/>
      <c r="X221" s="2">
        <f t="shared" si="149"/>
        <v>21177.969999999972</v>
      </c>
      <c r="Y221" s="2"/>
      <c r="Z221" s="19">
        <f t="shared" si="150"/>
        <v>0.14378866770152809</v>
      </c>
    </row>
    <row r="222" spans="1:26" s="24" customFormat="1" hidden="1" outlineLevel="1" x14ac:dyDescent="0.3">
      <c r="A222" s="44"/>
      <c r="B222" s="11" t="str">
        <f>CONCATENATE("          ", "9152", " - ", "MISC. INCOME")</f>
        <v xml:space="preserve">          9152 - MISC. INCOME</v>
      </c>
      <c r="C222" s="11"/>
      <c r="D222" s="2">
        <f t="shared" si="151"/>
        <v>0</v>
      </c>
      <c r="E222" s="2"/>
      <c r="F222" s="19">
        <f t="shared" si="143"/>
        <v>0</v>
      </c>
      <c r="G222" s="2"/>
      <c r="H222" s="2">
        <f>--255.21</f>
        <v>255.21</v>
      </c>
      <c r="I222" s="2"/>
      <c r="J222" s="19">
        <f t="shared" si="144"/>
        <v>2.2997556335046842E-3</v>
      </c>
      <c r="K222" s="2"/>
      <c r="L222" s="2">
        <f t="shared" si="145"/>
        <v>-255.21</v>
      </c>
      <c r="M222" s="2"/>
      <c r="N222" s="19">
        <f t="shared" si="146"/>
        <v>-1</v>
      </c>
      <c r="O222" s="11"/>
      <c r="P222" s="2">
        <f>--2195.41</f>
        <v>2195.41</v>
      </c>
      <c r="Q222" s="2"/>
      <c r="R222" s="19">
        <f t="shared" si="147"/>
        <v>6.8035978131562348E-4</v>
      </c>
      <c r="S222" s="2"/>
      <c r="T222" s="2">
        <f>--2606.23</f>
        <v>2606.23</v>
      </c>
      <c r="U222" s="2"/>
      <c r="V222" s="19">
        <f t="shared" si="148"/>
        <v>1.0561931958476757E-3</v>
      </c>
      <c r="W222" s="2"/>
      <c r="X222" s="2">
        <f t="shared" si="149"/>
        <v>-410.82000000000016</v>
      </c>
      <c r="Y222" s="2"/>
      <c r="Z222" s="19">
        <f t="shared" si="150"/>
        <v>-0.15762998660901001</v>
      </c>
    </row>
    <row r="223" spans="1:26" s="24" customFormat="1" hidden="1" outlineLevel="1" x14ac:dyDescent="0.3">
      <c r="A223" s="44"/>
      <c r="B223" s="11" t="str">
        <f>CONCATENATE("          ", "9163", " - ", "MISC. INCOME")</f>
        <v xml:space="preserve">          9163 - MISC. INCOME</v>
      </c>
      <c r="C223" s="11"/>
      <c r="D223" s="2">
        <f t="shared" si="151"/>
        <v>0</v>
      </c>
      <c r="E223" s="2"/>
      <c r="F223" s="19">
        <f t="shared" si="143"/>
        <v>0</v>
      </c>
      <c r="G223" s="2"/>
      <c r="H223" s="2">
        <f>--14741.94</f>
        <v>14741.94</v>
      </c>
      <c r="I223" s="2"/>
      <c r="J223" s="19">
        <f t="shared" si="144"/>
        <v>0.13284299033653871</v>
      </c>
      <c r="K223" s="2"/>
      <c r="L223" s="2">
        <f t="shared" si="145"/>
        <v>-14741.94</v>
      </c>
      <c r="M223" s="2"/>
      <c r="N223" s="19">
        <f t="shared" si="146"/>
        <v>-1</v>
      </c>
      <c r="O223" s="11"/>
      <c r="P223" s="2">
        <f>--72748.2</f>
        <v>72748.2</v>
      </c>
      <c r="Q223" s="2"/>
      <c r="R223" s="19">
        <f t="shared" si="147"/>
        <v>2.2544740819758151E-2</v>
      </c>
      <c r="S223" s="2"/>
      <c r="T223" s="2">
        <f>--175405.84</f>
        <v>175405.84</v>
      </c>
      <c r="U223" s="2"/>
      <c r="V223" s="19">
        <f t="shared" si="148"/>
        <v>7.1084460972341695E-2</v>
      </c>
      <c r="W223" s="2"/>
      <c r="X223" s="2">
        <f t="shared" si="149"/>
        <v>-102657.64</v>
      </c>
      <c r="Y223" s="2"/>
      <c r="Z223" s="19">
        <f t="shared" si="150"/>
        <v>-0.58525782265858428</v>
      </c>
    </row>
    <row r="224" spans="1:26" x14ac:dyDescent="0.3">
      <c r="A224" s="9"/>
      <c r="B224" s="10"/>
      <c r="C224" s="10"/>
      <c r="D224" s="3"/>
      <c r="E224" s="3"/>
      <c r="F224" s="8"/>
      <c r="G224" s="3"/>
      <c r="H224" s="3"/>
      <c r="I224" s="3"/>
      <c r="J224" s="8"/>
      <c r="K224" s="3"/>
      <c r="L224" s="3"/>
      <c r="M224" s="3"/>
      <c r="N224" s="8"/>
      <c r="O224" s="10"/>
      <c r="P224" s="3"/>
      <c r="Q224" s="3"/>
      <c r="R224" s="8"/>
      <c r="S224" s="3"/>
      <c r="T224" s="3"/>
      <c r="U224" s="3"/>
      <c r="V224" s="8"/>
      <c r="W224" s="3"/>
      <c r="X224" s="3"/>
      <c r="Y224" s="3"/>
      <c r="Z224" s="8"/>
    </row>
    <row r="225" spans="1:26" s="23" customFormat="1" x14ac:dyDescent="0.3">
      <c r="A225" s="10"/>
      <c r="B225" s="25" t="s">
        <v>276</v>
      </c>
      <c r="C225" s="25"/>
      <c r="D225" s="21">
        <f>+D125-D127+D219</f>
        <v>-70878.749999999854</v>
      </c>
      <c r="E225" s="13"/>
      <c r="F225" s="22">
        <f>IF(D$12=0,0,D225/D$12)</f>
        <v>-0.22859712777221186</v>
      </c>
      <c r="G225" s="13"/>
      <c r="H225" s="21">
        <f>+H125-H127+H219</f>
        <v>-139290.12</v>
      </c>
      <c r="I225" s="13"/>
      <c r="J225" s="22">
        <f>IF(H$12=0,0,H225/H$12)</f>
        <v>-1.2551751034894536</v>
      </c>
      <c r="K225" s="16"/>
      <c r="L225" s="21">
        <f>+D225-H225</f>
        <v>68411.370000000141</v>
      </c>
      <c r="M225" s="16"/>
      <c r="N225" s="22">
        <f>IF(H225=0,0,L225/H225)</f>
        <v>-0.49114301861467374</v>
      </c>
      <c r="O225" s="26"/>
      <c r="P225" s="21">
        <f>+P125-P127+P219</f>
        <v>3080.7700000008917</v>
      </c>
      <c r="Q225" s="13"/>
      <c r="R225" s="22">
        <f>IF(P$12=0,0,P225/P$12)</f>
        <v>9.5473374152633917E-4</v>
      </c>
      <c r="S225" s="13"/>
      <c r="T225" s="21">
        <f>+T125-T127+T219</f>
        <v>-129046.34999999939</v>
      </c>
      <c r="U225" s="13"/>
      <c r="V225" s="22">
        <f>IF(T$12=0,0,T225/T$12)</f>
        <v>-5.2296948780029807E-2</v>
      </c>
      <c r="W225" s="16"/>
      <c r="X225" s="21">
        <f>+P225-T225</f>
        <v>132127.12000000029</v>
      </c>
      <c r="Y225" s="16"/>
      <c r="Z225" s="22">
        <f>IF(T225=0,0,X225/T225)</f>
        <v>-1.0238733602306529</v>
      </c>
    </row>
    <row r="226" spans="1:26" x14ac:dyDescent="0.3">
      <c r="A226" s="9"/>
      <c r="B226" s="10"/>
      <c r="C226" s="9"/>
      <c r="D226" s="3"/>
      <c r="E226" s="3"/>
      <c r="F226" s="8"/>
      <c r="G226" s="3"/>
      <c r="H226" s="3"/>
      <c r="I226" s="3"/>
      <c r="J226" s="8"/>
      <c r="K226" s="3"/>
      <c r="L226" s="3"/>
      <c r="M226" s="3"/>
      <c r="N226" s="8"/>
      <c r="P226" s="3"/>
      <c r="Q226" s="3"/>
      <c r="R226" s="8"/>
      <c r="S226" s="3"/>
      <c r="T226" s="3"/>
      <c r="U226" s="3"/>
      <c r="V226" s="8"/>
      <c r="W226" s="3"/>
      <c r="X226" s="3"/>
      <c r="Y226" s="3"/>
      <c r="Z226" s="8"/>
    </row>
    <row r="227" spans="1:26" s="23" customFormat="1" x14ac:dyDescent="0.3">
      <c r="A227" s="51"/>
      <c r="B227" s="10" t="s">
        <v>127</v>
      </c>
      <c r="C227" s="10"/>
      <c r="D227" s="4">
        <v>47198.79</v>
      </c>
      <c r="E227" s="4"/>
      <c r="F227" s="12">
        <f>IF(D$12=0,0,D227/D$12)</f>
        <v>0.1522248604599237</v>
      </c>
      <c r="G227" s="4"/>
      <c r="H227" s="4">
        <v>-118392.78</v>
      </c>
      <c r="I227" s="4"/>
      <c r="J227" s="12">
        <f>IF(H$12=0,0,H227/H$12)</f>
        <v>-1.0668643970505884</v>
      </c>
      <c r="K227" s="4"/>
      <c r="L227" s="4">
        <f>+D227-H227</f>
        <v>165591.57</v>
      </c>
      <c r="M227" s="4"/>
      <c r="N227" s="12">
        <f>IF(H227=0,0,L227/H227)</f>
        <v>-1.3986627394001561</v>
      </c>
      <c r="O227" s="10"/>
      <c r="P227" s="4">
        <v>384354.14</v>
      </c>
      <c r="Q227" s="4"/>
      <c r="R227" s="12">
        <f>IF(P$12=0,0,P227/P$12)</f>
        <v>0.119111737050553</v>
      </c>
      <c r="S227" s="4"/>
      <c r="T227" s="4">
        <v>392096.83</v>
      </c>
      <c r="U227" s="4"/>
      <c r="V227" s="12">
        <f>IF(T$12=0,0,T227/T$12)</f>
        <v>0.15890002185510982</v>
      </c>
      <c r="W227" s="4"/>
      <c r="X227" s="4">
        <f>+P227-T227</f>
        <v>-7742.6900000000023</v>
      </c>
      <c r="Y227" s="4"/>
      <c r="Z227" s="12">
        <f>IF(T227=0,0,X227/T227)</f>
        <v>-1.9746882421875233E-2</v>
      </c>
    </row>
    <row r="228" spans="1:26" x14ac:dyDescent="0.3">
      <c r="A228" s="9"/>
      <c r="B228" s="10"/>
      <c r="C228" s="10"/>
      <c r="D228" s="3"/>
      <c r="E228" s="3"/>
      <c r="F228" s="8"/>
      <c r="G228" s="3"/>
      <c r="H228" s="3"/>
      <c r="I228" s="3"/>
      <c r="J228" s="8"/>
      <c r="K228" s="3"/>
      <c r="L228" s="3"/>
      <c r="M228" s="3"/>
      <c r="N228" s="8"/>
      <c r="O228" s="10"/>
      <c r="P228" s="3"/>
      <c r="Q228" s="3"/>
      <c r="R228" s="8"/>
      <c r="S228" s="3"/>
      <c r="T228" s="3"/>
      <c r="U228" s="3"/>
      <c r="V228" s="8"/>
      <c r="W228" s="3"/>
      <c r="X228" s="3"/>
      <c r="Y228" s="3"/>
      <c r="Z228" s="8"/>
    </row>
    <row r="229" spans="1:26" s="23" customFormat="1" ht="15" thickBot="1" x14ac:dyDescent="0.35">
      <c r="A229" s="10"/>
      <c r="B229" s="25" t="s">
        <v>125</v>
      </c>
      <c r="C229" s="25"/>
      <c r="D229" s="35">
        <f>+D225-D227</f>
        <v>-118077.53999999986</v>
      </c>
      <c r="E229" s="13"/>
      <c r="F229" s="31">
        <f>IF(D$12=0,0,D229/D$12)</f>
        <v>-0.38082198823213559</v>
      </c>
      <c r="G229" s="13"/>
      <c r="H229" s="35">
        <f>+H225-H227</f>
        <v>-20897.339999999997</v>
      </c>
      <c r="I229" s="13"/>
      <c r="J229" s="31">
        <f>IF(H$12=0,0,H229/H$12)</f>
        <v>-0.18831070643886513</v>
      </c>
      <c r="K229" s="16"/>
      <c r="L229" s="35">
        <f>D229-H229</f>
        <v>-97180.199999999866</v>
      </c>
      <c r="M229" s="16"/>
      <c r="N229" s="31">
        <f>IF(H229=0,0,L229/H229)</f>
        <v>4.6503621992081232</v>
      </c>
      <c r="O229" s="26"/>
      <c r="P229" s="35">
        <f>+P225-P227</f>
        <v>-381273.36999999912</v>
      </c>
      <c r="Q229" s="13"/>
      <c r="R229" s="31">
        <f>IF(P$12=0,0,P229/P$12)</f>
        <v>-0.11815700330902666</v>
      </c>
      <c r="S229" s="13"/>
      <c r="T229" s="35">
        <f>+T225-T227</f>
        <v>-521143.17999999941</v>
      </c>
      <c r="U229" s="13"/>
      <c r="V229" s="31">
        <f>IF(T$12=0,0,T229/T$12)</f>
        <v>-0.21119697063513962</v>
      </c>
      <c r="W229" s="16"/>
      <c r="X229" s="35">
        <f>P229-T229</f>
        <v>139869.81000000029</v>
      </c>
      <c r="Y229" s="16"/>
      <c r="Z229" s="31">
        <f>IF(T229=0,0,X229/T229)</f>
        <v>-0.2683903682669328</v>
      </c>
    </row>
    <row r="230" spans="1:26" ht="15" thickTop="1" x14ac:dyDescent="0.3">
      <c r="A230" s="9"/>
      <c r="B230" s="9"/>
      <c r="C230" s="9"/>
      <c r="D230" s="3"/>
      <c r="E230" s="3"/>
      <c r="F230" s="8"/>
      <c r="G230" s="3"/>
      <c r="H230" s="3"/>
      <c r="I230" s="3"/>
      <c r="J230" s="8"/>
      <c r="K230" s="3"/>
      <c r="L230" s="3"/>
      <c r="M230" s="3"/>
      <c r="N230" s="8"/>
      <c r="P230" s="3"/>
      <c r="Q230" s="3"/>
      <c r="R230" s="8"/>
      <c r="S230" s="3"/>
      <c r="T230" s="3"/>
      <c r="U230" s="3"/>
      <c r="V230" s="8"/>
      <c r="W230" s="3"/>
      <c r="X230" s="3"/>
      <c r="Y230" s="3"/>
      <c r="Z230" s="8"/>
    </row>
    <row r="231" spans="1:26" x14ac:dyDescent="0.3">
      <c r="A231" s="9"/>
      <c r="B231" s="9"/>
      <c r="C231" s="9"/>
      <c r="D231" s="3"/>
      <c r="E231" s="3"/>
      <c r="F231" s="8"/>
      <c r="G231" s="3"/>
      <c r="H231" s="3"/>
      <c r="I231" s="3"/>
      <c r="J231" s="8"/>
      <c r="K231" s="3"/>
      <c r="L231" s="3"/>
      <c r="M231" s="3"/>
      <c r="N231" s="8"/>
      <c r="P231" s="3"/>
      <c r="Q231" s="3"/>
      <c r="R231" s="8"/>
      <c r="S231" s="3"/>
      <c r="T231" s="3"/>
      <c r="U231" s="3"/>
      <c r="V231" s="8"/>
      <c r="W231" s="3"/>
      <c r="X231" s="3"/>
      <c r="Y231" s="3"/>
      <c r="Z231" s="8"/>
    </row>
    <row r="232" spans="1:26" s="23" customFormat="1" ht="15" thickBot="1" x14ac:dyDescent="0.35">
      <c r="A232" s="10"/>
      <c r="B232" s="25" t="s">
        <v>293</v>
      </c>
      <c r="C232" s="25"/>
      <c r="D232" s="36">
        <f>SUM(D229:D231)</f>
        <v>-118077.53999999986</v>
      </c>
      <c r="E232" s="13"/>
      <c r="F232" s="33">
        <f>IF(D$12=0,0,D232/D$12)</f>
        <v>-0.38082198823213559</v>
      </c>
      <c r="G232" s="13"/>
      <c r="H232" s="36">
        <f>SUM(H229:H231)</f>
        <v>-20897.339999999997</v>
      </c>
      <c r="I232" s="13"/>
      <c r="J232" s="33">
        <f>IF(H$12=0,0,H232/H$12)</f>
        <v>-0.18831070643886513</v>
      </c>
      <c r="K232" s="16"/>
      <c r="L232" s="36">
        <f>+D232-H232</f>
        <v>-97180.199999999866</v>
      </c>
      <c r="M232" s="16"/>
      <c r="N232" s="33">
        <f>IF(H232=0,0,L232/H232)</f>
        <v>4.6503621992081232</v>
      </c>
      <c r="O232" s="26"/>
      <c r="P232" s="36">
        <f>SUM(P229:P231)</f>
        <v>-381273.36999999912</v>
      </c>
      <c r="Q232" s="13"/>
      <c r="R232" s="33">
        <f>IF(P$12=0,0,P232/P$12)</f>
        <v>-0.11815700330902666</v>
      </c>
      <c r="S232" s="13"/>
      <c r="T232" s="36">
        <f>SUM(T229:T231)</f>
        <v>-521143.17999999941</v>
      </c>
      <c r="U232" s="13"/>
      <c r="V232" s="33">
        <f>IF(T$12=0,0,T232/T$12)</f>
        <v>-0.21119697063513962</v>
      </c>
      <c r="W232" s="16"/>
      <c r="X232" s="36">
        <f>+P232-T232</f>
        <v>139869.81000000029</v>
      </c>
      <c r="Y232" s="16"/>
      <c r="Z232" s="33">
        <f>IF(T232=0,0,X232/T232)</f>
        <v>-0.2683903682669328</v>
      </c>
    </row>
    <row r="233" spans="1:26" ht="15" thickTop="1" x14ac:dyDescent="0.3">
      <c r="A233" s="9"/>
      <c r="C233" s="9"/>
      <c r="D233" s="17"/>
      <c r="E233" s="17"/>
      <c r="G233" s="17"/>
      <c r="H233" s="17"/>
      <c r="I233" s="17"/>
      <c r="J233" s="42"/>
      <c r="K233" s="17"/>
      <c r="L233" s="17"/>
      <c r="M233" s="17"/>
      <c r="P233" s="17"/>
      <c r="Q233" s="17"/>
      <c r="R233" s="42"/>
      <c r="S233" s="17"/>
      <c r="T233" s="17"/>
      <c r="U233" s="17"/>
      <c r="V233" s="42"/>
      <c r="W233" s="17"/>
      <c r="X233" s="17"/>
    </row>
    <row r="234" spans="1:26" x14ac:dyDescent="0.3">
      <c r="A234" s="9"/>
      <c r="B234" s="52">
        <v>44543.765563576388</v>
      </c>
      <c r="D234" s="17"/>
      <c r="E234" s="17"/>
      <c r="G234" s="17"/>
      <c r="H234" s="17"/>
      <c r="I234" s="17"/>
      <c r="J234" s="42"/>
      <c r="K234" s="17"/>
      <c r="L234" s="17"/>
      <c r="M234" s="17"/>
      <c r="P234" s="17"/>
      <c r="Q234" s="17"/>
      <c r="R234" s="42"/>
      <c r="S234" s="17"/>
      <c r="T234" s="17"/>
      <c r="U234" s="17"/>
      <c r="V234" s="42"/>
      <c r="W234" s="17"/>
      <c r="X234" s="17"/>
    </row>
    <row r="235" spans="1:26" x14ac:dyDescent="0.3">
      <c r="A235" s="9"/>
      <c r="B235" s="59" t="s">
        <v>56</v>
      </c>
      <c r="D235" s="17"/>
      <c r="E235" s="17"/>
      <c r="G235" s="17"/>
      <c r="H235" s="17"/>
      <c r="I235" s="17"/>
      <c r="J235" s="42"/>
      <c r="K235" s="17"/>
      <c r="L235" s="17"/>
      <c r="M235" s="17"/>
      <c r="P235" s="17"/>
      <c r="Q235" s="17"/>
      <c r="R235" s="42"/>
      <c r="S235" s="17"/>
      <c r="T235" s="17"/>
      <c r="U235" s="17"/>
      <c r="V235" s="42"/>
      <c r="W235" s="17"/>
      <c r="X235" s="17"/>
    </row>
    <row r="236" spans="1:26" x14ac:dyDescent="0.3">
      <c r="A236" s="9"/>
      <c r="B236" s="61"/>
      <c r="D236" s="17"/>
      <c r="E236" s="17"/>
      <c r="G236" s="17"/>
      <c r="H236" s="17"/>
      <c r="I236" s="17"/>
      <c r="J236" s="42"/>
      <c r="K236" s="17"/>
      <c r="L236" s="17"/>
      <c r="M236" s="17"/>
      <c r="P236" s="17"/>
      <c r="Q236" s="17"/>
      <c r="R236" s="42"/>
      <c r="S236" s="17"/>
      <c r="T236" s="17"/>
      <c r="U236" s="17"/>
      <c r="V236" s="42"/>
      <c r="W236" s="17"/>
      <c r="X236" s="17"/>
    </row>
    <row r="237" spans="1:26" x14ac:dyDescent="0.3">
      <c r="D237" s="17"/>
      <c r="E237" s="17"/>
      <c r="G237" s="17"/>
      <c r="H237" s="17"/>
      <c r="I237" s="17"/>
      <c r="J237" s="42"/>
      <c r="K237" s="17"/>
      <c r="L237" s="17"/>
      <c r="M237" s="17"/>
      <c r="P237" s="17"/>
      <c r="Q237" s="17"/>
      <c r="R237" s="42"/>
      <c r="S237" s="17"/>
      <c r="T237" s="17"/>
      <c r="U237" s="17"/>
      <c r="V237" s="42"/>
      <c r="W237" s="17"/>
      <c r="X237" s="17"/>
    </row>
  </sheetData>
  <pageMargins left="0.25" right="0.25" top="0.75" bottom="0.75" header="0.3" footer="0.3"/>
  <pageSetup scale="55" fitToWidth="2" orientation="landscape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outlinePr summaryBelow="0" summaryRight="0"/>
  </sheetPr>
  <dimension ref="A2:Z229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294738.4800000001</v>
      </c>
      <c r="E12" s="4"/>
      <c r="F12" s="12"/>
      <c r="G12" s="4"/>
      <c r="H12" s="4">
        <f>SUM(OSRRefH13x_0)</f>
        <v>110972.66000000003</v>
      </c>
      <c r="I12" s="4"/>
      <c r="J12" s="12"/>
      <c r="K12" s="4"/>
      <c r="L12" s="4">
        <f t="shared" ref="L12:L77" si="0">+D12-H12</f>
        <v>183765.82000000007</v>
      </c>
      <c r="M12" s="4"/>
      <c r="N12" s="12">
        <f t="shared" ref="N12:N77" si="1">IF(H12=0,0,L12/H12)</f>
        <v>1.6559558002845025</v>
      </c>
      <c r="O12" s="10"/>
      <c r="P12" s="4">
        <f>SUM(OSRRefP13x_0)</f>
        <v>3162907.55</v>
      </c>
      <c r="Q12" s="4"/>
      <c r="R12" s="12"/>
      <c r="S12" s="4"/>
      <c r="T12" s="4">
        <f>SUM(OSRRefT13x_0)</f>
        <v>2464982.92</v>
      </c>
      <c r="U12" s="4"/>
      <c r="V12" s="12"/>
      <c r="W12" s="4"/>
      <c r="X12" s="4">
        <f t="shared" ref="X12:X77" si="2">+P12-T12</f>
        <v>697924.62999999989</v>
      </c>
      <c r="Y12" s="4"/>
      <c r="Z12" s="12">
        <f t="shared" ref="Z12:Z77" si="3">IF(T12=0,0,X12/T12)</f>
        <v>0.28313568598682215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--262588.59</f>
        <v>262588.59000000003</v>
      </c>
      <c r="E13" s="2"/>
      <c r="F13" s="19"/>
      <c r="G13" s="2"/>
      <c r="H13" s="2">
        <f>-9538.33</f>
        <v>-9538.33</v>
      </c>
      <c r="I13" s="2"/>
      <c r="J13" s="19"/>
      <c r="K13" s="2"/>
      <c r="L13" s="2">
        <f t="shared" si="0"/>
        <v>272126.92000000004</v>
      </c>
      <c r="M13" s="2"/>
      <c r="N13" s="19">
        <f t="shared" si="1"/>
        <v>-28.529828596829848</v>
      </c>
      <c r="O13" s="11"/>
      <c r="P13" s="2">
        <f>--2632102.79</f>
        <v>2632102.79</v>
      </c>
      <c r="Q13" s="2"/>
      <c r="R13" s="19"/>
      <c r="S13" s="2"/>
      <c r="T13" s="2">
        <f>-56998.65</f>
        <v>-56998.65</v>
      </c>
      <c r="U13" s="2"/>
      <c r="V13" s="19"/>
      <c r="W13" s="2"/>
      <c r="X13" s="2">
        <f t="shared" si="2"/>
        <v>2689101.44</v>
      </c>
      <c r="Y13" s="2"/>
      <c r="Z13" s="19">
        <f t="shared" si="3"/>
        <v>-47.178335627247307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3" si="4">0</f>
        <v>0</v>
      </c>
      <c r="E14" s="2"/>
      <c r="F14" s="19"/>
      <c r="G14" s="2"/>
      <c r="H14" s="2">
        <f>--6816.45</f>
        <v>6816.45</v>
      </c>
      <c r="I14" s="2"/>
      <c r="J14" s="19"/>
      <c r="K14" s="2"/>
      <c r="L14" s="2">
        <f t="shared" si="0"/>
        <v>-6816.45</v>
      </c>
      <c r="M14" s="2"/>
      <c r="N14" s="19">
        <f t="shared" si="1"/>
        <v>-1</v>
      </c>
      <c r="O14" s="11"/>
      <c r="P14" s="2">
        <f t="shared" ref="P14:P33" si="5">0</f>
        <v>0</v>
      </c>
      <c r="Q14" s="2"/>
      <c r="R14" s="19"/>
      <c r="S14" s="2"/>
      <c r="T14" s="2">
        <f>--719144.02</f>
        <v>719144.02</v>
      </c>
      <c r="U14" s="2"/>
      <c r="V14" s="19"/>
      <c r="W14" s="2"/>
      <c r="X14" s="2">
        <f t="shared" si="2"/>
        <v>-719144.02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--1492.1</f>
        <v>1492.1</v>
      </c>
      <c r="I15" s="2"/>
      <c r="J15" s="19"/>
      <c r="K15" s="2"/>
      <c r="L15" s="2">
        <f t="shared" si="0"/>
        <v>-1492.1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--320631.62</f>
        <v>320631.62</v>
      </c>
      <c r="U15" s="2"/>
      <c r="V15" s="19"/>
      <c r="W15" s="2"/>
      <c r="X15" s="2">
        <f t="shared" si="2"/>
        <v>-320631.62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--18.37</f>
        <v>18.37</v>
      </c>
      <c r="I21" s="2"/>
      <c r="J21" s="19"/>
      <c r="K21" s="2"/>
      <c r="L21" s="2">
        <f t="shared" si="0"/>
        <v>-18.37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--297.2</f>
        <v>297.2</v>
      </c>
      <c r="U21" s="2"/>
      <c r="V21" s="19"/>
      <c r="W21" s="2"/>
      <c r="X21" s="2">
        <f t="shared" si="2"/>
        <v>-297.2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--1716.97</f>
        <v>1716.97</v>
      </c>
      <c r="I22" s="2"/>
      <c r="J22" s="19"/>
      <c r="K22" s="2"/>
      <c r="L22" s="2">
        <f t="shared" si="0"/>
        <v>-1716.97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--36720.47</f>
        <v>36720.47</v>
      </c>
      <c r="U22" s="2"/>
      <c r="V22" s="19"/>
      <c r="W22" s="2"/>
      <c r="X22" s="2">
        <f t="shared" si="2"/>
        <v>-36720.47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--1730.73</f>
        <v>1730.73</v>
      </c>
      <c r="I23" s="2"/>
      <c r="J23" s="19"/>
      <c r="K23" s="2"/>
      <c r="L23" s="2">
        <f t="shared" si="0"/>
        <v>-1730.73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--15999.58</f>
        <v>15999.58</v>
      </c>
      <c r="U23" s="2"/>
      <c r="V23" s="19"/>
      <c r="W23" s="2"/>
      <c r="X23" s="2">
        <f t="shared" si="2"/>
        <v>-15999.58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--194.65</f>
        <v>194.65</v>
      </c>
      <c r="I24" s="2"/>
      <c r="J24" s="19"/>
      <c r="K24" s="2"/>
      <c r="L24" s="2">
        <f t="shared" si="0"/>
        <v>-194.65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--1862.61</f>
        <v>1862.61</v>
      </c>
      <c r="U24" s="2"/>
      <c r="V24" s="19"/>
      <c r="W24" s="2"/>
      <c r="X24" s="2">
        <f t="shared" si="2"/>
        <v>-1862.61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--40927.79</f>
        <v>40927.79</v>
      </c>
      <c r="I26" s="2"/>
      <c r="J26" s="19"/>
      <c r="K26" s="2"/>
      <c r="L26" s="2">
        <f t="shared" si="0"/>
        <v>-40927.79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--423732.7</f>
        <v>423732.7</v>
      </c>
      <c r="U26" s="2"/>
      <c r="V26" s="19"/>
      <c r="W26" s="2"/>
      <c r="X26" s="2">
        <f t="shared" si="2"/>
        <v>-423732.7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--12313.27</f>
        <v>12313.27</v>
      </c>
      <c r="I27" s="2"/>
      <c r="J27" s="19"/>
      <c r="K27" s="2"/>
      <c r="L27" s="2">
        <f t="shared" si="0"/>
        <v>-12313.27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--165400.49</f>
        <v>165400.49</v>
      </c>
      <c r="U27" s="2"/>
      <c r="V27" s="19"/>
      <c r="W27" s="2"/>
      <c r="X27" s="2">
        <f t="shared" si="2"/>
        <v>-165400.49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--2095.44</f>
        <v>2095.44</v>
      </c>
      <c r="I28" s="2"/>
      <c r="J28" s="19"/>
      <c r="K28" s="2"/>
      <c r="L28" s="2">
        <f t="shared" si="0"/>
        <v>-2095.44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--56879.12</f>
        <v>56879.12</v>
      </c>
      <c r="U28" s="2"/>
      <c r="V28" s="19"/>
      <c r="W28" s="2"/>
      <c r="X28" s="2">
        <f t="shared" si="2"/>
        <v>-56879.12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--16932.18</f>
        <v>16932.18</v>
      </c>
      <c r="I29" s="2"/>
      <c r="J29" s="19"/>
      <c r="K29" s="2"/>
      <c r="L29" s="2">
        <f t="shared" si="0"/>
        <v>-16932.18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--57178.22</f>
        <v>57178.22</v>
      </c>
      <c r="U29" s="2"/>
      <c r="V29" s="19"/>
      <c r="W29" s="2"/>
      <c r="X29" s="2">
        <f t="shared" si="2"/>
        <v>-57178.22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--2517.35</f>
        <v>2517.35</v>
      </c>
      <c r="I30" s="2"/>
      <c r="J30" s="19"/>
      <c r="K30" s="2"/>
      <c r="L30" s="2">
        <f t="shared" si="0"/>
        <v>-2517.35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--15006.51</f>
        <v>15006.51</v>
      </c>
      <c r="U30" s="2"/>
      <c r="V30" s="19"/>
      <c r="W30" s="2"/>
      <c r="X30" s="2">
        <f t="shared" si="2"/>
        <v>-15006.51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--11255.56</f>
        <v>11255.56</v>
      </c>
      <c r="I31" s="2"/>
      <c r="J31" s="19"/>
      <c r="K31" s="2"/>
      <c r="L31" s="2">
        <f t="shared" si="0"/>
        <v>-11255.56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--108212.17</f>
        <v>108212.17</v>
      </c>
      <c r="U31" s="2"/>
      <c r="V31" s="19"/>
      <c r="W31" s="2"/>
      <c r="X31" s="2">
        <f t="shared" si="2"/>
        <v>-108212.17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 t="shared" ref="H32:H33" si="8">0</f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5"/>
        <v>0</v>
      </c>
      <c r="Q32" s="2"/>
      <c r="R32" s="19"/>
      <c r="S32" s="2"/>
      <c r="T32" s="2">
        <f>--71.95</f>
        <v>71.95</v>
      </c>
      <c r="U32" s="2"/>
      <c r="V32" s="19"/>
      <c r="W32" s="2"/>
      <c r="X32" s="2">
        <f t="shared" si="2"/>
        <v>-71.95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"4083", " - ", "TAXABLE SALES-COMPUTER EQUIPME")</f>
        <v xml:space="preserve">          4083 - TAXABLE SALES-COMPUTER EQUIPME</v>
      </c>
      <c r="C33" s="11"/>
      <c r="D33" s="2">
        <f t="shared" si="4"/>
        <v>0</v>
      </c>
      <c r="E33" s="2"/>
      <c r="F33" s="19"/>
      <c r="G33" s="2"/>
      <c r="H33" s="2">
        <f t="shared" si="8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5"/>
        <v>0</v>
      </c>
      <c r="Q33" s="2"/>
      <c r="R33" s="19"/>
      <c r="S33" s="2"/>
      <c r="T33" s="2">
        <f>--9.99</f>
        <v>9.99</v>
      </c>
      <c r="U33" s="2"/>
      <c r="V33" s="19"/>
      <c r="W33" s="2"/>
      <c r="X33" s="2">
        <f t="shared" si="2"/>
        <v>-9.99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"4100", " - ", "NON-TAXABLE SALES")</f>
        <v xml:space="preserve">          4100 - NON-TAXABLE SALES</v>
      </c>
      <c r="C34" s="11"/>
      <c r="D34" s="2">
        <f>--49477.97</f>
        <v>49477.97</v>
      </c>
      <c r="E34" s="2"/>
      <c r="F34" s="19"/>
      <c r="G34" s="2"/>
      <c r="H34" s="2">
        <f>--1333.61</f>
        <v>1333.61</v>
      </c>
      <c r="I34" s="2"/>
      <c r="J34" s="19"/>
      <c r="K34" s="2"/>
      <c r="L34" s="2">
        <f t="shared" si="0"/>
        <v>48144.36</v>
      </c>
      <c r="M34" s="2"/>
      <c r="N34" s="19">
        <f t="shared" si="1"/>
        <v>36.100779088339173</v>
      </c>
      <c r="O34" s="11"/>
      <c r="P34" s="2">
        <f>--643932.83</f>
        <v>643932.82999999996</v>
      </c>
      <c r="Q34" s="2"/>
      <c r="R34" s="19"/>
      <c r="S34" s="2"/>
      <c r="T34" s="2">
        <f>--165813.42</f>
        <v>165813.42000000001</v>
      </c>
      <c r="U34" s="2"/>
      <c r="V34" s="19"/>
      <c r="W34" s="2"/>
      <c r="X34" s="2">
        <f t="shared" si="2"/>
        <v>478119.40999999992</v>
      </c>
      <c r="Y34" s="2"/>
      <c r="Z34" s="19">
        <f t="shared" si="3"/>
        <v>2.8834783698448527</v>
      </c>
    </row>
    <row r="35" spans="1:26" s="24" customFormat="1" hidden="1" outlineLevel="1" x14ac:dyDescent="0.3">
      <c r="A35" s="44"/>
      <c r="B35" s="11" t="str">
        <f>CONCATENATE("          ", "4101", " - ", "NON-TAXABLE SALES-NEW TEXT")</f>
        <v xml:space="preserve">          4101 - NON-TAXABLE SALES-NEW TEXT</v>
      </c>
      <c r="C35" s="11"/>
      <c r="D35" s="2">
        <f t="shared" ref="D35:D56" si="9">0</f>
        <v>0</v>
      </c>
      <c r="E35" s="2"/>
      <c r="F35" s="19"/>
      <c r="G35" s="2"/>
      <c r="H35" s="2">
        <f>--1270.83</f>
        <v>1270.83</v>
      </c>
      <c r="I35" s="2"/>
      <c r="J35" s="19"/>
      <c r="K35" s="2"/>
      <c r="L35" s="2">
        <f t="shared" si="0"/>
        <v>-1270.83</v>
      </c>
      <c r="M35" s="2"/>
      <c r="N35" s="19">
        <f t="shared" si="1"/>
        <v>-1</v>
      </c>
      <c r="O35" s="11"/>
      <c r="P35" s="2">
        <f t="shared" ref="P35:P56" si="10">0</f>
        <v>0</v>
      </c>
      <c r="Q35" s="2"/>
      <c r="R35" s="19"/>
      <c r="S35" s="2"/>
      <c r="T35" s="2">
        <f>--78935.72</f>
        <v>78935.72</v>
      </c>
      <c r="U35" s="2"/>
      <c r="V35" s="19"/>
      <c r="W35" s="2"/>
      <c r="X35" s="2">
        <f t="shared" si="2"/>
        <v>-78935.72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"4102", " - ", "NON-TAXABLE SALES-USED TEXT")</f>
        <v xml:space="preserve">          4102 - NON-TAXABLE SALES-USED TEXT</v>
      </c>
      <c r="C36" s="11"/>
      <c r="D36" s="2">
        <f t="shared" si="9"/>
        <v>0</v>
      </c>
      <c r="E36" s="2"/>
      <c r="F36" s="19"/>
      <c r="G36" s="2"/>
      <c r="H36" s="2">
        <f>--320.72</f>
        <v>320.72000000000003</v>
      </c>
      <c r="I36" s="2"/>
      <c r="J36" s="19"/>
      <c r="K36" s="2"/>
      <c r="L36" s="2">
        <f t="shared" si="0"/>
        <v>-320.72000000000003</v>
      </c>
      <c r="M36" s="2"/>
      <c r="N36" s="19">
        <f t="shared" si="1"/>
        <v>-1</v>
      </c>
      <c r="O36" s="11"/>
      <c r="P36" s="2">
        <f t="shared" si="10"/>
        <v>0</v>
      </c>
      <c r="Q36" s="2"/>
      <c r="R36" s="19"/>
      <c r="S36" s="2"/>
      <c r="T36" s="2">
        <f>--33033.19</f>
        <v>33033.19</v>
      </c>
      <c r="U36" s="2"/>
      <c r="V36" s="19"/>
      <c r="W36" s="2"/>
      <c r="X36" s="2">
        <f t="shared" si="2"/>
        <v>-33033.19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"4103", " - ", "NON-TAXABLE SALES-RENTAL TEXT")</f>
        <v xml:space="preserve">          4103 - NON-TAXABLE SALES-RENTAL TEXT</v>
      </c>
      <c r="C37" s="11"/>
      <c r="D37" s="2">
        <f t="shared" si="9"/>
        <v>0</v>
      </c>
      <c r="E37" s="2"/>
      <c r="F37" s="19"/>
      <c r="G37" s="2"/>
      <c r="H37" s="2">
        <f>0</f>
        <v>0</v>
      </c>
      <c r="I37" s="2"/>
      <c r="J37" s="19"/>
      <c r="K37" s="2"/>
      <c r="L37" s="2">
        <f t="shared" si="0"/>
        <v>0</v>
      </c>
      <c r="M37" s="2"/>
      <c r="N37" s="19">
        <f t="shared" si="1"/>
        <v>0</v>
      </c>
      <c r="O37" s="11"/>
      <c r="P37" s="2">
        <f t="shared" si="10"/>
        <v>0</v>
      </c>
      <c r="Q37" s="2"/>
      <c r="R37" s="19"/>
      <c r="S37" s="2"/>
      <c r="T37" s="2">
        <f>--284.97</f>
        <v>284.97000000000003</v>
      </c>
      <c r="U37" s="2"/>
      <c r="V37" s="19"/>
      <c r="W37" s="2"/>
      <c r="X37" s="2">
        <f t="shared" si="2"/>
        <v>-284.97000000000003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"4104", " - ", "NON-TAXABLE SALES-DIGITAL TEXT")</f>
        <v xml:space="preserve">          4104 - NON-TAXABLE SALES-DIGITAL TEXT</v>
      </c>
      <c r="C38" s="11"/>
      <c r="D38" s="2">
        <f t="shared" si="9"/>
        <v>0</v>
      </c>
      <c r="E38" s="2"/>
      <c r="F38" s="19"/>
      <c r="G38" s="2"/>
      <c r="H38" s="2">
        <f>--1414.19</f>
        <v>1414.19</v>
      </c>
      <c r="I38" s="2"/>
      <c r="J38" s="19"/>
      <c r="K38" s="2"/>
      <c r="L38" s="2">
        <f t="shared" si="0"/>
        <v>-1414.19</v>
      </c>
      <c r="M38" s="2"/>
      <c r="N38" s="19">
        <f t="shared" si="1"/>
        <v>-1</v>
      </c>
      <c r="O38" s="11"/>
      <c r="P38" s="2">
        <f t="shared" si="10"/>
        <v>0</v>
      </c>
      <c r="Q38" s="2"/>
      <c r="R38" s="19"/>
      <c r="S38" s="2"/>
      <c r="T38" s="2">
        <f>--294889.71</f>
        <v>294889.71000000002</v>
      </c>
      <c r="U38" s="2"/>
      <c r="V38" s="19"/>
      <c r="W38" s="2"/>
      <c r="X38" s="2">
        <f t="shared" si="2"/>
        <v>-294889.71000000002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"4113", " - ", "NON-TAXABLE SALES-TRADE BOOKS")</f>
        <v xml:space="preserve">          4113 - NON-TAXABLE SALES-TRADE BOOKS</v>
      </c>
      <c r="C39" s="11"/>
      <c r="D39" s="2">
        <f t="shared" si="9"/>
        <v>0</v>
      </c>
      <c r="E39" s="2"/>
      <c r="F39" s="19"/>
      <c r="G39" s="2"/>
      <c r="H39" s="2">
        <f>--630</f>
        <v>630</v>
      </c>
      <c r="I39" s="2"/>
      <c r="J39" s="19"/>
      <c r="K39" s="2"/>
      <c r="L39" s="2">
        <f t="shared" si="0"/>
        <v>-630</v>
      </c>
      <c r="M39" s="2"/>
      <c r="N39" s="19">
        <f t="shared" si="1"/>
        <v>-1</v>
      </c>
      <c r="O39" s="11"/>
      <c r="P39" s="2">
        <f t="shared" si="10"/>
        <v>0</v>
      </c>
      <c r="Q39" s="2"/>
      <c r="R39" s="19"/>
      <c r="S39" s="2"/>
      <c r="T39" s="2">
        <f>--2285.95</f>
        <v>2285.9499999999998</v>
      </c>
      <c r="U39" s="2"/>
      <c r="V39" s="19"/>
      <c r="W39" s="2"/>
      <c r="X39" s="2">
        <f t="shared" si="2"/>
        <v>-2285.9499999999998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"4118", " - ", "NON-TAXABLE SALES-STUDY GUIDES")</f>
        <v xml:space="preserve">          4118 - NON-TAXABLE SALES-STUDY GUIDES</v>
      </c>
      <c r="C40" s="11"/>
      <c r="D40" s="2">
        <f t="shared" si="9"/>
        <v>0</v>
      </c>
      <c r="E40" s="2"/>
      <c r="F40" s="19"/>
      <c r="G40" s="2"/>
      <c r="H40" s="2">
        <f>--27.8</f>
        <v>27.8</v>
      </c>
      <c r="I40" s="2"/>
      <c r="J40" s="19"/>
      <c r="K40" s="2"/>
      <c r="L40" s="2">
        <f t="shared" si="0"/>
        <v>-27.8</v>
      </c>
      <c r="M40" s="2"/>
      <c r="N40" s="19">
        <f t="shared" si="1"/>
        <v>-1</v>
      </c>
      <c r="O40" s="11"/>
      <c r="P40" s="2">
        <f t="shared" si="10"/>
        <v>0</v>
      </c>
      <c r="Q40" s="2"/>
      <c r="R40" s="19"/>
      <c r="S40" s="2"/>
      <c r="T40" s="2">
        <f>--233.43</f>
        <v>233.43</v>
      </c>
      <c r="U40" s="2"/>
      <c r="V40" s="19"/>
      <c r="W40" s="2"/>
      <c r="X40" s="2">
        <f t="shared" si="2"/>
        <v>-233.43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"4126", " - ", "NON-TAXABLE SALES-WRITING INST")</f>
        <v xml:space="preserve">          4126 - NON-TAXABLE SALES-WRITING INST</v>
      </c>
      <c r="C41" s="11"/>
      <c r="D41" s="2">
        <f t="shared" si="9"/>
        <v>0</v>
      </c>
      <c r="E41" s="2"/>
      <c r="F41" s="19"/>
      <c r="G41" s="2"/>
      <c r="H41" s="2">
        <f>0</f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si="10"/>
        <v>0</v>
      </c>
      <c r="Q41" s="2"/>
      <c r="R41" s="19"/>
      <c r="S41" s="2"/>
      <c r="T41" s="2">
        <f>--52.68</f>
        <v>52.68</v>
      </c>
      <c r="U41" s="2"/>
      <c r="V41" s="19"/>
      <c r="W41" s="2"/>
      <c r="X41" s="2">
        <f t="shared" si="2"/>
        <v>-52.68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"4127", " - ", "NON-TAXABLE SALES-SCHOOL SUPPL")</f>
        <v xml:space="preserve">          4127 - NON-TAXABLE SALES-SCHOOL SUPPL</v>
      </c>
      <c r="C42" s="11"/>
      <c r="D42" s="2">
        <f t="shared" si="9"/>
        <v>0</v>
      </c>
      <c r="E42" s="2"/>
      <c r="F42" s="19"/>
      <c r="G42" s="2"/>
      <c r="H42" s="2">
        <f>--114.89</f>
        <v>114.89</v>
      </c>
      <c r="I42" s="2"/>
      <c r="J42" s="19"/>
      <c r="K42" s="2"/>
      <c r="L42" s="2">
        <f t="shared" si="0"/>
        <v>-114.89</v>
      </c>
      <c r="M42" s="2"/>
      <c r="N42" s="19">
        <f t="shared" si="1"/>
        <v>-1</v>
      </c>
      <c r="O42" s="11"/>
      <c r="P42" s="2">
        <f t="shared" si="10"/>
        <v>0</v>
      </c>
      <c r="Q42" s="2"/>
      <c r="R42" s="19"/>
      <c r="S42" s="2"/>
      <c r="T42" s="2">
        <f>--2946.58</f>
        <v>2946.58</v>
      </c>
      <c r="U42" s="2"/>
      <c r="V42" s="19"/>
      <c r="W42" s="2"/>
      <c r="X42" s="2">
        <f t="shared" si="2"/>
        <v>-2946.58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"4128", " - ", "NON-TAXABLE SALES-ART/TECH")</f>
        <v xml:space="preserve">          4128 - NON-TAXABLE SALES-ART/TECH</v>
      </c>
      <c r="C43" s="11"/>
      <c r="D43" s="2">
        <f t="shared" si="9"/>
        <v>0</v>
      </c>
      <c r="E43" s="2"/>
      <c r="F43" s="19"/>
      <c r="G43" s="2"/>
      <c r="H43" s="2">
        <f>--24.78</f>
        <v>24.78</v>
      </c>
      <c r="I43" s="2"/>
      <c r="J43" s="19"/>
      <c r="K43" s="2"/>
      <c r="L43" s="2">
        <f t="shared" si="0"/>
        <v>-24.78</v>
      </c>
      <c r="M43" s="2"/>
      <c r="N43" s="19">
        <f t="shared" si="1"/>
        <v>-1</v>
      </c>
      <c r="O43" s="11"/>
      <c r="P43" s="2">
        <f t="shared" si="10"/>
        <v>0</v>
      </c>
      <c r="Q43" s="2"/>
      <c r="R43" s="19"/>
      <c r="S43" s="2"/>
      <c r="T43" s="2">
        <f>--24.78</f>
        <v>24.78</v>
      </c>
      <c r="U43" s="2"/>
      <c r="V43" s="19"/>
      <c r="W43" s="2"/>
      <c r="X43" s="2">
        <f t="shared" si="2"/>
        <v>-24.78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"4131", " - ", "NON-TAXABLE SALES-FOOD")</f>
        <v xml:space="preserve">          4131 - NON-TAXABLE SALES-FOOD</v>
      </c>
      <c r="C44" s="11"/>
      <c r="D44" s="2">
        <f t="shared" si="9"/>
        <v>0</v>
      </c>
      <c r="E44" s="2"/>
      <c r="F44" s="19"/>
      <c r="G44" s="2"/>
      <c r="H44" s="2">
        <f>--983.89</f>
        <v>983.89</v>
      </c>
      <c r="I44" s="2"/>
      <c r="J44" s="19"/>
      <c r="K44" s="2"/>
      <c r="L44" s="2">
        <f t="shared" si="0"/>
        <v>-983.89</v>
      </c>
      <c r="M44" s="2"/>
      <c r="N44" s="19">
        <f t="shared" si="1"/>
        <v>-1</v>
      </c>
      <c r="O44" s="11"/>
      <c r="P44" s="2">
        <f t="shared" si="10"/>
        <v>0</v>
      </c>
      <c r="Q44" s="2"/>
      <c r="R44" s="19"/>
      <c r="S44" s="2"/>
      <c r="T44" s="2">
        <f>--6509.33</f>
        <v>6509.33</v>
      </c>
      <c r="U44" s="2"/>
      <c r="V44" s="19"/>
      <c r="W44" s="2"/>
      <c r="X44" s="2">
        <f t="shared" si="2"/>
        <v>-6509.33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"4132", " - ", "NON-TAXABLE SALES-JUICE")</f>
        <v xml:space="preserve">          4132 - NON-TAXABLE SALES-JUICE</v>
      </c>
      <c r="C45" s="11"/>
      <c r="D45" s="2">
        <f t="shared" si="9"/>
        <v>0</v>
      </c>
      <c r="E45" s="2"/>
      <c r="F45" s="19"/>
      <c r="G45" s="2"/>
      <c r="H45" s="2">
        <f t="shared" ref="H45:H48" si="11">0</f>
        <v>0</v>
      </c>
      <c r="I45" s="2"/>
      <c r="J45" s="19"/>
      <c r="K45" s="2"/>
      <c r="L45" s="2">
        <f t="shared" si="0"/>
        <v>0</v>
      </c>
      <c r="M45" s="2"/>
      <c r="N45" s="19">
        <f t="shared" si="1"/>
        <v>0</v>
      </c>
      <c r="O45" s="11"/>
      <c r="P45" s="2">
        <f t="shared" si="10"/>
        <v>0</v>
      </c>
      <c r="Q45" s="2"/>
      <c r="R45" s="19"/>
      <c r="S45" s="2"/>
      <c r="T45" s="2">
        <f>--22.49</f>
        <v>22.49</v>
      </c>
      <c r="U45" s="2"/>
      <c r="V45" s="19"/>
      <c r="W45" s="2"/>
      <c r="X45" s="2">
        <f t="shared" si="2"/>
        <v>-22.49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"4133", " - ", "NON-TAXABLE SALES-CANDY")</f>
        <v xml:space="preserve">          4133 - NON-TAXABLE SALES-CANDY</v>
      </c>
      <c r="C46" s="11"/>
      <c r="D46" s="2">
        <f t="shared" si="9"/>
        <v>0</v>
      </c>
      <c r="E46" s="2"/>
      <c r="F46" s="19"/>
      <c r="G46" s="2"/>
      <c r="H46" s="2">
        <f t="shared" si="11"/>
        <v>0</v>
      </c>
      <c r="I46" s="2"/>
      <c r="J46" s="19"/>
      <c r="K46" s="2"/>
      <c r="L46" s="2">
        <f t="shared" si="0"/>
        <v>0</v>
      </c>
      <c r="M46" s="2"/>
      <c r="N46" s="19">
        <f t="shared" si="1"/>
        <v>0</v>
      </c>
      <c r="O46" s="11"/>
      <c r="P46" s="2">
        <f t="shared" si="10"/>
        <v>0</v>
      </c>
      <c r="Q46" s="2"/>
      <c r="R46" s="19"/>
      <c r="S46" s="2"/>
      <c r="T46" s="2">
        <f>--80.71</f>
        <v>80.709999999999994</v>
      </c>
      <c r="U46" s="2"/>
      <c r="V46" s="19"/>
      <c r="W46" s="2"/>
      <c r="X46" s="2">
        <f t="shared" si="2"/>
        <v>-80.709999999999994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"4134", " - ", "NON-TAXABLE SALES-SODA")</f>
        <v xml:space="preserve">          4134 - NON-TAXABLE SALES-SODA</v>
      </c>
      <c r="C47" s="11"/>
      <c r="D47" s="2">
        <f t="shared" si="9"/>
        <v>0</v>
      </c>
      <c r="E47" s="2"/>
      <c r="F47" s="19"/>
      <c r="G47" s="2"/>
      <c r="H47" s="2">
        <f t="shared" si="11"/>
        <v>0</v>
      </c>
      <c r="I47" s="2"/>
      <c r="J47" s="19"/>
      <c r="K47" s="2"/>
      <c r="L47" s="2">
        <f t="shared" si="0"/>
        <v>0</v>
      </c>
      <c r="M47" s="2"/>
      <c r="N47" s="19">
        <f t="shared" si="1"/>
        <v>0</v>
      </c>
      <c r="O47" s="11"/>
      <c r="P47" s="2">
        <f t="shared" si="10"/>
        <v>0</v>
      </c>
      <c r="Q47" s="2"/>
      <c r="R47" s="19"/>
      <c r="S47" s="2"/>
      <c r="T47" s="2">
        <f>--45.53</f>
        <v>45.53</v>
      </c>
      <c r="U47" s="2"/>
      <c r="V47" s="19"/>
      <c r="W47" s="2"/>
      <c r="X47" s="2">
        <f t="shared" si="2"/>
        <v>-45.53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"4137", " - ", "NON-TAXABLE SALES-WATER")</f>
        <v xml:space="preserve">          4137 - NON-TAXABLE SALES-WATER</v>
      </c>
      <c r="C48" s="11"/>
      <c r="D48" s="2">
        <f t="shared" si="9"/>
        <v>0</v>
      </c>
      <c r="E48" s="2"/>
      <c r="F48" s="19"/>
      <c r="G48" s="2"/>
      <c r="H48" s="2">
        <f t="shared" si="11"/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10"/>
        <v>0</v>
      </c>
      <c r="Q48" s="2"/>
      <c r="R48" s="19"/>
      <c r="S48" s="2"/>
      <c r="T48" s="2">
        <f>--68.25</f>
        <v>68.25</v>
      </c>
      <c r="U48" s="2"/>
      <c r="V48" s="19"/>
      <c r="W48" s="2"/>
      <c r="X48" s="2">
        <f t="shared" si="2"/>
        <v>-68.25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"4140", " - ", "NON-TAXABLE SALES-LOGO CLOTHIN")</f>
        <v xml:space="preserve">          4140 - NON-TAXABLE SALES-LOGO CLOTHIN</v>
      </c>
      <c r="C49" s="11"/>
      <c r="D49" s="2">
        <f t="shared" si="9"/>
        <v>0</v>
      </c>
      <c r="E49" s="2"/>
      <c r="F49" s="19"/>
      <c r="G49" s="2"/>
      <c r="H49" s="2">
        <f>--19704.79</f>
        <v>19704.79</v>
      </c>
      <c r="I49" s="2"/>
      <c r="J49" s="19"/>
      <c r="K49" s="2"/>
      <c r="L49" s="2">
        <f t="shared" si="0"/>
        <v>-19704.79</v>
      </c>
      <c r="M49" s="2"/>
      <c r="N49" s="19">
        <f t="shared" si="1"/>
        <v>-1</v>
      </c>
      <c r="O49" s="11"/>
      <c r="P49" s="2">
        <f t="shared" si="10"/>
        <v>0</v>
      </c>
      <c r="Q49" s="2"/>
      <c r="R49" s="19"/>
      <c r="S49" s="2"/>
      <c r="T49" s="2">
        <f>--50320.27</f>
        <v>50320.27</v>
      </c>
      <c r="U49" s="2"/>
      <c r="V49" s="19"/>
      <c r="W49" s="2"/>
      <c r="X49" s="2">
        <f t="shared" si="2"/>
        <v>-50320.27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"4141", " - ", "NON-TAXABLE SALES-LOGO GIFTS")</f>
        <v xml:space="preserve">          4141 - NON-TAXABLE SALES-LOGO GIFTS</v>
      </c>
      <c r="C50" s="11"/>
      <c r="D50" s="2">
        <f t="shared" si="9"/>
        <v>0</v>
      </c>
      <c r="E50" s="2"/>
      <c r="F50" s="19"/>
      <c r="G50" s="2"/>
      <c r="H50" s="2">
        <f>--806.32</f>
        <v>806.32</v>
      </c>
      <c r="I50" s="2"/>
      <c r="J50" s="19"/>
      <c r="K50" s="2"/>
      <c r="L50" s="2">
        <f t="shared" si="0"/>
        <v>-806.32</v>
      </c>
      <c r="M50" s="2"/>
      <c r="N50" s="19">
        <f t="shared" si="1"/>
        <v>-1</v>
      </c>
      <c r="O50" s="11"/>
      <c r="P50" s="2">
        <f t="shared" si="10"/>
        <v>0</v>
      </c>
      <c r="Q50" s="2"/>
      <c r="R50" s="19"/>
      <c r="S50" s="2"/>
      <c r="T50" s="2">
        <f>--4189.02</f>
        <v>4189.0200000000004</v>
      </c>
      <c r="U50" s="2"/>
      <c r="V50" s="19"/>
      <c r="W50" s="2"/>
      <c r="X50" s="2">
        <f t="shared" si="2"/>
        <v>-4189.0200000000004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"4142", " - ", "NON-TAXABLE SALES-EVERYDAY GIF")</f>
        <v xml:space="preserve">          4142 - NON-TAXABLE SALES-EVERYDAY GIF</v>
      </c>
      <c r="C51" s="11"/>
      <c r="D51" s="2">
        <f t="shared" si="9"/>
        <v>0</v>
      </c>
      <c r="E51" s="2"/>
      <c r="F51" s="19"/>
      <c r="G51" s="2"/>
      <c r="H51" s="2">
        <f>--887.78</f>
        <v>887.78</v>
      </c>
      <c r="I51" s="2"/>
      <c r="J51" s="19"/>
      <c r="K51" s="2"/>
      <c r="L51" s="2">
        <f t="shared" si="0"/>
        <v>-887.78</v>
      </c>
      <c r="M51" s="2"/>
      <c r="N51" s="19">
        <f t="shared" si="1"/>
        <v>-1</v>
      </c>
      <c r="O51" s="11"/>
      <c r="P51" s="2">
        <f t="shared" si="10"/>
        <v>0</v>
      </c>
      <c r="Q51" s="2"/>
      <c r="R51" s="19"/>
      <c r="S51" s="2"/>
      <c r="T51" s="2">
        <f>--2208.19</f>
        <v>2208.19</v>
      </c>
      <c r="U51" s="2"/>
      <c r="V51" s="19"/>
      <c r="W51" s="2"/>
      <c r="X51" s="2">
        <f t="shared" si="2"/>
        <v>-2208.19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"4143", " - ", "NON-TAXABLE SALES-CARDS")</f>
        <v xml:space="preserve">          4143 - NON-TAXABLE SALES-CARDS</v>
      </c>
      <c r="C52" s="11"/>
      <c r="D52" s="2">
        <f t="shared" si="9"/>
        <v>0</v>
      </c>
      <c r="E52" s="2"/>
      <c r="F52" s="19"/>
      <c r="G52" s="2"/>
      <c r="H52" s="2">
        <f>--9.99</f>
        <v>9.99</v>
      </c>
      <c r="I52" s="2"/>
      <c r="J52" s="19"/>
      <c r="K52" s="2"/>
      <c r="L52" s="2">
        <f t="shared" si="0"/>
        <v>-9.99</v>
      </c>
      <c r="M52" s="2"/>
      <c r="N52" s="19">
        <f t="shared" si="1"/>
        <v>-1</v>
      </c>
      <c r="O52" s="11"/>
      <c r="P52" s="2">
        <f t="shared" si="10"/>
        <v>0</v>
      </c>
      <c r="Q52" s="2"/>
      <c r="R52" s="19"/>
      <c r="S52" s="2"/>
      <c r="T52" s="2">
        <f>--39.96</f>
        <v>39.96</v>
      </c>
      <c r="U52" s="2"/>
      <c r="V52" s="19"/>
      <c r="W52" s="2"/>
      <c r="X52" s="2">
        <f t="shared" si="2"/>
        <v>-39.96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"4144", " - ", "NON-TAXABLE SALES-ACCESSORIES")</f>
        <v xml:space="preserve">          4144 - NON-TAXABLE SALES-ACCESSORIES</v>
      </c>
      <c r="C53" s="11"/>
      <c r="D53" s="2">
        <f t="shared" si="9"/>
        <v>0</v>
      </c>
      <c r="E53" s="2"/>
      <c r="F53" s="19"/>
      <c r="G53" s="2"/>
      <c r="H53" s="2">
        <f>--19.95</f>
        <v>19.95</v>
      </c>
      <c r="I53" s="2"/>
      <c r="J53" s="19"/>
      <c r="K53" s="2"/>
      <c r="L53" s="2">
        <f t="shared" si="0"/>
        <v>-19.95</v>
      </c>
      <c r="M53" s="2"/>
      <c r="N53" s="19">
        <f t="shared" si="1"/>
        <v>-1</v>
      </c>
      <c r="O53" s="11"/>
      <c r="P53" s="2">
        <f t="shared" si="10"/>
        <v>0</v>
      </c>
      <c r="Q53" s="2"/>
      <c r="R53" s="19"/>
      <c r="S53" s="2"/>
      <c r="T53" s="2">
        <f>--389.7</f>
        <v>389.7</v>
      </c>
      <c r="U53" s="2"/>
      <c r="V53" s="19"/>
      <c r="W53" s="2"/>
      <c r="X53" s="2">
        <f t="shared" si="2"/>
        <v>-389.7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"4145", " - ", "NON-TAXABLE SALES-SPECIAL ORDE")</f>
        <v xml:space="preserve">          4145 - NON-TAXABLE SALES-SPECIAL ORDE</v>
      </c>
      <c r="C54" s="11"/>
      <c r="D54" s="2">
        <f t="shared" si="9"/>
        <v>0</v>
      </c>
      <c r="E54" s="2"/>
      <c r="F54" s="19"/>
      <c r="G54" s="2"/>
      <c r="H54" s="2">
        <f>--2800</f>
        <v>2800</v>
      </c>
      <c r="I54" s="2"/>
      <c r="J54" s="19"/>
      <c r="K54" s="2"/>
      <c r="L54" s="2">
        <f t="shared" si="0"/>
        <v>-2800</v>
      </c>
      <c r="M54" s="2"/>
      <c r="N54" s="19">
        <f t="shared" si="1"/>
        <v>-1</v>
      </c>
      <c r="O54" s="11"/>
      <c r="P54" s="2">
        <f t="shared" si="10"/>
        <v>0</v>
      </c>
      <c r="Q54" s="2"/>
      <c r="R54" s="19"/>
      <c r="S54" s="2"/>
      <c r="T54" s="2">
        <f>--38646</f>
        <v>38646</v>
      </c>
      <c r="U54" s="2"/>
      <c r="V54" s="19"/>
      <c r="W54" s="2"/>
      <c r="X54" s="2">
        <f t="shared" si="2"/>
        <v>-38646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"4146", " - ", "NON-TAXABLE SALES-COIN OP MACH")</f>
        <v xml:space="preserve">          4146 - NON-TAXABLE SALES-COIN OP MACH</v>
      </c>
      <c r="C55" s="11"/>
      <c r="D55" s="2">
        <f t="shared" si="9"/>
        <v>0</v>
      </c>
      <c r="E55" s="2"/>
      <c r="F55" s="19"/>
      <c r="G55" s="2"/>
      <c r="H55" s="2">
        <f>--21.5</f>
        <v>21.5</v>
      </c>
      <c r="I55" s="2"/>
      <c r="J55" s="19"/>
      <c r="K55" s="2"/>
      <c r="L55" s="2">
        <f t="shared" si="0"/>
        <v>-21.5</v>
      </c>
      <c r="M55" s="2"/>
      <c r="N55" s="19">
        <f t="shared" si="1"/>
        <v>-1</v>
      </c>
      <c r="O55" s="11"/>
      <c r="P55" s="2">
        <f t="shared" si="10"/>
        <v>0</v>
      </c>
      <c r="Q55" s="2"/>
      <c r="R55" s="19"/>
      <c r="S55" s="2"/>
      <c r="T55" s="2">
        <f>--108</f>
        <v>108</v>
      </c>
      <c r="U55" s="2"/>
      <c r="V55" s="19"/>
      <c r="W55" s="2"/>
      <c r="X55" s="2">
        <f t="shared" si="2"/>
        <v>-108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"4147", " - ", "NON-TAXABLE SALES-MISC")</f>
        <v xml:space="preserve">          4147 - NON-TAXABLE SALES-MISC</v>
      </c>
      <c r="C56" s="11"/>
      <c r="D56" s="2">
        <f t="shared" si="9"/>
        <v>0</v>
      </c>
      <c r="E56" s="2"/>
      <c r="F56" s="19"/>
      <c r="G56" s="2"/>
      <c r="H56" s="2">
        <f>--5</f>
        <v>5</v>
      </c>
      <c r="I56" s="2"/>
      <c r="J56" s="19"/>
      <c r="K56" s="2"/>
      <c r="L56" s="2">
        <f t="shared" si="0"/>
        <v>-5</v>
      </c>
      <c r="M56" s="2"/>
      <c r="N56" s="19">
        <f t="shared" si="1"/>
        <v>-1</v>
      </c>
      <c r="O56" s="11"/>
      <c r="P56" s="2">
        <f t="shared" si="10"/>
        <v>0</v>
      </c>
      <c r="Q56" s="2"/>
      <c r="R56" s="19"/>
      <c r="S56" s="2"/>
      <c r="T56" s="2">
        <f>--91.5</f>
        <v>91.5</v>
      </c>
      <c r="U56" s="2"/>
      <c r="V56" s="19"/>
      <c r="W56" s="2"/>
      <c r="X56" s="2">
        <f t="shared" si="2"/>
        <v>-91.5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"4200", " - ", "TAXABLE RETURNS")</f>
        <v xml:space="preserve">          4200 - TAXABLE RETURNS</v>
      </c>
      <c r="C57" s="11"/>
      <c r="D57" s="2">
        <f>-10145.23</f>
        <v>-10145.23</v>
      </c>
      <c r="E57" s="2"/>
      <c r="F57" s="19"/>
      <c r="G57" s="2"/>
      <c r="H57" s="2">
        <f>0</f>
        <v>0</v>
      </c>
      <c r="I57" s="2"/>
      <c r="J57" s="19"/>
      <c r="K57" s="2"/>
      <c r="L57" s="2">
        <f t="shared" si="0"/>
        <v>-10145.23</v>
      </c>
      <c r="M57" s="2"/>
      <c r="N57" s="19">
        <f t="shared" si="1"/>
        <v>0</v>
      </c>
      <c r="O57" s="11"/>
      <c r="P57" s="2">
        <f>-72538.2</f>
        <v>-72538.2</v>
      </c>
      <c r="Q57" s="2"/>
      <c r="R57" s="19"/>
      <c r="S57" s="2"/>
      <c r="T57" s="2">
        <f>0</f>
        <v>0</v>
      </c>
      <c r="U57" s="2"/>
      <c r="V57" s="19"/>
      <c r="W57" s="2"/>
      <c r="X57" s="2">
        <f t="shared" si="2"/>
        <v>-72538.2</v>
      </c>
      <c r="Y57" s="2"/>
      <c r="Z57" s="19">
        <f t="shared" si="3"/>
        <v>0</v>
      </c>
    </row>
    <row r="58" spans="1:26" s="24" customFormat="1" hidden="1" outlineLevel="1" x14ac:dyDescent="0.3">
      <c r="A58" s="44"/>
      <c r="B58" s="11" t="str">
        <f>CONCATENATE("          ", "4201", " - ", "SALES RETURN TAXABLE-NEW TEXT")</f>
        <v xml:space="preserve">          4201 - SALES RETURN TAXABLE-NEW TEXT</v>
      </c>
      <c r="C58" s="11"/>
      <c r="D58" s="2">
        <f t="shared" ref="D58:D69" si="12">0</f>
        <v>0</v>
      </c>
      <c r="E58" s="2"/>
      <c r="F58" s="19"/>
      <c r="G58" s="2"/>
      <c r="H58" s="2">
        <f>-1333.42</f>
        <v>-1333.42</v>
      </c>
      <c r="I58" s="2"/>
      <c r="J58" s="19"/>
      <c r="K58" s="2"/>
      <c r="L58" s="2">
        <f t="shared" si="0"/>
        <v>1333.42</v>
      </c>
      <c r="M58" s="2"/>
      <c r="N58" s="19">
        <f t="shared" si="1"/>
        <v>-1</v>
      </c>
      <c r="O58" s="11"/>
      <c r="P58" s="2">
        <f t="shared" ref="P58:P69" si="13">0</f>
        <v>0</v>
      </c>
      <c r="Q58" s="2"/>
      <c r="R58" s="19"/>
      <c r="S58" s="2"/>
      <c r="T58" s="2">
        <f>-35094.66</f>
        <v>-35094.660000000003</v>
      </c>
      <c r="U58" s="2"/>
      <c r="V58" s="19"/>
      <c r="W58" s="2"/>
      <c r="X58" s="2">
        <f t="shared" si="2"/>
        <v>35094.660000000003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"4202", " - ", "SALES RETURN TAXABLE-USED TEXT")</f>
        <v xml:space="preserve">          4202 - SALES RETURN TAXABLE-USED TEXT</v>
      </c>
      <c r="C59" s="11"/>
      <c r="D59" s="2">
        <f t="shared" si="12"/>
        <v>0</v>
      </c>
      <c r="E59" s="2"/>
      <c r="F59" s="19"/>
      <c r="G59" s="2"/>
      <c r="H59" s="2">
        <f>-3274.35</f>
        <v>-3274.35</v>
      </c>
      <c r="I59" s="2"/>
      <c r="J59" s="19"/>
      <c r="K59" s="2"/>
      <c r="L59" s="2">
        <f t="shared" si="0"/>
        <v>3274.35</v>
      </c>
      <c r="M59" s="2"/>
      <c r="N59" s="19">
        <f t="shared" si="1"/>
        <v>-1</v>
      </c>
      <c r="O59" s="11"/>
      <c r="P59" s="2">
        <f t="shared" si="13"/>
        <v>0</v>
      </c>
      <c r="Q59" s="2"/>
      <c r="R59" s="19"/>
      <c r="S59" s="2"/>
      <c r="T59" s="2">
        <f>-13803.35</f>
        <v>-13803.35</v>
      </c>
      <c r="U59" s="2"/>
      <c r="V59" s="19"/>
      <c r="W59" s="2"/>
      <c r="X59" s="2">
        <f t="shared" si="2"/>
        <v>13803.35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"4204", " - ", "SALES RETURN TAXABLE-DIGITAL T")</f>
        <v xml:space="preserve">          4204 - SALES RETURN TAXABLE-DIGITAL T</v>
      </c>
      <c r="C60" s="11"/>
      <c r="D60" s="2">
        <f t="shared" si="12"/>
        <v>0</v>
      </c>
      <c r="E60" s="2"/>
      <c r="F60" s="19"/>
      <c r="G60" s="2"/>
      <c r="H60" s="2">
        <f t="shared" ref="H60:H61" si="14">0</f>
        <v>0</v>
      </c>
      <c r="I60" s="2"/>
      <c r="J60" s="19"/>
      <c r="K60" s="2"/>
      <c r="L60" s="2">
        <f t="shared" si="0"/>
        <v>0</v>
      </c>
      <c r="M60" s="2"/>
      <c r="N60" s="19">
        <f t="shared" si="1"/>
        <v>0</v>
      </c>
      <c r="O60" s="11"/>
      <c r="P60" s="2">
        <f t="shared" si="13"/>
        <v>0</v>
      </c>
      <c r="Q60" s="2"/>
      <c r="R60" s="19"/>
      <c r="S60" s="2"/>
      <c r="T60" s="2">
        <f>-1630.85</f>
        <v>-1630.85</v>
      </c>
      <c r="U60" s="2"/>
      <c r="V60" s="19"/>
      <c r="W60" s="2"/>
      <c r="X60" s="2">
        <f t="shared" si="2"/>
        <v>1630.85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"4226", " - ", "SALES RETURN TAXABLE-WRITING I")</f>
        <v xml:space="preserve">          4226 - SALES RETURN TAXABLE-WRITING I</v>
      </c>
      <c r="C61" s="11"/>
      <c r="D61" s="2">
        <f t="shared" si="12"/>
        <v>0</v>
      </c>
      <c r="E61" s="2"/>
      <c r="F61" s="19"/>
      <c r="G61" s="2"/>
      <c r="H61" s="2">
        <f t="shared" si="14"/>
        <v>0</v>
      </c>
      <c r="I61" s="2"/>
      <c r="J61" s="19"/>
      <c r="K61" s="2"/>
      <c r="L61" s="2">
        <f t="shared" si="0"/>
        <v>0</v>
      </c>
      <c r="M61" s="2"/>
      <c r="N61" s="19">
        <f t="shared" si="1"/>
        <v>0</v>
      </c>
      <c r="O61" s="11"/>
      <c r="P61" s="2">
        <f t="shared" si="13"/>
        <v>0</v>
      </c>
      <c r="Q61" s="2"/>
      <c r="R61" s="19"/>
      <c r="S61" s="2"/>
      <c r="T61" s="2">
        <f>-34.23</f>
        <v>-34.229999999999997</v>
      </c>
      <c r="U61" s="2"/>
      <c r="V61" s="19"/>
      <c r="W61" s="2"/>
      <c r="X61" s="2">
        <f t="shared" si="2"/>
        <v>34.229999999999997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"4227", " - ", "SALES RETURN TAXABLE-SCHOOL SU")</f>
        <v xml:space="preserve">          4227 - SALES RETURN TAXABLE-SCHOOL SU</v>
      </c>
      <c r="C62" s="11"/>
      <c r="D62" s="2">
        <f t="shared" si="12"/>
        <v>0</v>
      </c>
      <c r="E62" s="2"/>
      <c r="F62" s="19"/>
      <c r="G62" s="2"/>
      <c r="H62" s="2">
        <f>-31.98</f>
        <v>-31.98</v>
      </c>
      <c r="I62" s="2"/>
      <c r="J62" s="19"/>
      <c r="K62" s="2"/>
      <c r="L62" s="2">
        <f t="shared" si="0"/>
        <v>31.98</v>
      </c>
      <c r="M62" s="2"/>
      <c r="N62" s="19">
        <f t="shared" si="1"/>
        <v>-1</v>
      </c>
      <c r="O62" s="11"/>
      <c r="P62" s="2">
        <f t="shared" si="13"/>
        <v>0</v>
      </c>
      <c r="Q62" s="2"/>
      <c r="R62" s="19"/>
      <c r="S62" s="2"/>
      <c r="T62" s="2">
        <f>-610.64</f>
        <v>-610.64</v>
      </c>
      <c r="U62" s="2"/>
      <c r="V62" s="19"/>
      <c r="W62" s="2"/>
      <c r="X62" s="2">
        <f t="shared" si="2"/>
        <v>610.64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"4228", " - ", "SALES RETURN TAXABLE-ART/TECH")</f>
        <v xml:space="preserve">          4228 - SALES RETURN TAXABLE-ART/TECH</v>
      </c>
      <c r="C63" s="11"/>
      <c r="D63" s="2">
        <f t="shared" si="12"/>
        <v>0</v>
      </c>
      <c r="E63" s="2"/>
      <c r="F63" s="19"/>
      <c r="G63" s="2"/>
      <c r="H63" s="2">
        <f>-32.49</f>
        <v>-32.49</v>
      </c>
      <c r="I63" s="2"/>
      <c r="J63" s="19"/>
      <c r="K63" s="2"/>
      <c r="L63" s="2">
        <f t="shared" si="0"/>
        <v>32.49</v>
      </c>
      <c r="M63" s="2"/>
      <c r="N63" s="19">
        <f t="shared" si="1"/>
        <v>-1</v>
      </c>
      <c r="O63" s="11"/>
      <c r="P63" s="2">
        <f t="shared" si="13"/>
        <v>0</v>
      </c>
      <c r="Q63" s="2"/>
      <c r="R63" s="19"/>
      <c r="S63" s="2"/>
      <c r="T63" s="2">
        <f>-254.69</f>
        <v>-254.69</v>
      </c>
      <c r="U63" s="2"/>
      <c r="V63" s="19"/>
      <c r="W63" s="2"/>
      <c r="X63" s="2">
        <f t="shared" si="2"/>
        <v>254.69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"4240", " - ", "SALES RETURN TAXABLE-LOGO CLOT")</f>
        <v xml:space="preserve">          4240 - SALES RETURN TAXABLE-LOGO CLOT</v>
      </c>
      <c r="C64" s="11"/>
      <c r="D64" s="2">
        <f t="shared" si="12"/>
        <v>0</v>
      </c>
      <c r="E64" s="2"/>
      <c r="F64" s="19"/>
      <c r="G64" s="2"/>
      <c r="H64" s="2">
        <f>-1729.15</f>
        <v>-1729.15</v>
      </c>
      <c r="I64" s="2"/>
      <c r="J64" s="19"/>
      <c r="K64" s="2"/>
      <c r="L64" s="2">
        <f t="shared" si="0"/>
        <v>1729.15</v>
      </c>
      <c r="M64" s="2"/>
      <c r="N64" s="19">
        <f t="shared" si="1"/>
        <v>-1</v>
      </c>
      <c r="O64" s="11"/>
      <c r="P64" s="2">
        <f t="shared" si="13"/>
        <v>0</v>
      </c>
      <c r="Q64" s="2"/>
      <c r="R64" s="19"/>
      <c r="S64" s="2"/>
      <c r="T64" s="2">
        <f>-15578.67</f>
        <v>-15578.67</v>
      </c>
      <c r="U64" s="2"/>
      <c r="V64" s="19"/>
      <c r="W64" s="2"/>
      <c r="X64" s="2">
        <f t="shared" si="2"/>
        <v>15578.67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"4241", " - ", "SALES RETURN TAXABLE-LOGO GIFT")</f>
        <v xml:space="preserve">          4241 - SALES RETURN TAXABLE-LOGO GIFT</v>
      </c>
      <c r="C65" s="11"/>
      <c r="D65" s="2">
        <f t="shared" si="12"/>
        <v>0</v>
      </c>
      <c r="E65" s="2"/>
      <c r="F65" s="19"/>
      <c r="G65" s="2"/>
      <c r="H65" s="2">
        <f>-108.29</f>
        <v>-108.29</v>
      </c>
      <c r="I65" s="2"/>
      <c r="J65" s="19"/>
      <c r="K65" s="2"/>
      <c r="L65" s="2">
        <f t="shared" si="0"/>
        <v>108.29</v>
      </c>
      <c r="M65" s="2"/>
      <c r="N65" s="19">
        <f t="shared" si="1"/>
        <v>-1</v>
      </c>
      <c r="O65" s="11"/>
      <c r="P65" s="2">
        <f t="shared" si="13"/>
        <v>0</v>
      </c>
      <c r="Q65" s="2"/>
      <c r="R65" s="19"/>
      <c r="S65" s="2"/>
      <c r="T65" s="2">
        <f>-2804.85</f>
        <v>-2804.85</v>
      </c>
      <c r="U65" s="2"/>
      <c r="V65" s="19"/>
      <c r="W65" s="2"/>
      <c r="X65" s="2">
        <f t="shared" si="2"/>
        <v>2804.85</v>
      </c>
      <c r="Y65" s="2"/>
      <c r="Z65" s="19">
        <f t="shared" si="3"/>
        <v>-1</v>
      </c>
    </row>
    <row r="66" spans="1:26" s="24" customFormat="1" hidden="1" outlineLevel="1" x14ac:dyDescent="0.3">
      <c r="A66" s="44"/>
      <c r="B66" s="11" t="str">
        <f>CONCATENATE("          ", "4242", " - ", "SALES RETURN TAXABLE-EVERYDAY")</f>
        <v xml:space="preserve">          4242 - SALES RETURN TAXABLE-EVERYDAY</v>
      </c>
      <c r="C66" s="11"/>
      <c r="D66" s="2">
        <f t="shared" si="12"/>
        <v>0</v>
      </c>
      <c r="E66" s="2"/>
      <c r="F66" s="19"/>
      <c r="G66" s="2"/>
      <c r="H66" s="2">
        <f>-7.48</f>
        <v>-7.48</v>
      </c>
      <c r="I66" s="2"/>
      <c r="J66" s="19"/>
      <c r="K66" s="2"/>
      <c r="L66" s="2">
        <f t="shared" si="0"/>
        <v>7.48</v>
      </c>
      <c r="M66" s="2"/>
      <c r="N66" s="19">
        <f t="shared" si="1"/>
        <v>-1</v>
      </c>
      <c r="O66" s="11"/>
      <c r="P66" s="2">
        <f t="shared" si="13"/>
        <v>0</v>
      </c>
      <c r="Q66" s="2"/>
      <c r="R66" s="19"/>
      <c r="S66" s="2"/>
      <c r="T66" s="2">
        <f>-1328.99</f>
        <v>-1328.99</v>
      </c>
      <c r="U66" s="2"/>
      <c r="V66" s="19"/>
      <c r="W66" s="2"/>
      <c r="X66" s="2">
        <f t="shared" si="2"/>
        <v>1328.99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"4243", " - ", "SALES RETURN TAXABLE-CARDS")</f>
        <v xml:space="preserve">          4243 - SALES RETURN TAXABLE-CARDS</v>
      </c>
      <c r="C67" s="11"/>
      <c r="D67" s="2">
        <f t="shared" si="12"/>
        <v>0</v>
      </c>
      <c r="E67" s="2"/>
      <c r="F67" s="19"/>
      <c r="G67" s="2"/>
      <c r="H67" s="2">
        <f>-829.54</f>
        <v>-829.54</v>
      </c>
      <c r="I67" s="2"/>
      <c r="J67" s="19"/>
      <c r="K67" s="2"/>
      <c r="L67" s="2">
        <f t="shared" si="0"/>
        <v>829.54</v>
      </c>
      <c r="M67" s="2"/>
      <c r="N67" s="19">
        <f t="shared" si="1"/>
        <v>-1</v>
      </c>
      <c r="O67" s="11"/>
      <c r="P67" s="2">
        <f t="shared" si="13"/>
        <v>0</v>
      </c>
      <c r="Q67" s="2"/>
      <c r="R67" s="19"/>
      <c r="S67" s="2"/>
      <c r="T67" s="2">
        <f>-1812.46</f>
        <v>-1812.46</v>
      </c>
      <c r="U67" s="2"/>
      <c r="V67" s="19"/>
      <c r="W67" s="2"/>
      <c r="X67" s="2">
        <f t="shared" si="2"/>
        <v>1812.46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"4244", " - ", "SALES RETURN TAXABLE-ACCESSORI")</f>
        <v xml:space="preserve">          4244 - SALES RETURN TAXABLE-ACCESSORI</v>
      </c>
      <c r="C68" s="11"/>
      <c r="D68" s="2">
        <f t="shared" si="12"/>
        <v>0</v>
      </c>
      <c r="E68" s="2"/>
      <c r="F68" s="19"/>
      <c r="G68" s="2"/>
      <c r="H68" s="2">
        <f>-179.95</f>
        <v>-179.95</v>
      </c>
      <c r="I68" s="2"/>
      <c r="J68" s="19"/>
      <c r="K68" s="2"/>
      <c r="L68" s="2">
        <f t="shared" si="0"/>
        <v>179.95</v>
      </c>
      <c r="M68" s="2"/>
      <c r="N68" s="19">
        <f t="shared" si="1"/>
        <v>-1</v>
      </c>
      <c r="O68" s="11"/>
      <c r="P68" s="2">
        <f t="shared" si="13"/>
        <v>0</v>
      </c>
      <c r="Q68" s="2"/>
      <c r="R68" s="19"/>
      <c r="S68" s="2"/>
      <c r="T68" s="2">
        <f>-590.94</f>
        <v>-590.94000000000005</v>
      </c>
      <c r="U68" s="2"/>
      <c r="V68" s="19"/>
      <c r="W68" s="2"/>
      <c r="X68" s="2">
        <f t="shared" si="2"/>
        <v>590.94000000000005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"4245", " - ", "SALES RETURN TAXABLE-SPECIAL O")</f>
        <v xml:space="preserve">          4245 - SALES RETURN TAXABLE-SPECIAL O</v>
      </c>
      <c r="C69" s="11"/>
      <c r="D69" s="2">
        <f t="shared" si="12"/>
        <v>0</v>
      </c>
      <c r="E69" s="2"/>
      <c r="F69" s="19"/>
      <c r="G69" s="2"/>
      <c r="H69" s="2">
        <f>-45.89</f>
        <v>-45.89</v>
      </c>
      <c r="I69" s="2"/>
      <c r="J69" s="19"/>
      <c r="K69" s="2"/>
      <c r="L69" s="2">
        <f t="shared" si="0"/>
        <v>45.89</v>
      </c>
      <c r="M69" s="2"/>
      <c r="N69" s="19">
        <f t="shared" si="1"/>
        <v>-1</v>
      </c>
      <c r="O69" s="11"/>
      <c r="P69" s="2">
        <f t="shared" si="13"/>
        <v>0</v>
      </c>
      <c r="Q69" s="2"/>
      <c r="R69" s="19"/>
      <c r="S69" s="2"/>
      <c r="T69" s="2">
        <f>-1592.82</f>
        <v>-1592.82</v>
      </c>
      <c r="U69" s="2"/>
      <c r="V69" s="19"/>
      <c r="W69" s="2"/>
      <c r="X69" s="2">
        <f t="shared" si="2"/>
        <v>1592.82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"4300", " - ", "NON-TAX RETURNS")</f>
        <v xml:space="preserve">          4300 - NON-TAX RETURNS</v>
      </c>
      <c r="C70" s="11"/>
      <c r="D70" s="2">
        <f>-700.92</f>
        <v>-700.92</v>
      </c>
      <c r="E70" s="2"/>
      <c r="F70" s="19"/>
      <c r="G70" s="2"/>
      <c r="H70" s="2">
        <f t="shared" ref="H70:H71" si="15">0</f>
        <v>0</v>
      </c>
      <c r="I70" s="2"/>
      <c r="J70" s="19"/>
      <c r="K70" s="2"/>
      <c r="L70" s="2">
        <f t="shared" si="0"/>
        <v>-700.92</v>
      </c>
      <c r="M70" s="2"/>
      <c r="N70" s="19">
        <f t="shared" si="1"/>
        <v>0</v>
      </c>
      <c r="O70" s="11"/>
      <c r="P70" s="2">
        <f>-26500.39</f>
        <v>-26500.39</v>
      </c>
      <c r="Q70" s="2"/>
      <c r="R70" s="19"/>
      <c r="S70" s="2"/>
      <c r="T70" s="2">
        <f>0</f>
        <v>0</v>
      </c>
      <c r="U70" s="2"/>
      <c r="V70" s="19"/>
      <c r="W70" s="2"/>
      <c r="X70" s="2">
        <f t="shared" si="2"/>
        <v>-26500.39</v>
      </c>
      <c r="Y70" s="2"/>
      <c r="Z70" s="19">
        <f t="shared" si="3"/>
        <v>0</v>
      </c>
    </row>
    <row r="71" spans="1:26" s="24" customFormat="1" hidden="1" outlineLevel="1" x14ac:dyDescent="0.3">
      <c r="A71" s="44"/>
      <c r="B71" s="11" t="str">
        <f>CONCATENATE("          ", "4301", " - ", "SALES RETURN NON TAXABLE-NEW T")</f>
        <v xml:space="preserve">          4301 - SALES RETURN NON TAXABLE-NEW T</v>
      </c>
      <c r="C71" s="11"/>
      <c r="D71" s="2">
        <f t="shared" ref="D71:D76" si="16">0</f>
        <v>0</v>
      </c>
      <c r="E71" s="2"/>
      <c r="F71" s="19"/>
      <c r="G71" s="2"/>
      <c r="H71" s="2">
        <f t="shared" si="15"/>
        <v>0</v>
      </c>
      <c r="I71" s="2"/>
      <c r="J71" s="19"/>
      <c r="K71" s="2"/>
      <c r="L71" s="2">
        <f t="shared" si="0"/>
        <v>0</v>
      </c>
      <c r="M71" s="2"/>
      <c r="N71" s="19">
        <f t="shared" si="1"/>
        <v>0</v>
      </c>
      <c r="O71" s="11"/>
      <c r="P71" s="2">
        <f t="shared" ref="P71:P76" si="17">0</f>
        <v>0</v>
      </c>
      <c r="Q71" s="2"/>
      <c r="R71" s="19"/>
      <c r="S71" s="2"/>
      <c r="T71" s="2">
        <f>-2376.17</f>
        <v>-2376.17</v>
      </c>
      <c r="U71" s="2"/>
      <c r="V71" s="19"/>
      <c r="W71" s="2"/>
      <c r="X71" s="2">
        <f t="shared" si="2"/>
        <v>2376.17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"4302", " - ", "SALES RETURN NON TAXABLE-TEXT")</f>
        <v xml:space="preserve">          4302 - SALES RETURN NON TAXABLE-TEXT</v>
      </c>
      <c r="C72" s="11"/>
      <c r="D72" s="2">
        <f t="shared" si="16"/>
        <v>0</v>
      </c>
      <c r="E72" s="2"/>
      <c r="F72" s="19"/>
      <c r="G72" s="2"/>
      <c r="H72" s="2">
        <f>-76.05</f>
        <v>-76.05</v>
      </c>
      <c r="I72" s="2"/>
      <c r="J72" s="19"/>
      <c r="K72" s="2"/>
      <c r="L72" s="2">
        <f t="shared" si="0"/>
        <v>76.05</v>
      </c>
      <c r="M72" s="2"/>
      <c r="N72" s="19">
        <f t="shared" si="1"/>
        <v>-1</v>
      </c>
      <c r="O72" s="11"/>
      <c r="P72" s="2">
        <f t="shared" si="17"/>
        <v>0</v>
      </c>
      <c r="Q72" s="2"/>
      <c r="R72" s="19"/>
      <c r="S72" s="2"/>
      <c r="T72" s="2">
        <f>-1392.85</f>
        <v>-1392.85</v>
      </c>
      <c r="U72" s="2"/>
      <c r="V72" s="19"/>
      <c r="W72" s="2"/>
      <c r="X72" s="2">
        <f t="shared" si="2"/>
        <v>1392.85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"4304", " - ", "SALES RETURN NON TAXABLE-DIGIT")</f>
        <v xml:space="preserve">          4304 - SALES RETURN NON TAXABLE-DIGIT</v>
      </c>
      <c r="C73" s="11"/>
      <c r="D73" s="2">
        <f t="shared" si="16"/>
        <v>0</v>
      </c>
      <c r="E73" s="2"/>
      <c r="F73" s="19"/>
      <c r="G73" s="2"/>
      <c r="H73" s="2">
        <f>-176.43</f>
        <v>-176.43</v>
      </c>
      <c r="I73" s="2"/>
      <c r="J73" s="19"/>
      <c r="K73" s="2"/>
      <c r="L73" s="2">
        <f t="shared" si="0"/>
        <v>176.43</v>
      </c>
      <c r="M73" s="2"/>
      <c r="N73" s="19">
        <f t="shared" si="1"/>
        <v>-1</v>
      </c>
      <c r="O73" s="11"/>
      <c r="P73" s="2">
        <f t="shared" si="17"/>
        <v>0</v>
      </c>
      <c r="Q73" s="2"/>
      <c r="R73" s="19"/>
      <c r="S73" s="2"/>
      <c r="T73" s="2">
        <f>-14278.54</f>
        <v>-14278.54</v>
      </c>
      <c r="U73" s="2"/>
      <c r="V73" s="19"/>
      <c r="W73" s="2"/>
      <c r="X73" s="2">
        <f t="shared" si="2"/>
        <v>14278.54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"4340", " - ", "SALES RETURN NON TAXABLE-LOGO")</f>
        <v xml:space="preserve">          4340 - SALES RETURN NON TAXABLE-LOGO</v>
      </c>
      <c r="C74" s="11"/>
      <c r="D74" s="2">
        <f t="shared" si="16"/>
        <v>0</v>
      </c>
      <c r="E74" s="2"/>
      <c r="F74" s="19"/>
      <c r="G74" s="2"/>
      <c r="H74" s="2">
        <f>-203.75</f>
        <v>-203.75</v>
      </c>
      <c r="I74" s="2"/>
      <c r="J74" s="19"/>
      <c r="K74" s="2"/>
      <c r="L74" s="2">
        <f t="shared" si="0"/>
        <v>203.75</v>
      </c>
      <c r="M74" s="2"/>
      <c r="N74" s="19">
        <f t="shared" si="1"/>
        <v>-1</v>
      </c>
      <c r="O74" s="11"/>
      <c r="P74" s="2">
        <f t="shared" si="17"/>
        <v>0</v>
      </c>
      <c r="Q74" s="2"/>
      <c r="R74" s="19"/>
      <c r="S74" s="2"/>
      <c r="T74" s="2">
        <f>-940.48</f>
        <v>-940.48</v>
      </c>
      <c r="U74" s="2"/>
      <c r="V74" s="19"/>
      <c r="W74" s="2"/>
      <c r="X74" s="2">
        <f t="shared" si="2"/>
        <v>940.48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"4341", " - ", "SALES RETURN NON TAXABLE-LOGO")</f>
        <v xml:space="preserve">          4341 - SALES RETURN NON TAXABLE-LOGO</v>
      </c>
      <c r="C75" s="11"/>
      <c r="D75" s="2">
        <f t="shared" si="16"/>
        <v>0</v>
      </c>
      <c r="E75" s="2"/>
      <c r="F75" s="19"/>
      <c r="G75" s="2"/>
      <c r="H75" s="2">
        <f>-154.89</f>
        <v>-154.88999999999999</v>
      </c>
      <c r="I75" s="2"/>
      <c r="J75" s="19"/>
      <c r="K75" s="2"/>
      <c r="L75" s="2">
        <f t="shared" si="0"/>
        <v>154.88999999999999</v>
      </c>
      <c r="M75" s="2"/>
      <c r="N75" s="19">
        <f t="shared" si="1"/>
        <v>-1</v>
      </c>
      <c r="O75" s="11"/>
      <c r="P75" s="2">
        <f t="shared" si="17"/>
        <v>0</v>
      </c>
      <c r="Q75" s="2"/>
      <c r="R75" s="19"/>
      <c r="S75" s="2"/>
      <c r="T75" s="2">
        <f>-301.79</f>
        <v>-301.79000000000002</v>
      </c>
      <c r="U75" s="2"/>
      <c r="V75" s="19"/>
      <c r="W75" s="2"/>
      <c r="X75" s="2">
        <f t="shared" si="2"/>
        <v>301.79000000000002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"4342", " - ", "SALES RETURN NON TAXABLE-EVERY")</f>
        <v xml:space="preserve">          4342 - SALES RETURN NON TAXABLE-EVERY</v>
      </c>
      <c r="C76" s="11"/>
      <c r="D76" s="2">
        <f t="shared" si="16"/>
        <v>0</v>
      </c>
      <c r="E76" s="2"/>
      <c r="F76" s="19"/>
      <c r="G76" s="2"/>
      <c r="H76" s="2">
        <f t="shared" ref="H76:H77" si="18">0</f>
        <v>0</v>
      </c>
      <c r="I76" s="2"/>
      <c r="J76" s="19"/>
      <c r="K76" s="2"/>
      <c r="L76" s="2">
        <f t="shared" si="0"/>
        <v>0</v>
      </c>
      <c r="M76" s="2"/>
      <c r="N76" s="19">
        <f t="shared" si="1"/>
        <v>0</v>
      </c>
      <c r="O76" s="11"/>
      <c r="P76" s="2">
        <f t="shared" si="17"/>
        <v>0</v>
      </c>
      <c r="Q76" s="2"/>
      <c r="R76" s="19"/>
      <c r="S76" s="2"/>
      <c r="T76" s="2">
        <f>-118.7</f>
        <v>-118.7</v>
      </c>
      <c r="U76" s="2"/>
      <c r="V76" s="19"/>
      <c r="W76" s="2"/>
      <c r="X76" s="2">
        <f t="shared" si="2"/>
        <v>118.7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"4500", " - ", "SALES DISCOUNT")</f>
        <v xml:space="preserve">          4500 - SALES DISCOUNT</v>
      </c>
      <c r="C77" s="11"/>
      <c r="D77" s="2">
        <f>-6481.93</f>
        <v>-6481.93</v>
      </c>
      <c r="E77" s="2"/>
      <c r="F77" s="19"/>
      <c r="G77" s="2"/>
      <c r="H77" s="2">
        <f t="shared" si="18"/>
        <v>0</v>
      </c>
      <c r="I77" s="2"/>
      <c r="J77" s="19"/>
      <c r="K77" s="2"/>
      <c r="L77" s="2">
        <f t="shared" si="0"/>
        <v>-6481.93</v>
      </c>
      <c r="M77" s="2"/>
      <c r="N77" s="19">
        <f t="shared" si="1"/>
        <v>0</v>
      </c>
      <c r="O77" s="11"/>
      <c r="P77" s="2">
        <f>-14089.48</f>
        <v>-14089.48</v>
      </c>
      <c r="Q77" s="2"/>
      <c r="R77" s="19"/>
      <c r="S77" s="2"/>
      <c r="T77" s="2">
        <f>0</f>
        <v>0</v>
      </c>
      <c r="U77" s="2"/>
      <c r="V77" s="19"/>
      <c r="W77" s="2"/>
      <c r="X77" s="2">
        <f t="shared" si="2"/>
        <v>-14089.48</v>
      </c>
      <c r="Y77" s="2"/>
      <c r="Z77" s="19">
        <f t="shared" si="3"/>
        <v>0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collapsed="1" x14ac:dyDescent="0.3">
      <c r="A79" s="10"/>
      <c r="B79" s="26" t="s">
        <v>256</v>
      </c>
      <c r="C79" s="10"/>
      <c r="D79" s="4">
        <f>SUM(OSRRefD16x_0)</f>
        <v>138076.09</v>
      </c>
      <c r="E79" s="4"/>
      <c r="F79" s="12">
        <f t="shared" ref="F79:F118" si="19">IF(D$12=0,0,D79/D$12)</f>
        <v>0.46846984486043342</v>
      </c>
      <c r="G79" s="4"/>
      <c r="H79" s="4">
        <f>SUM(OSRRefH16x_0)</f>
        <v>61344.100000000035</v>
      </c>
      <c r="I79" s="4"/>
      <c r="J79" s="12">
        <f t="shared" ref="J79:J118" si="20">IF(H$12=0,0,H79/H$12)</f>
        <v>0.55278570415451889</v>
      </c>
      <c r="K79" s="4"/>
      <c r="L79" s="4">
        <f t="shared" ref="L79:L118" si="21">+D79-H79</f>
        <v>76731.989999999962</v>
      </c>
      <c r="M79" s="4"/>
      <c r="N79" s="12">
        <f t="shared" ref="N79:N118" si="22">IF(H79=0,0,L79/H79)</f>
        <v>1.2508454765820987</v>
      </c>
      <c r="O79" s="10"/>
      <c r="P79" s="4">
        <f>SUM(OSRRefP16x_0)</f>
        <v>1953826.99</v>
      </c>
      <c r="Q79" s="4"/>
      <c r="R79" s="12">
        <f t="shared" ref="R79:R118" si="23">IF(P$12=0,0,P79/P$12)</f>
        <v>0.61773129916490921</v>
      </c>
      <c r="S79" s="4"/>
      <c r="T79" s="4">
        <f>SUM(OSRRefT16x_0)</f>
        <v>1601774.0300000005</v>
      </c>
      <c r="U79" s="4"/>
      <c r="V79" s="12">
        <f t="shared" ref="V79:V118" si="24">IF(T$12=0,0,T79/T$12)</f>
        <v>0.64981141126933262</v>
      </c>
      <c r="W79" s="4"/>
      <c r="X79" s="4">
        <f t="shared" ref="X79:X118" si="25">+P79-T79</f>
        <v>352052.9599999995</v>
      </c>
      <c r="Y79" s="4"/>
      <c r="Z79" s="12">
        <f t="shared" ref="Z79:Z118" si="26">IF(T79=0,0,X79/T79)</f>
        <v>0.21978940437684547</v>
      </c>
    </row>
    <row r="80" spans="1:26" s="24" customFormat="1" hidden="1" outlineLevel="1" x14ac:dyDescent="0.3">
      <c r="A80" s="44"/>
      <c r="B80" s="11" t="str">
        <f>CONCATENATE("          ", "5000", " - ", "PURCHASES @ COST")</f>
        <v xml:space="preserve">          5000 - PURCHASES @ COST</v>
      </c>
      <c r="C80" s="11"/>
      <c r="D80" s="2">
        <v>-67930.34</v>
      </c>
      <c r="E80" s="2"/>
      <c r="F80" s="19">
        <f t="shared" si="19"/>
        <v>-0.2304766584939977</v>
      </c>
      <c r="G80" s="2"/>
      <c r="H80" s="2"/>
      <c r="I80" s="2"/>
      <c r="J80" s="19">
        <f t="shared" si="20"/>
        <v>0</v>
      </c>
      <c r="K80" s="2"/>
      <c r="L80" s="2">
        <f t="shared" si="21"/>
        <v>-67930.34</v>
      </c>
      <c r="M80" s="2"/>
      <c r="N80" s="19">
        <f t="shared" si="22"/>
        <v>0</v>
      </c>
      <c r="O80" s="11"/>
      <c r="P80" s="2">
        <v>2248206.7799999998</v>
      </c>
      <c r="Q80" s="2"/>
      <c r="R80" s="19">
        <f t="shared" si="23"/>
        <v>0.71080382352623617</v>
      </c>
      <c r="S80" s="2"/>
      <c r="T80" s="2">
        <v>0</v>
      </c>
      <c r="U80" s="2"/>
      <c r="V80" s="19">
        <f t="shared" si="24"/>
        <v>0</v>
      </c>
      <c r="W80" s="2"/>
      <c r="X80" s="2">
        <f t="shared" si="25"/>
        <v>2248206.7799999998</v>
      </c>
      <c r="Y80" s="2"/>
      <c r="Z80" s="19">
        <f t="shared" si="26"/>
        <v>0</v>
      </c>
    </row>
    <row r="81" spans="1:26" s="24" customFormat="1" hidden="1" outlineLevel="1" x14ac:dyDescent="0.3">
      <c r="A81" s="44"/>
      <c r="B81" s="11" t="str">
        <f>CONCATENATE("          ", "5001", " - ", "PURCHASES @ COST-NEW TEXT")</f>
        <v xml:space="preserve">          5001 - PURCHASES @ COST-NEW TEXT</v>
      </c>
      <c r="C81" s="11"/>
      <c r="D81" s="2"/>
      <c r="E81" s="2"/>
      <c r="F81" s="19">
        <f t="shared" si="19"/>
        <v>0</v>
      </c>
      <c r="G81" s="2"/>
      <c r="H81" s="2">
        <v>-108601.35</v>
      </c>
      <c r="I81" s="2"/>
      <c r="J81" s="19">
        <f t="shared" si="20"/>
        <v>-0.978631583671149</v>
      </c>
      <c r="K81" s="2"/>
      <c r="L81" s="2">
        <f t="shared" si="21"/>
        <v>108601.35</v>
      </c>
      <c r="M81" s="2"/>
      <c r="N81" s="19">
        <f t="shared" si="22"/>
        <v>-1</v>
      </c>
      <c r="O81" s="11"/>
      <c r="P81" s="2">
        <v>0</v>
      </c>
      <c r="Q81" s="2"/>
      <c r="R81" s="19">
        <f t="shared" si="23"/>
        <v>0</v>
      </c>
      <c r="S81" s="2"/>
      <c r="T81" s="2">
        <v>1240595.48</v>
      </c>
      <c r="U81" s="2"/>
      <c r="V81" s="19">
        <f t="shared" si="24"/>
        <v>0.50328765766863814</v>
      </c>
      <c r="W81" s="2"/>
      <c r="X81" s="2">
        <f t="shared" si="25"/>
        <v>-1240595.48</v>
      </c>
      <c r="Y81" s="2"/>
      <c r="Z81" s="19">
        <f t="shared" si="26"/>
        <v>-1</v>
      </c>
    </row>
    <row r="82" spans="1:26" s="24" customFormat="1" hidden="1" outlineLevel="1" x14ac:dyDescent="0.3">
      <c r="A82" s="44"/>
      <c r="B82" s="11" t="str">
        <f>CONCATENATE("          ", "5002", " - ", "PURCHASES @ COST-USED TEXT")</f>
        <v xml:space="preserve">          5002 - PURCHASES @ COST-USED TEXT</v>
      </c>
      <c r="C82" s="11"/>
      <c r="D82" s="2"/>
      <c r="E82" s="2"/>
      <c r="F82" s="19">
        <f t="shared" si="19"/>
        <v>0</v>
      </c>
      <c r="G82" s="2"/>
      <c r="H82" s="2">
        <v>-208829.28</v>
      </c>
      <c r="I82" s="2"/>
      <c r="J82" s="19">
        <f t="shared" si="20"/>
        <v>-1.8818083661327027</v>
      </c>
      <c r="K82" s="2"/>
      <c r="L82" s="2">
        <f t="shared" si="21"/>
        <v>208829.28</v>
      </c>
      <c r="M82" s="2"/>
      <c r="N82" s="19">
        <f t="shared" si="22"/>
        <v>-1</v>
      </c>
      <c r="O82" s="11"/>
      <c r="P82" s="2">
        <v>0</v>
      </c>
      <c r="Q82" s="2"/>
      <c r="R82" s="19">
        <f t="shared" si="23"/>
        <v>0</v>
      </c>
      <c r="S82" s="2"/>
      <c r="T82" s="2">
        <v>94234.05</v>
      </c>
      <c r="U82" s="2"/>
      <c r="V82" s="19">
        <f t="shared" si="24"/>
        <v>3.8229088418998053E-2</v>
      </c>
      <c r="W82" s="2"/>
      <c r="X82" s="2">
        <f t="shared" si="25"/>
        <v>-94234.05</v>
      </c>
      <c r="Y82" s="2"/>
      <c r="Z82" s="19">
        <f t="shared" si="26"/>
        <v>-1</v>
      </c>
    </row>
    <row r="83" spans="1:26" s="24" customFormat="1" hidden="1" outlineLevel="1" x14ac:dyDescent="0.3">
      <c r="A83" s="44"/>
      <c r="B83" s="11" t="str">
        <f>CONCATENATE("          ", "5003", " - ", "PURCHASES @ COST-RENTAL TEXT")</f>
        <v xml:space="preserve">          5003 - PURCHASES @ COST-RENTAL TEXT</v>
      </c>
      <c r="C83" s="11"/>
      <c r="D83" s="2"/>
      <c r="E83" s="2"/>
      <c r="F83" s="19">
        <f t="shared" si="19"/>
        <v>0</v>
      </c>
      <c r="G83" s="2"/>
      <c r="H83" s="2">
        <v>517.92999999999995</v>
      </c>
      <c r="I83" s="2"/>
      <c r="J83" s="19">
        <f t="shared" si="20"/>
        <v>4.6671855932803614E-3</v>
      </c>
      <c r="K83" s="2"/>
      <c r="L83" s="2">
        <f t="shared" si="21"/>
        <v>-517.92999999999995</v>
      </c>
      <c r="M83" s="2"/>
      <c r="N83" s="19">
        <f t="shared" si="22"/>
        <v>-1</v>
      </c>
      <c r="O83" s="11"/>
      <c r="P83" s="2"/>
      <c r="Q83" s="2"/>
      <c r="R83" s="19">
        <f t="shared" si="23"/>
        <v>0</v>
      </c>
      <c r="S83" s="2"/>
      <c r="T83" s="2">
        <v>32.520000000000003</v>
      </c>
      <c r="U83" s="2"/>
      <c r="V83" s="19">
        <f t="shared" si="24"/>
        <v>1.3192789181679199E-5</v>
      </c>
      <c r="W83" s="2"/>
      <c r="X83" s="2">
        <f t="shared" si="25"/>
        <v>-32.520000000000003</v>
      </c>
      <c r="Y83" s="2"/>
      <c r="Z83" s="19">
        <f t="shared" si="26"/>
        <v>-1</v>
      </c>
    </row>
    <row r="84" spans="1:26" s="24" customFormat="1" hidden="1" outlineLevel="1" x14ac:dyDescent="0.3">
      <c r="A84" s="44"/>
      <c r="B84" s="11" t="str">
        <f>CONCATENATE("          ", "5004", " - ", "PURCHASES @ COST-DIGITAL TEXT")</f>
        <v xml:space="preserve">          5004 - PURCHASES @ COST-DIGITAL TEXT</v>
      </c>
      <c r="C84" s="11"/>
      <c r="D84" s="2"/>
      <c r="E84" s="2"/>
      <c r="F84" s="19">
        <f t="shared" si="19"/>
        <v>0</v>
      </c>
      <c r="G84" s="2"/>
      <c r="H84" s="2">
        <v>1418.58</v>
      </c>
      <c r="I84" s="2"/>
      <c r="J84" s="19">
        <f t="shared" si="20"/>
        <v>1.2783148570107263E-2</v>
      </c>
      <c r="K84" s="2"/>
      <c r="L84" s="2">
        <f t="shared" si="21"/>
        <v>-1418.58</v>
      </c>
      <c r="M84" s="2"/>
      <c r="N84" s="19">
        <f t="shared" si="22"/>
        <v>-1</v>
      </c>
      <c r="O84" s="11"/>
      <c r="P84" s="2">
        <v>0</v>
      </c>
      <c r="Q84" s="2"/>
      <c r="R84" s="19">
        <f t="shared" si="23"/>
        <v>0</v>
      </c>
      <c r="S84" s="2"/>
      <c r="T84" s="2">
        <v>196938.11</v>
      </c>
      <c r="U84" s="2"/>
      <c r="V84" s="19">
        <f t="shared" si="24"/>
        <v>7.9894310180453496E-2</v>
      </c>
      <c r="W84" s="2"/>
      <c r="X84" s="2">
        <f t="shared" si="25"/>
        <v>-196938.11</v>
      </c>
      <c r="Y84" s="2"/>
      <c r="Z84" s="19">
        <f t="shared" si="26"/>
        <v>-1</v>
      </c>
    </row>
    <row r="85" spans="1:26" s="24" customFormat="1" hidden="1" outlineLevel="1" x14ac:dyDescent="0.3">
      <c r="A85" s="44"/>
      <c r="B85" s="11" t="str">
        <f>CONCATENATE("          ", "5011", " - ", "PURCHASES @ COST-NO VALUE TEXT")</f>
        <v xml:space="preserve">          5011 - PURCHASES @ COST-NO VALUE TEXT</v>
      </c>
      <c r="C85" s="11"/>
      <c r="D85" s="2"/>
      <c r="E85" s="2"/>
      <c r="F85" s="19">
        <f t="shared" si="19"/>
        <v>0</v>
      </c>
      <c r="G85" s="2"/>
      <c r="H85" s="2"/>
      <c r="I85" s="2"/>
      <c r="J85" s="19">
        <f t="shared" si="20"/>
        <v>0</v>
      </c>
      <c r="K85" s="2"/>
      <c r="L85" s="2">
        <f t="shared" si="21"/>
        <v>0</v>
      </c>
      <c r="M85" s="2"/>
      <c r="N85" s="19">
        <f t="shared" si="22"/>
        <v>0</v>
      </c>
      <c r="O85" s="11"/>
      <c r="P85" s="2"/>
      <c r="Q85" s="2"/>
      <c r="R85" s="19">
        <f t="shared" si="23"/>
        <v>0</v>
      </c>
      <c r="S85" s="2"/>
      <c r="T85" s="2">
        <v>67.17</v>
      </c>
      <c r="U85" s="2"/>
      <c r="V85" s="19">
        <f t="shared" si="24"/>
        <v>2.7249681713818936E-5</v>
      </c>
      <c r="W85" s="2"/>
      <c r="X85" s="2">
        <f t="shared" si="25"/>
        <v>-67.17</v>
      </c>
      <c r="Y85" s="2"/>
      <c r="Z85" s="19">
        <f t="shared" si="26"/>
        <v>-1</v>
      </c>
    </row>
    <row r="86" spans="1:26" s="24" customFormat="1" hidden="1" outlineLevel="1" x14ac:dyDescent="0.3">
      <c r="A86" s="44"/>
      <c r="B86" s="11" t="str">
        <f>CONCATENATE("          ", "5013", " - ", "PURCHASES @ COST-TRADE BOOKS")</f>
        <v xml:space="preserve">          5013 - PURCHASES @ COST-TRADE BOOKS</v>
      </c>
      <c r="C86" s="11"/>
      <c r="D86" s="2"/>
      <c r="E86" s="2"/>
      <c r="F86" s="19">
        <f t="shared" si="19"/>
        <v>0</v>
      </c>
      <c r="G86" s="2"/>
      <c r="H86" s="2">
        <v>611.1</v>
      </c>
      <c r="I86" s="2"/>
      <c r="J86" s="19">
        <f t="shared" si="20"/>
        <v>5.5067617555531233E-3</v>
      </c>
      <c r="K86" s="2"/>
      <c r="L86" s="2">
        <f t="shared" si="21"/>
        <v>-611.1</v>
      </c>
      <c r="M86" s="2"/>
      <c r="N86" s="19">
        <f t="shared" si="22"/>
        <v>-1</v>
      </c>
      <c r="O86" s="11"/>
      <c r="P86" s="2"/>
      <c r="Q86" s="2"/>
      <c r="R86" s="19">
        <f t="shared" si="23"/>
        <v>0</v>
      </c>
      <c r="S86" s="2"/>
      <c r="T86" s="2">
        <v>2094.7399999999998</v>
      </c>
      <c r="U86" s="2"/>
      <c r="V86" s="19">
        <f t="shared" si="24"/>
        <v>8.4979899171066056E-4</v>
      </c>
      <c r="W86" s="2"/>
      <c r="X86" s="2">
        <f t="shared" si="25"/>
        <v>-2094.7399999999998</v>
      </c>
      <c r="Y86" s="2"/>
      <c r="Z86" s="19">
        <f t="shared" si="26"/>
        <v>-1</v>
      </c>
    </row>
    <row r="87" spans="1:26" s="24" customFormat="1" hidden="1" outlineLevel="1" x14ac:dyDescent="0.3">
      <c r="A87" s="44"/>
      <c r="B87" s="11" t="str">
        <f>CONCATENATE("          ", "5014", " - ", "PURCHASES @ COST-REMAINDERS")</f>
        <v xml:space="preserve">          5014 - PURCHASES @ COST-REMAINDERS</v>
      </c>
      <c r="C87" s="11"/>
      <c r="D87" s="2"/>
      <c r="E87" s="2"/>
      <c r="F87" s="19">
        <f t="shared" si="19"/>
        <v>0</v>
      </c>
      <c r="G87" s="2"/>
      <c r="H87" s="2"/>
      <c r="I87" s="2"/>
      <c r="J87" s="19">
        <f t="shared" si="20"/>
        <v>0</v>
      </c>
      <c r="K87" s="2"/>
      <c r="L87" s="2">
        <f t="shared" si="21"/>
        <v>0</v>
      </c>
      <c r="M87" s="2"/>
      <c r="N87" s="19">
        <f t="shared" si="22"/>
        <v>0</v>
      </c>
      <c r="O87" s="11"/>
      <c r="P87" s="2"/>
      <c r="Q87" s="2"/>
      <c r="R87" s="19">
        <f t="shared" si="23"/>
        <v>0</v>
      </c>
      <c r="S87" s="2"/>
      <c r="T87" s="2">
        <v>90.41</v>
      </c>
      <c r="U87" s="2"/>
      <c r="V87" s="19">
        <f t="shared" si="24"/>
        <v>3.6677738927294476E-5</v>
      </c>
      <c r="W87" s="2"/>
      <c r="X87" s="2">
        <f t="shared" si="25"/>
        <v>-90.41</v>
      </c>
      <c r="Y87" s="2"/>
      <c r="Z87" s="19">
        <f t="shared" si="26"/>
        <v>-1</v>
      </c>
    </row>
    <row r="88" spans="1:26" s="24" customFormat="1" hidden="1" outlineLevel="1" x14ac:dyDescent="0.3">
      <c r="A88" s="44"/>
      <c r="B88" s="11" t="str">
        <f>CONCATENATE("          ", "5018", " - ", "PURCHASES @ COST-STUDY GUIDES")</f>
        <v xml:space="preserve">          5018 - PURCHASES @ COST-STUDY GUIDES</v>
      </c>
      <c r="C88" s="11"/>
      <c r="D88" s="2"/>
      <c r="E88" s="2"/>
      <c r="F88" s="19">
        <f t="shared" si="19"/>
        <v>0</v>
      </c>
      <c r="G88" s="2"/>
      <c r="H88" s="2">
        <v>106.34</v>
      </c>
      <c r="I88" s="2"/>
      <c r="J88" s="19">
        <f t="shared" si="20"/>
        <v>9.5825404203161361E-4</v>
      </c>
      <c r="K88" s="2"/>
      <c r="L88" s="2">
        <f t="shared" si="21"/>
        <v>-106.34</v>
      </c>
      <c r="M88" s="2"/>
      <c r="N88" s="19">
        <f t="shared" si="22"/>
        <v>-1</v>
      </c>
      <c r="O88" s="11"/>
      <c r="P88" s="2"/>
      <c r="Q88" s="2"/>
      <c r="R88" s="19">
        <f t="shared" si="23"/>
        <v>0</v>
      </c>
      <c r="S88" s="2"/>
      <c r="T88" s="2">
        <v>106.34</v>
      </c>
      <c r="U88" s="2"/>
      <c r="V88" s="19">
        <f t="shared" si="24"/>
        <v>4.3140258351161316E-5</v>
      </c>
      <c r="W88" s="2"/>
      <c r="X88" s="2">
        <f t="shared" si="25"/>
        <v>-106.34</v>
      </c>
      <c r="Y88" s="2"/>
      <c r="Z88" s="19">
        <f t="shared" si="26"/>
        <v>-1</v>
      </c>
    </row>
    <row r="89" spans="1:26" s="24" customFormat="1" hidden="1" outlineLevel="1" x14ac:dyDescent="0.3">
      <c r="A89" s="44"/>
      <c r="B89" s="11" t="str">
        <f>CONCATENATE("          ", "5025", " - ", "PURCHASES @ COST-TEST FORMS")</f>
        <v xml:space="preserve">          5025 - PURCHASES @ COST-TEST FORMS</v>
      </c>
      <c r="C89" s="11"/>
      <c r="D89" s="2"/>
      <c r="E89" s="2"/>
      <c r="F89" s="19">
        <f t="shared" si="19"/>
        <v>0</v>
      </c>
      <c r="G89" s="2"/>
      <c r="H89" s="2"/>
      <c r="I89" s="2"/>
      <c r="J89" s="19">
        <f t="shared" si="20"/>
        <v>0</v>
      </c>
      <c r="K89" s="2"/>
      <c r="L89" s="2">
        <f t="shared" si="21"/>
        <v>0</v>
      </c>
      <c r="M89" s="2"/>
      <c r="N89" s="19">
        <f t="shared" si="22"/>
        <v>0</v>
      </c>
      <c r="O89" s="11"/>
      <c r="P89" s="2"/>
      <c r="Q89" s="2"/>
      <c r="R89" s="19">
        <f t="shared" si="23"/>
        <v>0</v>
      </c>
      <c r="S89" s="2"/>
      <c r="T89" s="2">
        <v>599.29</v>
      </c>
      <c r="U89" s="2"/>
      <c r="V89" s="19">
        <f t="shared" si="24"/>
        <v>2.4312136004577263E-4</v>
      </c>
      <c r="W89" s="2"/>
      <c r="X89" s="2">
        <f t="shared" si="25"/>
        <v>-599.29</v>
      </c>
      <c r="Y89" s="2"/>
      <c r="Z89" s="19">
        <f t="shared" si="26"/>
        <v>-1</v>
      </c>
    </row>
    <row r="90" spans="1:26" s="24" customFormat="1" hidden="1" outlineLevel="1" x14ac:dyDescent="0.3">
      <c r="A90" s="44"/>
      <c r="B90" s="11" t="str">
        <f>CONCATENATE("          ", "5026", " - ", "PURCHASES @ COST-WRITING INSTR")</f>
        <v xml:space="preserve">          5026 - PURCHASES @ COST-WRITING INSTR</v>
      </c>
      <c r="C90" s="11"/>
      <c r="D90" s="2"/>
      <c r="E90" s="2"/>
      <c r="F90" s="19">
        <f t="shared" si="19"/>
        <v>0</v>
      </c>
      <c r="G90" s="2"/>
      <c r="H90" s="2"/>
      <c r="I90" s="2"/>
      <c r="J90" s="19">
        <f t="shared" si="20"/>
        <v>0</v>
      </c>
      <c r="K90" s="2"/>
      <c r="L90" s="2">
        <f t="shared" si="21"/>
        <v>0</v>
      </c>
      <c r="M90" s="2"/>
      <c r="N90" s="19">
        <f t="shared" si="22"/>
        <v>0</v>
      </c>
      <c r="O90" s="11"/>
      <c r="P90" s="2">
        <v>0</v>
      </c>
      <c r="Q90" s="2"/>
      <c r="R90" s="19">
        <f t="shared" si="23"/>
        <v>0</v>
      </c>
      <c r="S90" s="2"/>
      <c r="T90" s="2">
        <v>380.02</v>
      </c>
      <c r="U90" s="2"/>
      <c r="V90" s="19">
        <f t="shared" si="24"/>
        <v>1.5416739682723644E-4</v>
      </c>
      <c r="W90" s="2"/>
      <c r="X90" s="2">
        <f t="shared" si="25"/>
        <v>-380.02</v>
      </c>
      <c r="Y90" s="2"/>
      <c r="Z90" s="19">
        <f t="shared" si="26"/>
        <v>-1</v>
      </c>
    </row>
    <row r="91" spans="1:26" s="24" customFormat="1" hidden="1" outlineLevel="1" x14ac:dyDescent="0.3">
      <c r="A91" s="44"/>
      <c r="B91" s="11" t="str">
        <f>CONCATENATE("          ", "5027", " - ", "PURCHASES @ COST-SCHOOL SUPPLI")</f>
        <v xml:space="preserve">          5027 - PURCHASES @ COST-SCHOOL SUPPLI</v>
      </c>
      <c r="C91" s="11"/>
      <c r="D91" s="2"/>
      <c r="E91" s="2"/>
      <c r="F91" s="19">
        <f t="shared" si="19"/>
        <v>0</v>
      </c>
      <c r="G91" s="2"/>
      <c r="H91" s="2"/>
      <c r="I91" s="2"/>
      <c r="J91" s="19">
        <f t="shared" si="20"/>
        <v>0</v>
      </c>
      <c r="K91" s="2"/>
      <c r="L91" s="2">
        <f t="shared" si="21"/>
        <v>0</v>
      </c>
      <c r="M91" s="2"/>
      <c r="N91" s="19">
        <f t="shared" si="22"/>
        <v>0</v>
      </c>
      <c r="O91" s="11"/>
      <c r="P91" s="2">
        <v>0</v>
      </c>
      <c r="Q91" s="2"/>
      <c r="R91" s="19">
        <f t="shared" si="23"/>
        <v>0</v>
      </c>
      <c r="S91" s="2"/>
      <c r="T91" s="2">
        <v>19071.349999999999</v>
      </c>
      <c r="U91" s="2"/>
      <c r="V91" s="19">
        <f t="shared" si="24"/>
        <v>7.7369095928664687E-3</v>
      </c>
      <c r="W91" s="2"/>
      <c r="X91" s="2">
        <f t="shared" si="25"/>
        <v>-19071.349999999999</v>
      </c>
      <c r="Y91" s="2"/>
      <c r="Z91" s="19">
        <f t="shared" si="26"/>
        <v>-1</v>
      </c>
    </row>
    <row r="92" spans="1:26" s="24" customFormat="1" hidden="1" outlineLevel="1" x14ac:dyDescent="0.3">
      <c r="A92" s="44"/>
      <c r="B92" s="11" t="str">
        <f>CONCATENATE("          ", "5028", " - ", "PURCHASES @ COST-ART/TECH")</f>
        <v xml:space="preserve">          5028 - PURCHASES @ COST-ART/TECH</v>
      </c>
      <c r="C92" s="11"/>
      <c r="D92" s="2"/>
      <c r="E92" s="2"/>
      <c r="F92" s="19">
        <f t="shared" si="19"/>
        <v>0</v>
      </c>
      <c r="G92" s="2"/>
      <c r="H92" s="2">
        <v>15.89</v>
      </c>
      <c r="I92" s="2"/>
      <c r="J92" s="19">
        <f t="shared" si="20"/>
        <v>1.431884213643252E-4</v>
      </c>
      <c r="K92" s="2"/>
      <c r="L92" s="2">
        <f t="shared" si="21"/>
        <v>-15.89</v>
      </c>
      <c r="M92" s="2"/>
      <c r="N92" s="19">
        <f t="shared" si="22"/>
        <v>-1</v>
      </c>
      <c r="O92" s="11"/>
      <c r="P92" s="2">
        <v>0</v>
      </c>
      <c r="Q92" s="2"/>
      <c r="R92" s="19">
        <f t="shared" si="23"/>
        <v>0</v>
      </c>
      <c r="S92" s="2"/>
      <c r="T92" s="2">
        <v>41358.449999999997</v>
      </c>
      <c r="U92" s="2"/>
      <c r="V92" s="19">
        <f t="shared" si="24"/>
        <v>1.677839211965006E-2</v>
      </c>
      <c r="W92" s="2"/>
      <c r="X92" s="2">
        <f t="shared" si="25"/>
        <v>-41358.449999999997</v>
      </c>
      <c r="Y92" s="2"/>
      <c r="Z92" s="19">
        <f t="shared" si="26"/>
        <v>-1</v>
      </c>
    </row>
    <row r="93" spans="1:26" s="24" customFormat="1" hidden="1" outlineLevel="1" x14ac:dyDescent="0.3">
      <c r="A93" s="44"/>
      <c r="B93" s="11" t="str">
        <f>CONCATENATE("          ", "5031", " - ", "PURCHASES @ COST-FOOD")</f>
        <v xml:space="preserve">          5031 - PURCHASES @ COST-FOOD</v>
      </c>
      <c r="C93" s="11"/>
      <c r="D93" s="2"/>
      <c r="E93" s="2"/>
      <c r="F93" s="19">
        <f t="shared" si="19"/>
        <v>0</v>
      </c>
      <c r="G93" s="2"/>
      <c r="H93" s="2"/>
      <c r="I93" s="2"/>
      <c r="J93" s="19">
        <f t="shared" si="20"/>
        <v>0</v>
      </c>
      <c r="K93" s="2"/>
      <c r="L93" s="2">
        <f t="shared" si="21"/>
        <v>0</v>
      </c>
      <c r="M93" s="2"/>
      <c r="N93" s="19">
        <f t="shared" si="22"/>
        <v>0</v>
      </c>
      <c r="O93" s="11"/>
      <c r="P93" s="2">
        <v>0</v>
      </c>
      <c r="Q93" s="2"/>
      <c r="R93" s="19">
        <f t="shared" si="23"/>
        <v>0</v>
      </c>
      <c r="S93" s="2"/>
      <c r="T93" s="2">
        <v>8535.1</v>
      </c>
      <c r="U93" s="2"/>
      <c r="V93" s="19">
        <f t="shared" si="24"/>
        <v>3.462539204936966E-3</v>
      </c>
      <c r="W93" s="2"/>
      <c r="X93" s="2">
        <f t="shared" si="25"/>
        <v>-8535.1</v>
      </c>
      <c r="Y93" s="2"/>
      <c r="Z93" s="19">
        <f t="shared" si="26"/>
        <v>-1</v>
      </c>
    </row>
    <row r="94" spans="1:26" s="24" customFormat="1" hidden="1" outlineLevel="1" x14ac:dyDescent="0.3">
      <c r="A94" s="44"/>
      <c r="B94" s="11" t="str">
        <f>CONCATENATE("          ", "5040", " - ", "PURCHASES @ COST-LOGO CLOTHING")</f>
        <v xml:space="preserve">          5040 - PURCHASES @ COST-LOGO CLOTHING</v>
      </c>
      <c r="C94" s="11"/>
      <c r="D94" s="2"/>
      <c r="E94" s="2"/>
      <c r="F94" s="19">
        <f t="shared" si="19"/>
        <v>0</v>
      </c>
      <c r="G94" s="2"/>
      <c r="H94" s="2">
        <v>55124.33</v>
      </c>
      <c r="I94" s="2"/>
      <c r="J94" s="19">
        <f t="shared" si="20"/>
        <v>0.49673793527162441</v>
      </c>
      <c r="K94" s="2"/>
      <c r="L94" s="2">
        <f t="shared" si="21"/>
        <v>-55124.33</v>
      </c>
      <c r="M94" s="2"/>
      <c r="N94" s="19">
        <f t="shared" si="22"/>
        <v>-1</v>
      </c>
      <c r="O94" s="11"/>
      <c r="P94" s="2">
        <v>0</v>
      </c>
      <c r="Q94" s="2"/>
      <c r="R94" s="19">
        <f t="shared" si="23"/>
        <v>0</v>
      </c>
      <c r="S94" s="2"/>
      <c r="T94" s="2">
        <v>94295.28</v>
      </c>
      <c r="U94" s="2"/>
      <c r="V94" s="19">
        <f t="shared" si="24"/>
        <v>3.8253928347706363E-2</v>
      </c>
      <c r="W94" s="2"/>
      <c r="X94" s="2">
        <f t="shared" si="25"/>
        <v>-94295.28</v>
      </c>
      <c r="Y94" s="2"/>
      <c r="Z94" s="19">
        <f t="shared" si="26"/>
        <v>-1</v>
      </c>
    </row>
    <row r="95" spans="1:26" s="24" customFormat="1" hidden="1" outlineLevel="1" x14ac:dyDescent="0.3">
      <c r="A95" s="44"/>
      <c r="B95" s="11" t="str">
        <f>CONCATENATE("          ", "5041", " - ", "PURCHASES @ COST-LOGO GIFTS")</f>
        <v xml:space="preserve">          5041 - PURCHASES @ COST-LOGO GIFTS</v>
      </c>
      <c r="C95" s="11"/>
      <c r="D95" s="2"/>
      <c r="E95" s="2"/>
      <c r="F95" s="19">
        <f t="shared" si="19"/>
        <v>0</v>
      </c>
      <c r="G95" s="2"/>
      <c r="H95" s="2">
        <v>9354.43</v>
      </c>
      <c r="I95" s="2"/>
      <c r="J95" s="19">
        <f t="shared" si="20"/>
        <v>8.4294906511207329E-2</v>
      </c>
      <c r="K95" s="2"/>
      <c r="L95" s="2">
        <f t="shared" si="21"/>
        <v>-9354.43</v>
      </c>
      <c r="M95" s="2"/>
      <c r="N95" s="19">
        <f t="shared" si="22"/>
        <v>-1</v>
      </c>
      <c r="O95" s="11"/>
      <c r="P95" s="2">
        <v>0</v>
      </c>
      <c r="Q95" s="2"/>
      <c r="R95" s="19">
        <f t="shared" si="23"/>
        <v>0</v>
      </c>
      <c r="S95" s="2"/>
      <c r="T95" s="2">
        <v>26641.77</v>
      </c>
      <c r="U95" s="2"/>
      <c r="V95" s="19">
        <f t="shared" si="24"/>
        <v>1.0808095173332885E-2</v>
      </c>
      <c r="W95" s="2"/>
      <c r="X95" s="2">
        <f t="shared" si="25"/>
        <v>-26641.77</v>
      </c>
      <c r="Y95" s="2"/>
      <c r="Z95" s="19">
        <f t="shared" si="26"/>
        <v>-1</v>
      </c>
    </row>
    <row r="96" spans="1:26" s="24" customFormat="1" hidden="1" outlineLevel="1" x14ac:dyDescent="0.3">
      <c r="A96" s="44"/>
      <c r="B96" s="11" t="str">
        <f>CONCATENATE("          ", "5042", " - ", "PURCHASES @ COST-EVERYDAY GIFT")</f>
        <v xml:space="preserve">          5042 - PURCHASES @ COST-EVERYDAY GIFT</v>
      </c>
      <c r="C96" s="11"/>
      <c r="D96" s="2"/>
      <c r="E96" s="2"/>
      <c r="F96" s="19">
        <f t="shared" si="19"/>
        <v>0</v>
      </c>
      <c r="G96" s="2"/>
      <c r="H96" s="2"/>
      <c r="I96" s="2"/>
      <c r="J96" s="19">
        <f t="shared" si="20"/>
        <v>0</v>
      </c>
      <c r="K96" s="2"/>
      <c r="L96" s="2">
        <f t="shared" si="21"/>
        <v>0</v>
      </c>
      <c r="M96" s="2"/>
      <c r="N96" s="19">
        <f t="shared" si="22"/>
        <v>0</v>
      </c>
      <c r="O96" s="11"/>
      <c r="P96" s="2">
        <v>0</v>
      </c>
      <c r="Q96" s="2"/>
      <c r="R96" s="19">
        <f t="shared" si="23"/>
        <v>0</v>
      </c>
      <c r="S96" s="2"/>
      <c r="T96" s="2">
        <v>10912.68</v>
      </c>
      <c r="U96" s="2"/>
      <c r="V96" s="19">
        <f t="shared" si="24"/>
        <v>4.4270813852130058E-3</v>
      </c>
      <c r="W96" s="2"/>
      <c r="X96" s="2">
        <f t="shared" si="25"/>
        <v>-10912.68</v>
      </c>
      <c r="Y96" s="2"/>
      <c r="Z96" s="19">
        <f t="shared" si="26"/>
        <v>-1</v>
      </c>
    </row>
    <row r="97" spans="1:26" s="24" customFormat="1" hidden="1" outlineLevel="1" x14ac:dyDescent="0.3">
      <c r="A97" s="44"/>
      <c r="B97" s="11" t="str">
        <f>CONCATENATE("          ", "5043", " - ", "PURCHASES @ COST-CARDS")</f>
        <v xml:space="preserve">          5043 - PURCHASES @ COST-CARDS</v>
      </c>
      <c r="C97" s="11"/>
      <c r="D97" s="2"/>
      <c r="E97" s="2"/>
      <c r="F97" s="19">
        <f t="shared" si="19"/>
        <v>0</v>
      </c>
      <c r="G97" s="2"/>
      <c r="H97" s="2">
        <v>38530.230000000003</v>
      </c>
      <c r="I97" s="2"/>
      <c r="J97" s="19">
        <f t="shared" si="20"/>
        <v>0.34720470789832369</v>
      </c>
      <c r="K97" s="2"/>
      <c r="L97" s="2">
        <f t="shared" si="21"/>
        <v>-38530.230000000003</v>
      </c>
      <c r="M97" s="2"/>
      <c r="N97" s="19">
        <f t="shared" si="22"/>
        <v>-1</v>
      </c>
      <c r="O97" s="11"/>
      <c r="P97" s="2">
        <v>0</v>
      </c>
      <c r="Q97" s="2"/>
      <c r="R97" s="19">
        <f t="shared" si="23"/>
        <v>0</v>
      </c>
      <c r="S97" s="2"/>
      <c r="T97" s="2">
        <v>44173.23</v>
      </c>
      <c r="U97" s="2"/>
      <c r="V97" s="19">
        <f t="shared" si="24"/>
        <v>1.7920298612048802E-2</v>
      </c>
      <c r="W97" s="2"/>
      <c r="X97" s="2">
        <f t="shared" si="25"/>
        <v>-44173.23</v>
      </c>
      <c r="Y97" s="2"/>
      <c r="Z97" s="19">
        <f t="shared" si="26"/>
        <v>-1</v>
      </c>
    </row>
    <row r="98" spans="1:26" s="24" customFormat="1" hidden="1" outlineLevel="1" x14ac:dyDescent="0.3">
      <c r="A98" s="44"/>
      <c r="B98" s="11" t="str">
        <f>CONCATENATE("          ", "5044", " - ", "PURCHASES @ COST-ACCESSORIES")</f>
        <v xml:space="preserve">          5044 - PURCHASES @ COST-ACCESSORIES</v>
      </c>
      <c r="C98" s="11"/>
      <c r="D98" s="2"/>
      <c r="E98" s="2"/>
      <c r="F98" s="19">
        <f t="shared" si="19"/>
        <v>0</v>
      </c>
      <c r="G98" s="2"/>
      <c r="H98" s="2">
        <v>282.33</v>
      </c>
      <c r="I98" s="2"/>
      <c r="J98" s="19">
        <f t="shared" si="20"/>
        <v>2.5441401512768993E-3</v>
      </c>
      <c r="K98" s="2"/>
      <c r="L98" s="2">
        <f t="shared" si="21"/>
        <v>-282.33</v>
      </c>
      <c r="M98" s="2"/>
      <c r="N98" s="19">
        <f t="shared" si="22"/>
        <v>-1</v>
      </c>
      <c r="O98" s="11"/>
      <c r="P98" s="2">
        <v>0</v>
      </c>
      <c r="Q98" s="2"/>
      <c r="R98" s="19">
        <f t="shared" si="23"/>
        <v>0</v>
      </c>
      <c r="S98" s="2"/>
      <c r="T98" s="2">
        <v>282.33</v>
      </c>
      <c r="U98" s="2"/>
      <c r="V98" s="19">
        <f t="shared" si="24"/>
        <v>1.1453629058005805E-4</v>
      </c>
      <c r="W98" s="2"/>
      <c r="X98" s="2">
        <f t="shared" si="25"/>
        <v>-282.33</v>
      </c>
      <c r="Y98" s="2"/>
      <c r="Z98" s="19">
        <f t="shared" si="26"/>
        <v>-1</v>
      </c>
    </row>
    <row r="99" spans="1:26" s="24" customFormat="1" hidden="1" outlineLevel="1" x14ac:dyDescent="0.3">
      <c r="A99" s="44"/>
      <c r="B99" s="11" t="str">
        <f>CONCATENATE("          ", "5045", " - ", "PURCHASES @ COST-SPECIAL ORDER")</f>
        <v xml:space="preserve">          5045 - PURCHASES @ COST-SPECIAL ORDER</v>
      </c>
      <c r="C99" s="11"/>
      <c r="D99" s="2"/>
      <c r="E99" s="2"/>
      <c r="F99" s="19">
        <f t="shared" si="19"/>
        <v>0</v>
      </c>
      <c r="G99" s="2"/>
      <c r="H99" s="2">
        <v>5678</v>
      </c>
      <c r="I99" s="2"/>
      <c r="J99" s="19">
        <f t="shared" si="20"/>
        <v>5.1165755601424695E-2</v>
      </c>
      <c r="K99" s="2"/>
      <c r="L99" s="2">
        <f t="shared" si="21"/>
        <v>-5678</v>
      </c>
      <c r="M99" s="2"/>
      <c r="N99" s="19">
        <f t="shared" si="22"/>
        <v>-1</v>
      </c>
      <c r="O99" s="11"/>
      <c r="P99" s="2">
        <v>0</v>
      </c>
      <c r="Q99" s="2"/>
      <c r="R99" s="19">
        <f t="shared" si="23"/>
        <v>0</v>
      </c>
      <c r="S99" s="2"/>
      <c r="T99" s="2">
        <v>76932.52</v>
      </c>
      <c r="U99" s="2"/>
      <c r="V99" s="19">
        <f t="shared" si="24"/>
        <v>3.1210163517076218E-2</v>
      </c>
      <c r="W99" s="2"/>
      <c r="X99" s="2">
        <f t="shared" si="25"/>
        <v>-76932.52</v>
      </c>
      <c r="Y99" s="2"/>
      <c r="Z99" s="19">
        <f t="shared" si="26"/>
        <v>-1</v>
      </c>
    </row>
    <row r="100" spans="1:26" s="24" customFormat="1" hidden="1" outlineLevel="1" x14ac:dyDescent="0.3">
      <c r="A100" s="44"/>
      <c r="B100" s="11" t="str">
        <f>CONCATENATE("          ", "5092", " - ", "PURCHASES @ COST-GRAD MERCH")</f>
        <v xml:space="preserve">          5092 - PURCHASES @ COST-GRAD MERCH</v>
      </c>
      <c r="C100" s="11"/>
      <c r="D100" s="2"/>
      <c r="E100" s="2"/>
      <c r="F100" s="19">
        <f t="shared" si="19"/>
        <v>0</v>
      </c>
      <c r="G100" s="2"/>
      <c r="H100" s="2"/>
      <c r="I100" s="2"/>
      <c r="J100" s="19">
        <f t="shared" si="20"/>
        <v>0</v>
      </c>
      <c r="K100" s="2"/>
      <c r="L100" s="2">
        <f t="shared" si="21"/>
        <v>0</v>
      </c>
      <c r="M100" s="2"/>
      <c r="N100" s="19">
        <f t="shared" si="22"/>
        <v>0</v>
      </c>
      <c r="O100" s="11"/>
      <c r="P100" s="2"/>
      <c r="Q100" s="2"/>
      <c r="R100" s="19">
        <f t="shared" si="23"/>
        <v>0</v>
      </c>
      <c r="S100" s="2"/>
      <c r="T100" s="2">
        <v>0</v>
      </c>
      <c r="U100" s="2"/>
      <c r="V100" s="19">
        <f t="shared" si="24"/>
        <v>0</v>
      </c>
      <c r="W100" s="2"/>
      <c r="X100" s="2">
        <f t="shared" si="25"/>
        <v>0</v>
      </c>
      <c r="Y100" s="2"/>
      <c r="Z100" s="19">
        <f t="shared" si="26"/>
        <v>0</v>
      </c>
    </row>
    <row r="101" spans="1:26" s="24" customFormat="1" hidden="1" outlineLevel="1" x14ac:dyDescent="0.3">
      <c r="A101" s="44"/>
      <c r="B101" s="11" t="str">
        <f>CONCATENATE("          ", "5200", " - ", "PURCHASES OFFSET")</f>
        <v xml:space="preserve">          5200 - PURCHASES OFFSET</v>
      </c>
      <c r="C101" s="11"/>
      <c r="D101" s="2">
        <v>57137.78</v>
      </c>
      <c r="E101" s="2"/>
      <c r="F101" s="19">
        <f t="shared" si="19"/>
        <v>0.19385924769646631</v>
      </c>
      <c r="G101" s="2"/>
      <c r="H101" s="2">
        <v>196761.91</v>
      </c>
      <c r="I101" s="2"/>
      <c r="J101" s="19">
        <f t="shared" si="20"/>
        <v>1.7730665372894545</v>
      </c>
      <c r="K101" s="2"/>
      <c r="L101" s="2">
        <f t="shared" si="21"/>
        <v>-139624.13</v>
      </c>
      <c r="M101" s="2"/>
      <c r="N101" s="19">
        <f t="shared" si="22"/>
        <v>-0.70960954790487651</v>
      </c>
      <c r="O101" s="11"/>
      <c r="P101" s="2">
        <v>-2055217.21</v>
      </c>
      <c r="Q101" s="2"/>
      <c r="R101" s="19">
        <f t="shared" si="23"/>
        <v>-0.64978731673646295</v>
      </c>
      <c r="S101" s="2"/>
      <c r="T101" s="2">
        <v>-1572395.28</v>
      </c>
      <c r="U101" s="2"/>
      <c r="V101" s="19">
        <f t="shared" si="24"/>
        <v>-0.63789297168842052</v>
      </c>
      <c r="W101" s="2"/>
      <c r="X101" s="2">
        <f t="shared" si="25"/>
        <v>-482821.92999999993</v>
      </c>
      <c r="Y101" s="2"/>
      <c r="Z101" s="19">
        <f t="shared" si="26"/>
        <v>0.3070614216038603</v>
      </c>
    </row>
    <row r="102" spans="1:26" s="24" customFormat="1" hidden="1" outlineLevel="1" x14ac:dyDescent="0.3">
      <c r="A102" s="44"/>
      <c r="B102" s="11" t="str">
        <f>CONCATENATE("          ", "5300", " - ", "COG$ OFFSET")</f>
        <v xml:space="preserve">          5300 - COG$ OFFSET</v>
      </c>
      <c r="C102" s="11"/>
      <c r="D102" s="2">
        <v>137747.54999999999</v>
      </c>
      <c r="E102" s="2"/>
      <c r="F102" s="19">
        <f t="shared" si="19"/>
        <v>0.46735516176917224</v>
      </c>
      <c r="G102" s="2"/>
      <c r="H102" s="2">
        <v>60951</v>
      </c>
      <c r="I102" s="2"/>
      <c r="J102" s="19">
        <f t="shared" si="20"/>
        <v>0.54924339021881585</v>
      </c>
      <c r="K102" s="2"/>
      <c r="L102" s="2">
        <f t="shared" si="21"/>
        <v>76796.549999999988</v>
      </c>
      <c r="M102" s="2"/>
      <c r="N102" s="19">
        <f t="shared" si="22"/>
        <v>1.2599719446768713</v>
      </c>
      <c r="O102" s="11"/>
      <c r="P102" s="2">
        <v>1700080.36</v>
      </c>
      <c r="Q102" s="2"/>
      <c r="R102" s="19">
        <f t="shared" si="23"/>
        <v>0.53750554928486616</v>
      </c>
      <c r="S102" s="2"/>
      <c r="T102" s="2">
        <v>1256640</v>
      </c>
      <c r="U102" s="2"/>
      <c r="V102" s="19">
        <f t="shared" si="24"/>
        <v>0.50979663583226775</v>
      </c>
      <c r="W102" s="2"/>
      <c r="X102" s="2">
        <f t="shared" si="25"/>
        <v>443440.3600000001</v>
      </c>
      <c r="Y102" s="2"/>
      <c r="Z102" s="19">
        <f t="shared" si="26"/>
        <v>0.35287780112044825</v>
      </c>
    </row>
    <row r="103" spans="1:26" s="24" customFormat="1" hidden="1" outlineLevel="1" x14ac:dyDescent="0.3">
      <c r="A103" s="44"/>
      <c r="B103" s="11" t="str">
        <f>CONCATENATE("          ", "5500", " - ", "FREIGHT-IN")</f>
        <v xml:space="preserve">          5500 - FREIGHT-IN</v>
      </c>
      <c r="C103" s="11"/>
      <c r="D103" s="2">
        <v>11121.1</v>
      </c>
      <c r="E103" s="2"/>
      <c r="F103" s="19">
        <f t="shared" si="19"/>
        <v>3.773209388879252E-2</v>
      </c>
      <c r="G103" s="2"/>
      <c r="H103" s="2"/>
      <c r="I103" s="2"/>
      <c r="J103" s="19">
        <f t="shared" si="20"/>
        <v>0</v>
      </c>
      <c r="K103" s="2"/>
      <c r="L103" s="2">
        <f t="shared" si="21"/>
        <v>11121.1</v>
      </c>
      <c r="M103" s="2"/>
      <c r="N103" s="19">
        <f t="shared" si="22"/>
        <v>0</v>
      </c>
      <c r="O103" s="11"/>
      <c r="P103" s="2">
        <v>60757.06</v>
      </c>
      <c r="Q103" s="2"/>
      <c r="R103" s="19">
        <f t="shared" si="23"/>
        <v>1.92092430902699E-2</v>
      </c>
      <c r="S103" s="2"/>
      <c r="T103" s="2">
        <v>0</v>
      </c>
      <c r="U103" s="2"/>
      <c r="V103" s="19">
        <f t="shared" si="24"/>
        <v>0</v>
      </c>
      <c r="W103" s="2"/>
      <c r="X103" s="2">
        <f t="shared" si="25"/>
        <v>60757.06</v>
      </c>
      <c r="Y103" s="2"/>
      <c r="Z103" s="19">
        <f t="shared" si="26"/>
        <v>0</v>
      </c>
    </row>
    <row r="104" spans="1:26" s="24" customFormat="1" hidden="1" outlineLevel="1" x14ac:dyDescent="0.3">
      <c r="A104" s="44"/>
      <c r="B104" s="11" t="str">
        <f>CONCATENATE("          ", "5501", " - ", "FREIGHT-IN-NEW TEXT")</f>
        <v xml:space="preserve">          5501 - FREIGHT-IN-NEW TEXT</v>
      </c>
      <c r="C104" s="11"/>
      <c r="D104" s="2"/>
      <c r="E104" s="2"/>
      <c r="F104" s="19">
        <f t="shared" si="19"/>
        <v>0</v>
      </c>
      <c r="G104" s="2"/>
      <c r="H104" s="2">
        <v>990.19</v>
      </c>
      <c r="I104" s="2"/>
      <c r="J104" s="19">
        <f t="shared" si="20"/>
        <v>8.9228283795305952E-3</v>
      </c>
      <c r="K104" s="2"/>
      <c r="L104" s="2">
        <f t="shared" si="21"/>
        <v>-990.19</v>
      </c>
      <c r="M104" s="2"/>
      <c r="N104" s="19">
        <f t="shared" si="22"/>
        <v>-1</v>
      </c>
      <c r="O104" s="11"/>
      <c r="P104" s="2">
        <v>0</v>
      </c>
      <c r="Q104" s="2"/>
      <c r="R104" s="19">
        <f t="shared" si="23"/>
        <v>0</v>
      </c>
      <c r="S104" s="2"/>
      <c r="T104" s="2">
        <v>35048.81</v>
      </c>
      <c r="U104" s="2"/>
      <c r="V104" s="19">
        <f t="shared" si="24"/>
        <v>1.4218682699837936E-2</v>
      </c>
      <c r="W104" s="2"/>
      <c r="X104" s="2">
        <f t="shared" si="25"/>
        <v>-35048.81</v>
      </c>
      <c r="Y104" s="2"/>
      <c r="Z104" s="19">
        <f t="shared" si="26"/>
        <v>-1</v>
      </c>
    </row>
    <row r="105" spans="1:26" s="24" customFormat="1" hidden="1" outlineLevel="1" x14ac:dyDescent="0.3">
      <c r="A105" s="44"/>
      <c r="B105" s="11" t="str">
        <f>CONCATENATE("          ", "5502", " - ", "FREIGHT-IN-USED TEXT")</f>
        <v xml:space="preserve">          5502 - FREIGHT-IN-USED TEXT</v>
      </c>
      <c r="C105" s="11"/>
      <c r="D105" s="2"/>
      <c r="E105" s="2"/>
      <c r="F105" s="19">
        <f t="shared" si="19"/>
        <v>0</v>
      </c>
      <c r="G105" s="2"/>
      <c r="H105" s="2">
        <v>388.37</v>
      </c>
      <c r="I105" s="2"/>
      <c r="J105" s="19">
        <f t="shared" si="20"/>
        <v>3.499690824749086E-3</v>
      </c>
      <c r="K105" s="2"/>
      <c r="L105" s="2">
        <f t="shared" si="21"/>
        <v>-388.37</v>
      </c>
      <c r="M105" s="2"/>
      <c r="N105" s="19">
        <f t="shared" si="22"/>
        <v>-1</v>
      </c>
      <c r="O105" s="11"/>
      <c r="P105" s="2">
        <v>0</v>
      </c>
      <c r="Q105" s="2"/>
      <c r="R105" s="19">
        <f t="shared" si="23"/>
        <v>0</v>
      </c>
      <c r="S105" s="2"/>
      <c r="T105" s="2">
        <v>11133.09</v>
      </c>
      <c r="U105" s="2"/>
      <c r="V105" s="19">
        <f t="shared" si="24"/>
        <v>4.5164978262810847E-3</v>
      </c>
      <c r="W105" s="2"/>
      <c r="X105" s="2">
        <f t="shared" si="25"/>
        <v>-11133.09</v>
      </c>
      <c r="Y105" s="2"/>
      <c r="Z105" s="19">
        <f t="shared" si="26"/>
        <v>-1</v>
      </c>
    </row>
    <row r="106" spans="1:26" s="24" customFormat="1" hidden="1" outlineLevel="1" x14ac:dyDescent="0.3">
      <c r="A106" s="44"/>
      <c r="B106" s="11" t="str">
        <f>CONCATENATE("          ", "5504", " - ", "FREIGHT-IN-DIGITAL TEXT")</f>
        <v xml:space="preserve">          5504 - FREIGHT-IN-DIGITAL TEXT</v>
      </c>
      <c r="C106" s="11"/>
      <c r="D106" s="2"/>
      <c r="E106" s="2"/>
      <c r="F106" s="19">
        <f t="shared" si="19"/>
        <v>0</v>
      </c>
      <c r="G106" s="2"/>
      <c r="H106" s="2"/>
      <c r="I106" s="2"/>
      <c r="J106" s="19">
        <f t="shared" si="20"/>
        <v>0</v>
      </c>
      <c r="K106" s="2"/>
      <c r="L106" s="2">
        <f t="shared" si="21"/>
        <v>0</v>
      </c>
      <c r="M106" s="2"/>
      <c r="N106" s="19">
        <f t="shared" si="22"/>
        <v>0</v>
      </c>
      <c r="O106" s="11"/>
      <c r="P106" s="2"/>
      <c r="Q106" s="2"/>
      <c r="R106" s="19">
        <f t="shared" si="23"/>
        <v>0</v>
      </c>
      <c r="S106" s="2"/>
      <c r="T106" s="2">
        <v>21.98</v>
      </c>
      <c r="U106" s="2"/>
      <c r="V106" s="19">
        <f t="shared" si="24"/>
        <v>8.9168974850340958E-6</v>
      </c>
      <c r="W106" s="2"/>
      <c r="X106" s="2">
        <f t="shared" si="25"/>
        <v>-21.98</v>
      </c>
      <c r="Y106" s="2"/>
      <c r="Z106" s="19">
        <f t="shared" si="26"/>
        <v>-1</v>
      </c>
    </row>
    <row r="107" spans="1:26" s="24" customFormat="1" hidden="1" outlineLevel="1" x14ac:dyDescent="0.3">
      <c r="A107" s="44"/>
      <c r="B107" s="11" t="str">
        <f>CONCATENATE("          ", "5513", " - ", "FREIGHT-IN-TRADE BOOKS")</f>
        <v xml:space="preserve">          5513 - FREIGHT-IN-TRADE BOOKS</v>
      </c>
      <c r="C107" s="11"/>
      <c r="D107" s="2"/>
      <c r="E107" s="2"/>
      <c r="F107" s="19">
        <f t="shared" si="19"/>
        <v>0</v>
      </c>
      <c r="G107" s="2"/>
      <c r="H107" s="2">
        <v>26.46</v>
      </c>
      <c r="I107" s="2"/>
      <c r="J107" s="19">
        <f t="shared" si="20"/>
        <v>2.3843710694147543E-4</v>
      </c>
      <c r="K107" s="2"/>
      <c r="L107" s="2">
        <f t="shared" si="21"/>
        <v>-26.46</v>
      </c>
      <c r="M107" s="2"/>
      <c r="N107" s="19">
        <f t="shared" si="22"/>
        <v>-1</v>
      </c>
      <c r="O107" s="11"/>
      <c r="P107" s="2"/>
      <c r="Q107" s="2"/>
      <c r="R107" s="19">
        <f t="shared" si="23"/>
        <v>0</v>
      </c>
      <c r="S107" s="2"/>
      <c r="T107" s="2">
        <v>26.46</v>
      </c>
      <c r="U107" s="2"/>
      <c r="V107" s="19">
        <f t="shared" si="24"/>
        <v>1.0734354297270344E-5</v>
      </c>
      <c r="W107" s="2"/>
      <c r="X107" s="2">
        <f t="shared" si="25"/>
        <v>-26.46</v>
      </c>
      <c r="Y107" s="2"/>
      <c r="Z107" s="19">
        <f t="shared" si="26"/>
        <v>-1</v>
      </c>
    </row>
    <row r="108" spans="1:26" s="24" customFormat="1" hidden="1" outlineLevel="1" x14ac:dyDescent="0.3">
      <c r="A108" s="44"/>
      <c r="B108" s="11" t="str">
        <f>CONCATENATE("          ", "5518", " - ", "FREIGHT-IN-STUDY GUIDES")</f>
        <v xml:space="preserve">          5518 - FREIGHT-IN-STUDY GUIDES</v>
      </c>
      <c r="C108" s="11"/>
      <c r="D108" s="2"/>
      <c r="E108" s="2"/>
      <c r="F108" s="19">
        <f t="shared" si="19"/>
        <v>0</v>
      </c>
      <c r="G108" s="2"/>
      <c r="H108" s="2"/>
      <c r="I108" s="2"/>
      <c r="J108" s="19">
        <f t="shared" si="20"/>
        <v>0</v>
      </c>
      <c r="K108" s="2"/>
      <c r="L108" s="2">
        <f t="shared" si="21"/>
        <v>0</v>
      </c>
      <c r="M108" s="2"/>
      <c r="N108" s="19">
        <f t="shared" si="22"/>
        <v>0</v>
      </c>
      <c r="O108" s="11"/>
      <c r="P108" s="2">
        <v>0</v>
      </c>
      <c r="Q108" s="2"/>
      <c r="R108" s="19">
        <f t="shared" si="23"/>
        <v>0</v>
      </c>
      <c r="S108" s="2"/>
      <c r="T108" s="2"/>
      <c r="U108" s="2"/>
      <c r="V108" s="19">
        <f t="shared" si="24"/>
        <v>0</v>
      </c>
      <c r="W108" s="2"/>
      <c r="X108" s="2">
        <f t="shared" si="25"/>
        <v>0</v>
      </c>
      <c r="Y108" s="2"/>
      <c r="Z108" s="19">
        <f t="shared" si="26"/>
        <v>0</v>
      </c>
    </row>
    <row r="109" spans="1:26" s="24" customFormat="1" hidden="1" outlineLevel="1" x14ac:dyDescent="0.3">
      <c r="A109" s="44"/>
      <c r="B109" s="11" t="str">
        <f>CONCATENATE("          ", "5525", " - ", "FREIGHT-IN-TEST FORMS")</f>
        <v xml:space="preserve">          5525 - FREIGHT-IN-TEST FORMS</v>
      </c>
      <c r="C109" s="11"/>
      <c r="D109" s="2"/>
      <c r="E109" s="2"/>
      <c r="F109" s="19">
        <f t="shared" si="19"/>
        <v>0</v>
      </c>
      <c r="G109" s="2"/>
      <c r="H109" s="2"/>
      <c r="I109" s="2"/>
      <c r="J109" s="19">
        <f t="shared" si="20"/>
        <v>0</v>
      </c>
      <c r="K109" s="2"/>
      <c r="L109" s="2">
        <f t="shared" si="21"/>
        <v>0</v>
      </c>
      <c r="M109" s="2"/>
      <c r="N109" s="19">
        <f t="shared" si="22"/>
        <v>0</v>
      </c>
      <c r="O109" s="11"/>
      <c r="P109" s="2"/>
      <c r="Q109" s="2"/>
      <c r="R109" s="19">
        <f t="shared" si="23"/>
        <v>0</v>
      </c>
      <c r="S109" s="2"/>
      <c r="T109" s="2">
        <v>48.14</v>
      </c>
      <c r="U109" s="2"/>
      <c r="V109" s="19">
        <f t="shared" si="24"/>
        <v>1.9529547085056475E-5</v>
      </c>
      <c r="W109" s="2"/>
      <c r="X109" s="2">
        <f t="shared" si="25"/>
        <v>-48.14</v>
      </c>
      <c r="Y109" s="2"/>
      <c r="Z109" s="19">
        <f t="shared" si="26"/>
        <v>-1</v>
      </c>
    </row>
    <row r="110" spans="1:26" s="24" customFormat="1" hidden="1" outlineLevel="1" x14ac:dyDescent="0.3">
      <c r="A110" s="44"/>
      <c r="B110" s="11" t="str">
        <f>CONCATENATE("          ", "5527", " - ", "FREIGHT-IN-SCHOOL SUPPLIES")</f>
        <v xml:space="preserve">          5527 - FREIGHT-IN-SCHOOL SUPPLIES</v>
      </c>
      <c r="C110" s="11"/>
      <c r="D110" s="2"/>
      <c r="E110" s="2"/>
      <c r="F110" s="19">
        <f t="shared" si="19"/>
        <v>0</v>
      </c>
      <c r="G110" s="2"/>
      <c r="H110" s="2"/>
      <c r="I110" s="2"/>
      <c r="J110" s="19">
        <f t="shared" si="20"/>
        <v>0</v>
      </c>
      <c r="K110" s="2"/>
      <c r="L110" s="2">
        <f t="shared" si="21"/>
        <v>0</v>
      </c>
      <c r="M110" s="2"/>
      <c r="N110" s="19">
        <f t="shared" si="22"/>
        <v>0</v>
      </c>
      <c r="O110" s="11"/>
      <c r="P110" s="2">
        <v>0</v>
      </c>
      <c r="Q110" s="2"/>
      <c r="R110" s="19">
        <f t="shared" si="23"/>
        <v>0</v>
      </c>
      <c r="S110" s="2"/>
      <c r="T110" s="2">
        <v>56</v>
      </c>
      <c r="U110" s="2"/>
      <c r="V110" s="19">
        <f t="shared" si="24"/>
        <v>2.2718210152953109E-5</v>
      </c>
      <c r="W110" s="2"/>
      <c r="X110" s="2">
        <f t="shared" si="25"/>
        <v>-56</v>
      </c>
      <c r="Y110" s="2"/>
      <c r="Z110" s="19">
        <f t="shared" si="26"/>
        <v>-1</v>
      </c>
    </row>
    <row r="111" spans="1:26" s="24" customFormat="1" hidden="1" outlineLevel="1" x14ac:dyDescent="0.3">
      <c r="A111" s="44"/>
      <c r="B111" s="11" t="str">
        <f>CONCATENATE("          ", "5528", " - ", "FREIGHT-IN-ART/TECH")</f>
        <v xml:space="preserve">          5528 - FREIGHT-IN-ART/TECH</v>
      </c>
      <c r="C111" s="11"/>
      <c r="D111" s="2"/>
      <c r="E111" s="2"/>
      <c r="F111" s="19">
        <f t="shared" si="19"/>
        <v>0</v>
      </c>
      <c r="G111" s="2"/>
      <c r="H111" s="2">
        <v>1.72</v>
      </c>
      <c r="I111" s="2"/>
      <c r="J111" s="19">
        <f t="shared" si="20"/>
        <v>1.5499313074049045E-5</v>
      </c>
      <c r="K111" s="2"/>
      <c r="L111" s="2">
        <f t="shared" si="21"/>
        <v>-1.72</v>
      </c>
      <c r="M111" s="2"/>
      <c r="N111" s="19">
        <f t="shared" si="22"/>
        <v>-1</v>
      </c>
      <c r="O111" s="11"/>
      <c r="P111" s="2">
        <v>0</v>
      </c>
      <c r="Q111" s="2"/>
      <c r="R111" s="19">
        <f t="shared" si="23"/>
        <v>0</v>
      </c>
      <c r="S111" s="2"/>
      <c r="T111" s="2">
        <v>285.92</v>
      </c>
      <c r="U111" s="2"/>
      <c r="V111" s="19">
        <f t="shared" si="24"/>
        <v>1.1599269012379203E-4</v>
      </c>
      <c r="W111" s="2"/>
      <c r="X111" s="2">
        <f t="shared" si="25"/>
        <v>-285.92</v>
      </c>
      <c r="Y111" s="2"/>
      <c r="Z111" s="19">
        <f t="shared" si="26"/>
        <v>-1</v>
      </c>
    </row>
    <row r="112" spans="1:26" s="24" customFormat="1" hidden="1" outlineLevel="1" x14ac:dyDescent="0.3">
      <c r="A112" s="44"/>
      <c r="B112" s="11" t="str">
        <f>CONCATENATE("          ", "5540", " - ", "FREIGHT-IN-LOGO CLOTHING")</f>
        <v xml:space="preserve">          5540 - FREIGHT-IN-LOGO CLOTHING</v>
      </c>
      <c r="C112" s="11"/>
      <c r="D112" s="2"/>
      <c r="E112" s="2"/>
      <c r="F112" s="19">
        <f t="shared" si="19"/>
        <v>0</v>
      </c>
      <c r="G112" s="2"/>
      <c r="H112" s="2">
        <v>1333.15</v>
      </c>
      <c r="I112" s="2"/>
      <c r="J112" s="19">
        <f t="shared" si="20"/>
        <v>1.2013319316667725E-2</v>
      </c>
      <c r="K112" s="2"/>
      <c r="L112" s="2">
        <f t="shared" si="21"/>
        <v>-1333.15</v>
      </c>
      <c r="M112" s="2"/>
      <c r="N112" s="19">
        <f t="shared" si="22"/>
        <v>-1</v>
      </c>
      <c r="O112" s="11"/>
      <c r="P112" s="2">
        <v>0</v>
      </c>
      <c r="Q112" s="2"/>
      <c r="R112" s="19">
        <f t="shared" si="23"/>
        <v>0</v>
      </c>
      <c r="S112" s="2"/>
      <c r="T112" s="2">
        <v>4535.4799999999996</v>
      </c>
      <c r="U112" s="2"/>
      <c r="V112" s="19">
        <f t="shared" si="24"/>
        <v>1.8399640675806385E-3</v>
      </c>
      <c r="W112" s="2"/>
      <c r="X112" s="2">
        <f t="shared" si="25"/>
        <v>-4535.4799999999996</v>
      </c>
      <c r="Y112" s="2"/>
      <c r="Z112" s="19">
        <f t="shared" si="26"/>
        <v>-1</v>
      </c>
    </row>
    <row r="113" spans="1:26" s="24" customFormat="1" hidden="1" outlineLevel="1" x14ac:dyDescent="0.3">
      <c r="A113" s="44"/>
      <c r="B113" s="11" t="str">
        <f>CONCATENATE("          ", "5541", " - ", "FREIGHT-IN-LOGO GIFTS")</f>
        <v xml:space="preserve">          5541 - FREIGHT-IN-LOGO GIFTS</v>
      </c>
      <c r="C113" s="11"/>
      <c r="D113" s="2"/>
      <c r="E113" s="2"/>
      <c r="F113" s="19">
        <f t="shared" si="19"/>
        <v>0</v>
      </c>
      <c r="G113" s="2"/>
      <c r="H113" s="2">
        <v>301.06</v>
      </c>
      <c r="I113" s="2"/>
      <c r="J113" s="19">
        <f t="shared" si="20"/>
        <v>2.7129204616704685E-3</v>
      </c>
      <c r="K113" s="2"/>
      <c r="L113" s="2">
        <f t="shared" si="21"/>
        <v>-301.06</v>
      </c>
      <c r="M113" s="2"/>
      <c r="N113" s="19">
        <f t="shared" si="22"/>
        <v>-1</v>
      </c>
      <c r="O113" s="11"/>
      <c r="P113" s="2">
        <v>0</v>
      </c>
      <c r="Q113" s="2"/>
      <c r="R113" s="19">
        <f t="shared" si="23"/>
        <v>0</v>
      </c>
      <c r="S113" s="2"/>
      <c r="T113" s="2">
        <v>1435.87</v>
      </c>
      <c r="U113" s="2"/>
      <c r="V113" s="19">
        <f t="shared" si="24"/>
        <v>5.8250707879144246E-4</v>
      </c>
      <c r="W113" s="2"/>
      <c r="X113" s="2">
        <f t="shared" si="25"/>
        <v>-1435.87</v>
      </c>
      <c r="Y113" s="2"/>
      <c r="Z113" s="19">
        <f t="shared" si="26"/>
        <v>-1</v>
      </c>
    </row>
    <row r="114" spans="1:26" s="24" customFormat="1" hidden="1" outlineLevel="1" x14ac:dyDescent="0.3">
      <c r="A114" s="44"/>
      <c r="B114" s="11" t="str">
        <f>CONCATENATE("          ", "5542", " - ", "FREIGHT-IN-EVERYDAY GIFTS")</f>
        <v xml:space="preserve">          5542 - FREIGHT-IN-EVERYDAY GIFTS</v>
      </c>
      <c r="C114" s="11"/>
      <c r="D114" s="2"/>
      <c r="E114" s="2"/>
      <c r="F114" s="19">
        <f t="shared" si="19"/>
        <v>0</v>
      </c>
      <c r="G114" s="2"/>
      <c r="H114" s="2">
        <v>21</v>
      </c>
      <c r="I114" s="2"/>
      <c r="J114" s="19">
        <f t="shared" si="20"/>
        <v>1.8923579915990112E-4</v>
      </c>
      <c r="K114" s="2"/>
      <c r="L114" s="2">
        <f t="shared" si="21"/>
        <v>-21</v>
      </c>
      <c r="M114" s="2"/>
      <c r="N114" s="19">
        <f t="shared" si="22"/>
        <v>-1</v>
      </c>
      <c r="O114" s="11"/>
      <c r="P114" s="2">
        <v>0</v>
      </c>
      <c r="Q114" s="2"/>
      <c r="R114" s="19">
        <f t="shared" si="23"/>
        <v>0</v>
      </c>
      <c r="S114" s="2"/>
      <c r="T114" s="2">
        <v>196.55</v>
      </c>
      <c r="U114" s="2"/>
      <c r="V114" s="19">
        <f t="shared" si="24"/>
        <v>7.9736860813623816E-5</v>
      </c>
      <c r="W114" s="2"/>
      <c r="X114" s="2">
        <f t="shared" si="25"/>
        <v>-196.55</v>
      </c>
      <c r="Y114" s="2"/>
      <c r="Z114" s="19">
        <f t="shared" si="26"/>
        <v>-1</v>
      </c>
    </row>
    <row r="115" spans="1:26" s="24" customFormat="1" hidden="1" outlineLevel="1" x14ac:dyDescent="0.3">
      <c r="A115" s="44"/>
      <c r="B115" s="11" t="str">
        <f>CONCATENATE("          ", "5543", " - ", "FREIGHT-IN-CARDS")</f>
        <v xml:space="preserve">          5543 - FREIGHT-IN-CARDS</v>
      </c>
      <c r="C115" s="11"/>
      <c r="D115" s="2"/>
      <c r="E115" s="2"/>
      <c r="F115" s="19">
        <f t="shared" si="19"/>
        <v>0</v>
      </c>
      <c r="G115" s="2"/>
      <c r="H115" s="2">
        <v>6323.12</v>
      </c>
      <c r="I115" s="2"/>
      <c r="J115" s="19">
        <f t="shared" si="20"/>
        <v>5.6979079351616856E-2</v>
      </c>
      <c r="K115" s="2"/>
      <c r="L115" s="2">
        <f t="shared" si="21"/>
        <v>-6323.12</v>
      </c>
      <c r="M115" s="2"/>
      <c r="N115" s="19">
        <f t="shared" si="22"/>
        <v>-1</v>
      </c>
      <c r="O115" s="11"/>
      <c r="P115" s="2"/>
      <c r="Q115" s="2"/>
      <c r="R115" s="19">
        <f t="shared" si="23"/>
        <v>0</v>
      </c>
      <c r="S115" s="2"/>
      <c r="T115" s="2">
        <v>6512.31</v>
      </c>
      <c r="U115" s="2"/>
      <c r="V115" s="19">
        <f t="shared" si="24"/>
        <v>2.6419290564496083E-3</v>
      </c>
      <c r="W115" s="2"/>
      <c r="X115" s="2">
        <f t="shared" si="25"/>
        <v>-6512.31</v>
      </c>
      <c r="Y115" s="2"/>
      <c r="Z115" s="19">
        <f t="shared" si="26"/>
        <v>-1</v>
      </c>
    </row>
    <row r="116" spans="1:26" s="24" customFormat="1" hidden="1" outlineLevel="1" x14ac:dyDescent="0.3">
      <c r="A116" s="44"/>
      <c r="B116" s="11" t="str">
        <f>CONCATENATE("          ", "5544", " - ", "FREIGHT-IN-ACCESSORIES")</f>
        <v xml:space="preserve">          5544 - FREIGHT-IN-ACCESSORIES</v>
      </c>
      <c r="C116" s="11"/>
      <c r="D116" s="2"/>
      <c r="E116" s="2"/>
      <c r="F116" s="19">
        <f t="shared" si="19"/>
        <v>0</v>
      </c>
      <c r="G116" s="2"/>
      <c r="H116" s="2"/>
      <c r="I116" s="2"/>
      <c r="J116" s="19">
        <f t="shared" si="20"/>
        <v>0</v>
      </c>
      <c r="K116" s="2"/>
      <c r="L116" s="2">
        <f t="shared" si="21"/>
        <v>0</v>
      </c>
      <c r="M116" s="2"/>
      <c r="N116" s="19">
        <f t="shared" si="22"/>
        <v>0</v>
      </c>
      <c r="O116" s="11"/>
      <c r="P116" s="2">
        <v>0</v>
      </c>
      <c r="Q116" s="2"/>
      <c r="R116" s="19">
        <f t="shared" si="23"/>
        <v>0</v>
      </c>
      <c r="S116" s="2"/>
      <c r="T116" s="2"/>
      <c r="U116" s="2"/>
      <c r="V116" s="19">
        <f t="shared" si="24"/>
        <v>0</v>
      </c>
      <c r="W116" s="2"/>
      <c r="X116" s="2">
        <f t="shared" si="25"/>
        <v>0</v>
      </c>
      <c r="Y116" s="2"/>
      <c r="Z116" s="19">
        <f t="shared" si="26"/>
        <v>0</v>
      </c>
    </row>
    <row r="117" spans="1:26" s="24" customFormat="1" hidden="1" outlineLevel="1" x14ac:dyDescent="0.3">
      <c r="A117" s="44"/>
      <c r="B117" s="11" t="str">
        <f>CONCATENATE("          ", "5545", " - ", "FREIGHT-IN-SPECIAL ORDERS")</f>
        <v xml:space="preserve">          5545 - FREIGHT-IN-SPECIAL ORDERS</v>
      </c>
      <c r="C117" s="11"/>
      <c r="D117" s="2"/>
      <c r="E117" s="2"/>
      <c r="F117" s="19">
        <f t="shared" si="19"/>
        <v>0</v>
      </c>
      <c r="G117" s="2"/>
      <c r="H117" s="2">
        <v>37.590000000000003</v>
      </c>
      <c r="I117" s="2"/>
      <c r="J117" s="19">
        <f t="shared" si="20"/>
        <v>3.3873208049622303E-4</v>
      </c>
      <c r="K117" s="2"/>
      <c r="L117" s="2">
        <f t="shared" si="21"/>
        <v>-37.590000000000003</v>
      </c>
      <c r="M117" s="2"/>
      <c r="N117" s="19">
        <f t="shared" si="22"/>
        <v>-1</v>
      </c>
      <c r="O117" s="11"/>
      <c r="P117" s="2">
        <v>0</v>
      </c>
      <c r="Q117" s="2"/>
      <c r="R117" s="19">
        <f t="shared" si="23"/>
        <v>0</v>
      </c>
      <c r="S117" s="2"/>
      <c r="T117" s="2">
        <v>887.86</v>
      </c>
      <c r="U117" s="2"/>
      <c r="V117" s="19">
        <f t="shared" si="24"/>
        <v>3.6018910832858836E-4</v>
      </c>
      <c r="W117" s="2"/>
      <c r="X117" s="2">
        <f t="shared" si="25"/>
        <v>-887.86</v>
      </c>
      <c r="Y117" s="2"/>
      <c r="Z117" s="19">
        <f t="shared" si="26"/>
        <v>-1</v>
      </c>
    </row>
    <row r="118" spans="1:26" s="24" customFormat="1" hidden="1" outlineLevel="1" x14ac:dyDescent="0.3">
      <c r="A118" s="44"/>
      <c r="B118" s="11" t="str">
        <f>CONCATENATE("          ", "5592", " - ", "FREIGHT-IN-GRAD MERCH")</f>
        <v xml:space="preserve">          5592 - FREIGHT-IN-GRAD MERCH</v>
      </c>
      <c r="C118" s="11"/>
      <c r="D118" s="2"/>
      <c r="E118" s="2"/>
      <c r="F118" s="19">
        <f t="shared" si="19"/>
        <v>0</v>
      </c>
      <c r="G118" s="2"/>
      <c r="H118" s="2"/>
      <c r="I118" s="2"/>
      <c r="J118" s="19">
        <f t="shared" si="20"/>
        <v>0</v>
      </c>
      <c r="K118" s="2"/>
      <c r="L118" s="2">
        <f t="shared" si="21"/>
        <v>0</v>
      </c>
      <c r="M118" s="2"/>
      <c r="N118" s="19">
        <f t="shared" si="22"/>
        <v>0</v>
      </c>
      <c r="O118" s="11"/>
      <c r="P118" s="2"/>
      <c r="Q118" s="2"/>
      <c r="R118" s="19">
        <f t="shared" si="23"/>
        <v>0</v>
      </c>
      <c r="S118" s="2"/>
      <c r="T118" s="2">
        <v>0</v>
      </c>
      <c r="U118" s="2"/>
      <c r="V118" s="19">
        <f t="shared" si="24"/>
        <v>0</v>
      </c>
      <c r="W118" s="2"/>
      <c r="X118" s="2">
        <f t="shared" si="25"/>
        <v>0</v>
      </c>
      <c r="Y118" s="2"/>
      <c r="Z118" s="19">
        <f t="shared" si="26"/>
        <v>0</v>
      </c>
    </row>
    <row r="119" spans="1:26" x14ac:dyDescent="0.3">
      <c r="A119" s="9"/>
      <c r="B119" s="10"/>
      <c r="C119" s="10"/>
      <c r="D119" s="3"/>
      <c r="E119" s="3"/>
      <c r="F119" s="8"/>
      <c r="G119" s="3"/>
      <c r="H119" s="3"/>
      <c r="I119" s="3"/>
      <c r="J119" s="8"/>
      <c r="K119" s="3"/>
      <c r="L119" s="3"/>
      <c r="M119" s="3"/>
      <c r="N119" s="8"/>
      <c r="O119" s="10"/>
      <c r="P119" s="3"/>
      <c r="Q119" s="3"/>
      <c r="R119" s="8"/>
      <c r="S119" s="3"/>
      <c r="T119" s="3"/>
      <c r="U119" s="3"/>
      <c r="V119" s="8"/>
      <c r="W119" s="3"/>
      <c r="X119" s="3"/>
      <c r="Y119" s="3"/>
      <c r="Z119" s="8"/>
    </row>
    <row r="120" spans="1:26" s="23" customFormat="1" x14ac:dyDescent="0.3">
      <c r="A120" s="10"/>
      <c r="B120" s="25" t="s">
        <v>107</v>
      </c>
      <c r="C120" s="25"/>
      <c r="D120" s="21">
        <f>D12-D79</f>
        <v>156662.3900000001</v>
      </c>
      <c r="E120" s="13"/>
      <c r="F120" s="22">
        <f>IF(D$12=0,0,D120/D$12)</f>
        <v>0.53153015513956658</v>
      </c>
      <c r="G120" s="13"/>
      <c r="H120" s="21">
        <f>H12-H79</f>
        <v>49628.56</v>
      </c>
      <c r="I120" s="13"/>
      <c r="J120" s="22">
        <f>IF(H$12=0,0,H120/H$12)</f>
        <v>0.44721429584548106</v>
      </c>
      <c r="K120" s="16"/>
      <c r="L120" s="21">
        <f>+D120-H120</f>
        <v>107033.8300000001</v>
      </c>
      <c r="M120" s="16"/>
      <c r="N120" s="22">
        <f>IF(H120=0,0,L120/H120)</f>
        <v>2.1566982801838317</v>
      </c>
      <c r="O120" s="26"/>
      <c r="P120" s="21">
        <f>P12-P79</f>
        <v>1209080.5599999998</v>
      </c>
      <c r="Q120" s="13"/>
      <c r="R120" s="22">
        <f>IF(P$12=0,0,P120/P$12)</f>
        <v>0.38226870083509079</v>
      </c>
      <c r="S120" s="13"/>
      <c r="T120" s="21">
        <f>T12-T79</f>
        <v>863208.88999999943</v>
      </c>
      <c r="U120" s="13"/>
      <c r="V120" s="22">
        <f>IF(T$12=0,0,T120/T$12)</f>
        <v>0.35018858873066733</v>
      </c>
      <c r="W120" s="16"/>
      <c r="X120" s="21">
        <f>+P120-T120</f>
        <v>345871.67000000039</v>
      </c>
      <c r="Y120" s="16"/>
      <c r="Z120" s="22">
        <f>IF(T120=0,0,X120/T120)</f>
        <v>0.4006813113335761</v>
      </c>
    </row>
    <row r="121" spans="1:26" x14ac:dyDescent="0.3">
      <c r="A121" s="9"/>
      <c r="B121" s="10"/>
      <c r="C121" s="9"/>
      <c r="D121" s="1"/>
      <c r="E121" s="1"/>
      <c r="F121" s="5"/>
      <c r="G121" s="1"/>
      <c r="H121" s="1"/>
      <c r="I121" s="1"/>
      <c r="J121" s="5"/>
      <c r="K121" s="1"/>
      <c r="L121" s="1"/>
      <c r="M121" s="1"/>
      <c r="N121" s="5"/>
      <c r="O121" s="37"/>
      <c r="P121" s="1"/>
      <c r="Q121" s="1"/>
      <c r="R121" s="5"/>
      <c r="S121" s="1"/>
      <c r="T121" s="1"/>
      <c r="U121" s="1"/>
      <c r="V121" s="5"/>
      <c r="W121" s="1"/>
      <c r="X121" s="1"/>
      <c r="Y121" s="1"/>
      <c r="Z121" s="5"/>
    </row>
    <row r="122" spans="1:26" s="23" customFormat="1" x14ac:dyDescent="0.3">
      <c r="A122" s="10"/>
      <c r="B122" s="26" t="s">
        <v>294</v>
      </c>
      <c r="C122" s="10"/>
      <c r="D122" s="20">
        <f>SUM(OSRRefD22x_0)</f>
        <v>264883.31999999995</v>
      </c>
      <c r="E122" s="20"/>
      <c r="F122" s="32">
        <f t="shared" ref="F122:F133" si="27">IF(D$12=0,0,D122/D$12)</f>
        <v>0.89870627004658454</v>
      </c>
      <c r="G122" s="20"/>
      <c r="H122" s="20">
        <f>SUM(OSRRefH22x_0)</f>
        <v>235558.71999999994</v>
      </c>
      <c r="I122" s="20"/>
      <c r="J122" s="32">
        <f t="shared" ref="J122:J133" si="28">IF(H$12=0,0,H122/H$12)</f>
        <v>2.1226734584896847</v>
      </c>
      <c r="K122" s="4"/>
      <c r="L122" s="20">
        <f t="shared" ref="L122:L133" si="29">+D122-H122</f>
        <v>29324.600000000006</v>
      </c>
      <c r="M122" s="4"/>
      <c r="N122" s="32">
        <f t="shared" ref="N122:N133" si="30">IF(H122=0,0,L122/H122)</f>
        <v>0.12448955402712332</v>
      </c>
      <c r="O122" s="10"/>
      <c r="P122" s="20">
        <f>SUM(OSRRefP22x_0)</f>
        <v>1591336.9099999995</v>
      </c>
      <c r="Q122" s="20"/>
      <c r="R122" s="32">
        <f t="shared" ref="R122:R133" si="31">IF(P$12=0,0,P122/P$12)</f>
        <v>0.50312469929764447</v>
      </c>
      <c r="S122" s="20"/>
      <c r="T122" s="20">
        <f>SUM(OSRRefT22x_0)</f>
        <v>1358799.8499999999</v>
      </c>
      <c r="U122" s="20"/>
      <c r="V122" s="32">
        <f t="shared" ref="V122:V133" si="32">IF(T$12=0,0,T122/T$12)</f>
        <v>0.55124108121609217</v>
      </c>
      <c r="W122" s="4"/>
      <c r="X122" s="20">
        <f t="shared" ref="X122:X133" si="33">+P122-T122</f>
        <v>232537.05999999959</v>
      </c>
      <c r="Y122" s="4"/>
      <c r="Z122" s="32">
        <f t="shared" ref="Z122:Z133" si="34">IF(T122=0,0,X122/T122)</f>
        <v>0.17113415195034032</v>
      </c>
    </row>
    <row r="123" spans="1:26" s="29" customFormat="1" outlineLevel="1" collapsed="1" x14ac:dyDescent="0.3">
      <c r="A123" s="28"/>
      <c r="B123" s="14" t="str">
        <f>CONCATENATE("     ","*Benefits                                         ")</f>
        <v xml:space="preserve">     *Benefits                                         </v>
      </c>
      <c r="C123" s="14"/>
      <c r="D123" s="1">
        <f>SUM(OSRRefD22_0x_0)</f>
        <v>51237.49</v>
      </c>
      <c r="E123" s="1"/>
      <c r="F123" s="5">
        <f t="shared" si="27"/>
        <v>0.17384051787197918</v>
      </c>
      <c r="G123" s="1"/>
      <c r="H123" s="1">
        <f>SUM(OSRRefH22_0x_0)</f>
        <v>43633.14</v>
      </c>
      <c r="I123" s="1"/>
      <c r="J123" s="5">
        <f t="shared" si="28"/>
        <v>0.39318819608361183</v>
      </c>
      <c r="K123" s="1"/>
      <c r="L123" s="1">
        <f t="shared" si="29"/>
        <v>7604.3499999999985</v>
      </c>
      <c r="M123" s="1"/>
      <c r="N123" s="5">
        <f t="shared" si="30"/>
        <v>0.17427922904471232</v>
      </c>
      <c r="O123" s="14"/>
      <c r="P123" s="1">
        <f>SUM(OSRRefP22_0x_0)</f>
        <v>257076.36</v>
      </c>
      <c r="Q123" s="1"/>
      <c r="R123" s="5">
        <f t="shared" si="31"/>
        <v>8.1278493264844237E-2</v>
      </c>
      <c r="S123" s="1"/>
      <c r="T123" s="1">
        <f>SUM(OSRRefT22_0x_0)</f>
        <v>224541.76999999996</v>
      </c>
      <c r="U123" s="1"/>
      <c r="V123" s="5">
        <f t="shared" si="32"/>
        <v>9.1092627124572514E-2</v>
      </c>
      <c r="W123" s="1"/>
      <c r="X123" s="1">
        <f t="shared" si="33"/>
        <v>32534.590000000026</v>
      </c>
      <c r="Y123" s="1"/>
      <c r="Z123" s="5">
        <f t="shared" si="34"/>
        <v>0.14489326417975609</v>
      </c>
    </row>
    <row r="124" spans="1:26" s="24" customFormat="1" hidden="1" outlineLevel="2" x14ac:dyDescent="0.3">
      <c r="A124" s="27"/>
      <c r="B124" s="11" t="str">
        <f>CONCATENATE("          ", "6111", " - ", "F.I.C.A.")</f>
        <v xml:space="preserve">          6111 - F.I.C.A.</v>
      </c>
      <c r="C124" s="11"/>
      <c r="D124" s="6">
        <v>8839.07</v>
      </c>
      <c r="E124" s="2"/>
      <c r="F124" s="7">
        <f t="shared" si="27"/>
        <v>2.9989535129583342E-2</v>
      </c>
      <c r="G124" s="2"/>
      <c r="H124" s="6">
        <v>6492.33</v>
      </c>
      <c r="I124" s="2"/>
      <c r="J124" s="7">
        <f t="shared" si="28"/>
        <v>5.8503869331419094E-2</v>
      </c>
      <c r="K124" s="2"/>
      <c r="L124" s="6">
        <f t="shared" si="29"/>
        <v>2346.7399999999998</v>
      </c>
      <c r="M124" s="2"/>
      <c r="N124" s="7">
        <f t="shared" si="30"/>
        <v>0.3614634499478615</v>
      </c>
      <c r="O124" s="11"/>
      <c r="P124" s="6">
        <v>49049.78</v>
      </c>
      <c r="Q124" s="2"/>
      <c r="R124" s="7">
        <f t="shared" si="31"/>
        <v>1.5507813372540719E-2</v>
      </c>
      <c r="S124" s="2"/>
      <c r="T124" s="6">
        <v>48200.2</v>
      </c>
      <c r="U124" s="2"/>
      <c r="V124" s="7">
        <f t="shared" si="32"/>
        <v>1.9553969160970901E-2</v>
      </c>
      <c r="W124" s="2"/>
      <c r="X124" s="6">
        <f t="shared" si="33"/>
        <v>849.58000000000175</v>
      </c>
      <c r="Y124" s="2"/>
      <c r="Z124" s="7">
        <f t="shared" si="34"/>
        <v>1.7626067941626834E-2</v>
      </c>
    </row>
    <row r="125" spans="1:26" s="24" customFormat="1" hidden="1" outlineLevel="2" x14ac:dyDescent="0.3">
      <c r="A125" s="27"/>
      <c r="B125" s="11" t="str">
        <f>CONCATENATE("          ", "6112", " - ", "COMPENSATION INSURANCE")</f>
        <v xml:space="preserve">          6112 - COMPENSATION INSURANCE</v>
      </c>
      <c r="C125" s="11"/>
      <c r="D125" s="6">
        <v>2407.42</v>
      </c>
      <c r="E125" s="2"/>
      <c r="F125" s="7">
        <f t="shared" si="27"/>
        <v>8.1679867521879026E-3</v>
      </c>
      <c r="G125" s="2"/>
      <c r="H125" s="6">
        <v>2778.24</v>
      </c>
      <c r="I125" s="2"/>
      <c r="J125" s="7">
        <f t="shared" si="28"/>
        <v>2.5035355555143031E-2</v>
      </c>
      <c r="K125" s="2"/>
      <c r="L125" s="6">
        <f t="shared" si="29"/>
        <v>-370.81999999999971</v>
      </c>
      <c r="M125" s="2"/>
      <c r="N125" s="7">
        <f t="shared" si="30"/>
        <v>-0.13347299009444819</v>
      </c>
      <c r="O125" s="11"/>
      <c r="P125" s="6">
        <v>12701.04</v>
      </c>
      <c r="Q125" s="2"/>
      <c r="R125" s="7">
        <f t="shared" si="31"/>
        <v>4.0156216390200847E-3</v>
      </c>
      <c r="S125" s="2"/>
      <c r="T125" s="6">
        <v>12736.66</v>
      </c>
      <c r="U125" s="2"/>
      <c r="V125" s="7">
        <f t="shared" si="32"/>
        <v>5.1670378308341387E-3</v>
      </c>
      <c r="W125" s="2"/>
      <c r="X125" s="6">
        <f t="shared" si="33"/>
        <v>-35.619999999998981</v>
      </c>
      <c r="Y125" s="2"/>
      <c r="Z125" s="7">
        <f t="shared" si="34"/>
        <v>-2.7966515554312499E-3</v>
      </c>
    </row>
    <row r="126" spans="1:26" s="24" customFormat="1" hidden="1" outlineLevel="2" x14ac:dyDescent="0.3">
      <c r="A126" s="27"/>
      <c r="B126" s="11" t="str">
        <f>CONCATENATE("          ", "6113", " - ", "GROUP INSURANCE")</f>
        <v xml:space="preserve">          6113 - GROUP INSURANCE</v>
      </c>
      <c r="C126" s="11"/>
      <c r="D126" s="6">
        <v>17975.22</v>
      </c>
      <c r="E126" s="2"/>
      <c r="F126" s="7">
        <f t="shared" si="27"/>
        <v>6.098701465787567E-2</v>
      </c>
      <c r="G126" s="2"/>
      <c r="H126" s="6">
        <v>14801.22</v>
      </c>
      <c r="I126" s="2"/>
      <c r="J126" s="7">
        <f t="shared" si="28"/>
        <v>0.13337717596388152</v>
      </c>
      <c r="K126" s="2"/>
      <c r="L126" s="6">
        <f t="shared" si="29"/>
        <v>3174.0000000000018</v>
      </c>
      <c r="M126" s="2"/>
      <c r="N126" s="7">
        <f t="shared" si="30"/>
        <v>0.21444178250171284</v>
      </c>
      <c r="O126" s="11"/>
      <c r="P126" s="6">
        <v>90256.33</v>
      </c>
      <c r="Q126" s="2"/>
      <c r="R126" s="7">
        <f t="shared" si="31"/>
        <v>2.8535873582520618E-2</v>
      </c>
      <c r="S126" s="2"/>
      <c r="T126" s="6">
        <v>73387.429999999993</v>
      </c>
      <c r="U126" s="2"/>
      <c r="V126" s="7">
        <f t="shared" si="32"/>
        <v>2.9771983166520275E-2</v>
      </c>
      <c r="W126" s="2"/>
      <c r="X126" s="6">
        <f t="shared" si="33"/>
        <v>16868.900000000009</v>
      </c>
      <c r="Y126" s="2"/>
      <c r="Z126" s="7">
        <f t="shared" si="34"/>
        <v>0.2298608903459354</v>
      </c>
    </row>
    <row r="127" spans="1:26" s="24" customFormat="1" hidden="1" outlineLevel="2" x14ac:dyDescent="0.3">
      <c r="A127" s="27"/>
      <c r="B127" s="11" t="str">
        <f>CONCATENATE("          ", "6114", " - ", "STATE UNEMPLOYMENT INSURANCE")</f>
        <v xml:space="preserve">          6114 - STATE UNEMPLOYMENT INSURANCE</v>
      </c>
      <c r="C127" s="11"/>
      <c r="D127" s="6">
        <v>432.61</v>
      </c>
      <c r="E127" s="2"/>
      <c r="F127" s="7">
        <f t="shared" si="27"/>
        <v>1.4677757719317812E-3</v>
      </c>
      <c r="G127" s="2"/>
      <c r="H127" s="6">
        <v>510.18</v>
      </c>
      <c r="I127" s="2"/>
      <c r="J127" s="7">
        <f t="shared" si="28"/>
        <v>4.5973485721618268E-3</v>
      </c>
      <c r="K127" s="2"/>
      <c r="L127" s="6">
        <f t="shared" si="29"/>
        <v>-77.569999999999993</v>
      </c>
      <c r="M127" s="2"/>
      <c r="N127" s="7">
        <f t="shared" si="30"/>
        <v>-0.15204437649457053</v>
      </c>
      <c r="O127" s="11"/>
      <c r="P127" s="6">
        <v>2292.79</v>
      </c>
      <c r="Q127" s="2"/>
      <c r="R127" s="7">
        <f t="shared" si="31"/>
        <v>7.2489946789623997E-4</v>
      </c>
      <c r="S127" s="2"/>
      <c r="T127" s="6">
        <v>1948.27</v>
      </c>
      <c r="U127" s="2"/>
      <c r="V127" s="7">
        <f t="shared" si="32"/>
        <v>7.9037870169096347E-4</v>
      </c>
      <c r="W127" s="2"/>
      <c r="X127" s="6">
        <f t="shared" si="33"/>
        <v>344.52</v>
      </c>
      <c r="Y127" s="2"/>
      <c r="Z127" s="7">
        <f t="shared" si="34"/>
        <v>0.17683380640260332</v>
      </c>
    </row>
    <row r="128" spans="1:26" s="24" customFormat="1" hidden="1" outlineLevel="2" x14ac:dyDescent="0.3">
      <c r="A128" s="27"/>
      <c r="B128" s="11" t="str">
        <f>CONCATENATE("          ", "6115", " - ", "P.E.R.S.")</f>
        <v xml:space="preserve">          6115 - P.E.R.S.</v>
      </c>
      <c r="C128" s="11"/>
      <c r="D128" s="6">
        <v>8571.01</v>
      </c>
      <c r="E128" s="2"/>
      <c r="F128" s="7">
        <f t="shared" si="27"/>
        <v>2.9080050898002859E-2</v>
      </c>
      <c r="G128" s="2"/>
      <c r="H128" s="6">
        <v>8378.09</v>
      </c>
      <c r="I128" s="2"/>
      <c r="J128" s="7">
        <f t="shared" si="28"/>
        <v>7.549688364683696E-2</v>
      </c>
      <c r="K128" s="2"/>
      <c r="L128" s="6">
        <f t="shared" si="29"/>
        <v>192.92000000000007</v>
      </c>
      <c r="M128" s="2"/>
      <c r="N128" s="7">
        <f t="shared" si="30"/>
        <v>2.3026728048994468E-2</v>
      </c>
      <c r="O128" s="11"/>
      <c r="P128" s="6">
        <v>36904.04</v>
      </c>
      <c r="Q128" s="2"/>
      <c r="R128" s="7">
        <f t="shared" si="31"/>
        <v>1.1667758041173225E-2</v>
      </c>
      <c r="S128" s="2"/>
      <c r="T128" s="6">
        <v>33561.26</v>
      </c>
      <c r="U128" s="2"/>
      <c r="V128" s="7">
        <f t="shared" si="32"/>
        <v>1.3615209958533913E-2</v>
      </c>
      <c r="W128" s="2"/>
      <c r="X128" s="6">
        <f t="shared" si="33"/>
        <v>3342.7799999999988</v>
      </c>
      <c r="Y128" s="2"/>
      <c r="Z128" s="7">
        <f t="shared" si="34"/>
        <v>9.9602339125527434E-2</v>
      </c>
    </row>
    <row r="129" spans="1:26" s="24" customFormat="1" hidden="1" outlineLevel="2" x14ac:dyDescent="0.3">
      <c r="A129" s="27"/>
      <c r="B129" s="11" t="str">
        <f>CONCATENATE("          ", "6116", " - ", "EDUCATIONAL BENEFITS")</f>
        <v xml:space="preserve">          6116 - EDUCATIONAL BENEFITS</v>
      </c>
      <c r="C129" s="11"/>
      <c r="D129" s="6"/>
      <c r="E129" s="2"/>
      <c r="F129" s="7">
        <f t="shared" si="27"/>
        <v>0</v>
      </c>
      <c r="G129" s="2"/>
      <c r="H129" s="6"/>
      <c r="I129" s="2"/>
      <c r="J129" s="7">
        <f t="shared" si="28"/>
        <v>0</v>
      </c>
      <c r="K129" s="2"/>
      <c r="L129" s="6">
        <f t="shared" si="29"/>
        <v>0</v>
      </c>
      <c r="M129" s="2"/>
      <c r="N129" s="7">
        <f t="shared" si="30"/>
        <v>0</v>
      </c>
      <c r="O129" s="11"/>
      <c r="P129" s="6"/>
      <c r="Q129" s="2"/>
      <c r="R129" s="7">
        <f t="shared" si="31"/>
        <v>0</v>
      </c>
      <c r="S129" s="2"/>
      <c r="T129" s="6">
        <v>0</v>
      </c>
      <c r="U129" s="2"/>
      <c r="V129" s="7">
        <f t="shared" si="32"/>
        <v>0</v>
      </c>
      <c r="W129" s="2"/>
      <c r="X129" s="6">
        <f t="shared" si="33"/>
        <v>0</v>
      </c>
      <c r="Y129" s="2"/>
      <c r="Z129" s="7">
        <f t="shared" si="34"/>
        <v>0</v>
      </c>
    </row>
    <row r="130" spans="1:26" s="24" customFormat="1" hidden="1" outlineLevel="2" x14ac:dyDescent="0.3">
      <c r="A130" s="27"/>
      <c r="B130" s="11" t="str">
        <f>CONCATENATE("          ", "6117", " - ", "RETIREMENT STAFF HOURLY")</f>
        <v xml:space="preserve">          6117 - RETIREMENT STAFF HOURLY</v>
      </c>
      <c r="C130" s="11"/>
      <c r="D130" s="6">
        <v>588.41999999999996</v>
      </c>
      <c r="E130" s="2"/>
      <c r="F130" s="7">
        <f t="shared" si="27"/>
        <v>1.9964139056427234E-3</v>
      </c>
      <c r="G130" s="2"/>
      <c r="H130" s="6">
        <v>232.91</v>
      </c>
      <c r="I130" s="2"/>
      <c r="J130" s="7">
        <f t="shared" si="28"/>
        <v>2.0988052372539318E-3</v>
      </c>
      <c r="K130" s="2"/>
      <c r="L130" s="6">
        <f t="shared" si="29"/>
        <v>355.51</v>
      </c>
      <c r="M130" s="2"/>
      <c r="N130" s="7">
        <f t="shared" si="30"/>
        <v>1.5263835816409772</v>
      </c>
      <c r="O130" s="11"/>
      <c r="P130" s="6">
        <v>3104.14</v>
      </c>
      <c r="Q130" s="2"/>
      <c r="R130" s="7">
        <f t="shared" si="31"/>
        <v>9.814197699202431E-4</v>
      </c>
      <c r="S130" s="2"/>
      <c r="T130" s="6">
        <v>1293.6500000000001</v>
      </c>
      <c r="U130" s="2"/>
      <c r="V130" s="7">
        <f t="shared" si="32"/>
        <v>5.248109386494248E-4</v>
      </c>
      <c r="W130" s="2"/>
      <c r="X130" s="6">
        <f t="shared" si="33"/>
        <v>1810.4899999999998</v>
      </c>
      <c r="Y130" s="2"/>
      <c r="Z130" s="7">
        <f t="shared" si="34"/>
        <v>1.3995207359022916</v>
      </c>
    </row>
    <row r="131" spans="1:26" s="24" customFormat="1" hidden="1" outlineLevel="2" x14ac:dyDescent="0.3">
      <c r="A131" s="27"/>
      <c r="B131" s="11" t="str">
        <f>CONCATENATE("          ", "6118", " - ", "VACATION")</f>
        <v xml:space="preserve">          6118 - VACATION</v>
      </c>
      <c r="C131" s="11"/>
      <c r="D131" s="6">
        <v>5643.29</v>
      </c>
      <c r="E131" s="2"/>
      <c r="F131" s="7">
        <f t="shared" si="27"/>
        <v>1.9146770384376E-2</v>
      </c>
      <c r="G131" s="2"/>
      <c r="H131" s="6">
        <v>5161.6000000000004</v>
      </c>
      <c r="I131" s="2"/>
      <c r="J131" s="7">
        <f t="shared" si="28"/>
        <v>4.6512357187797414E-2</v>
      </c>
      <c r="K131" s="2"/>
      <c r="L131" s="6">
        <f t="shared" si="29"/>
        <v>481.6899999999996</v>
      </c>
      <c r="M131" s="2"/>
      <c r="N131" s="7">
        <f t="shared" si="30"/>
        <v>9.3321838189708531E-2</v>
      </c>
      <c r="O131" s="11"/>
      <c r="P131" s="6">
        <v>28890.89</v>
      </c>
      <c r="Q131" s="2"/>
      <c r="R131" s="7">
        <f t="shared" si="31"/>
        <v>9.1342821575673312E-3</v>
      </c>
      <c r="S131" s="2"/>
      <c r="T131" s="6">
        <v>26435.31</v>
      </c>
      <c r="U131" s="2"/>
      <c r="V131" s="7">
        <f t="shared" si="32"/>
        <v>1.0724338000686838E-2</v>
      </c>
      <c r="W131" s="2"/>
      <c r="X131" s="6">
        <f t="shared" si="33"/>
        <v>2455.5799999999981</v>
      </c>
      <c r="Y131" s="2"/>
      <c r="Z131" s="7">
        <f t="shared" si="34"/>
        <v>9.2890153359275834E-2</v>
      </c>
    </row>
    <row r="132" spans="1:26" s="24" customFormat="1" hidden="1" outlineLevel="2" x14ac:dyDescent="0.3">
      <c r="A132" s="27"/>
      <c r="B132" s="11" t="str">
        <f>CONCATENATE("          ", "6119", " - ", "SICK LEAVE")</f>
        <v xml:space="preserve">          6119 - SICK LEAVE</v>
      </c>
      <c r="C132" s="11"/>
      <c r="D132" s="6">
        <v>3805.28</v>
      </c>
      <c r="E132" s="2"/>
      <c r="F132" s="7">
        <f t="shared" si="27"/>
        <v>1.2910699681968906E-2</v>
      </c>
      <c r="G132" s="2"/>
      <c r="H132" s="6">
        <v>3729.66</v>
      </c>
      <c r="I132" s="2"/>
      <c r="J132" s="7">
        <f t="shared" si="28"/>
        <v>3.3608818604510322E-2</v>
      </c>
      <c r="K132" s="2"/>
      <c r="L132" s="6">
        <f t="shared" si="29"/>
        <v>75.620000000000346</v>
      </c>
      <c r="M132" s="2"/>
      <c r="N132" s="7">
        <f t="shared" si="30"/>
        <v>2.0275306596311823E-2</v>
      </c>
      <c r="O132" s="11"/>
      <c r="P132" s="6">
        <v>20974.86</v>
      </c>
      <c r="Q132" s="2"/>
      <c r="R132" s="7">
        <f t="shared" si="31"/>
        <v>6.6315121983252408E-3</v>
      </c>
      <c r="S132" s="2"/>
      <c r="T132" s="6">
        <v>19349.12</v>
      </c>
      <c r="U132" s="2"/>
      <c r="V132" s="7">
        <f t="shared" si="32"/>
        <v>7.8495959720483576E-3</v>
      </c>
      <c r="W132" s="2"/>
      <c r="X132" s="6">
        <f t="shared" si="33"/>
        <v>1625.7400000000016</v>
      </c>
      <c r="Y132" s="2"/>
      <c r="Z132" s="7">
        <f t="shared" si="34"/>
        <v>8.4021392187345043E-2</v>
      </c>
    </row>
    <row r="133" spans="1:26" s="24" customFormat="1" hidden="1" outlineLevel="2" x14ac:dyDescent="0.3">
      <c r="A133" s="27"/>
      <c r="B133" s="11" t="str">
        <f>CONCATENATE("          ", "6156", " - ", "EMPLOYEE MEALS")</f>
        <v xml:space="preserve">          6156 - EMPLOYEE MEALS</v>
      </c>
      <c r="C133" s="11"/>
      <c r="D133" s="6">
        <v>2975.17</v>
      </c>
      <c r="E133" s="2"/>
      <c r="F133" s="7">
        <f t="shared" si="27"/>
        <v>1.0094270690410018E-2</v>
      </c>
      <c r="G133" s="2"/>
      <c r="H133" s="6">
        <v>1548.91</v>
      </c>
      <c r="I133" s="2"/>
      <c r="J133" s="7">
        <f t="shared" si="28"/>
        <v>1.3957581984607738E-2</v>
      </c>
      <c r="K133" s="2"/>
      <c r="L133" s="6">
        <f t="shared" si="29"/>
        <v>1426.26</v>
      </c>
      <c r="M133" s="2"/>
      <c r="N133" s="7">
        <f t="shared" si="30"/>
        <v>0.92081528300546833</v>
      </c>
      <c r="O133" s="11"/>
      <c r="P133" s="6">
        <v>12902.49</v>
      </c>
      <c r="Q133" s="2"/>
      <c r="R133" s="7">
        <f t="shared" si="31"/>
        <v>4.0793130358805461E-3</v>
      </c>
      <c r="S133" s="2"/>
      <c r="T133" s="6">
        <v>7629.87</v>
      </c>
      <c r="U133" s="2"/>
      <c r="V133" s="7">
        <f t="shared" si="32"/>
        <v>3.0953033946377203E-3</v>
      </c>
      <c r="W133" s="2"/>
      <c r="X133" s="6">
        <f t="shared" si="33"/>
        <v>5272.62</v>
      </c>
      <c r="Y133" s="2"/>
      <c r="Z133" s="7">
        <f t="shared" si="34"/>
        <v>0.69104978197531541</v>
      </c>
    </row>
    <row r="134" spans="1:26" s="29" customFormat="1" outlineLevel="1" collapsed="1" x14ac:dyDescent="0.3">
      <c r="A134" s="28"/>
      <c r="B134" s="14" t="str">
        <f>CONCATENATE("     ","*Payroll                                          ")</f>
        <v xml:space="preserve">     *Payroll                                          </v>
      </c>
      <c r="C134" s="14"/>
      <c r="D134" s="1">
        <f>SUM(OSRRefD22_1x_0)</f>
        <v>121390.19</v>
      </c>
      <c r="E134" s="1"/>
      <c r="F134" s="5">
        <f t="shared" ref="F134:F141" si="35">IF(D$12=0,0,D134/D$12)</f>
        <v>0.41185728446451908</v>
      </c>
      <c r="G134" s="1"/>
      <c r="H134" s="1">
        <f>SUM(OSRRefH22_1x_0)</f>
        <v>92205.430000000008</v>
      </c>
      <c r="I134" s="1"/>
      <c r="J134" s="5">
        <f t="shared" ref="J134:J141" si="36">IF(H$12=0,0,H134/H$12)</f>
        <v>0.83088420156820586</v>
      </c>
      <c r="K134" s="1"/>
      <c r="L134" s="1">
        <f t="shared" ref="L134:L141" si="37">+D134-H134</f>
        <v>29184.759999999995</v>
      </c>
      <c r="M134" s="1"/>
      <c r="N134" s="5">
        <f t="shared" ref="N134:N141" si="38">IF(H134=0,0,L134/H134)</f>
        <v>0.31651888614369017</v>
      </c>
      <c r="O134" s="14"/>
      <c r="P134" s="1">
        <f>SUM(OSRRefP22_1x_0)</f>
        <v>804930.64</v>
      </c>
      <c r="Q134" s="1"/>
      <c r="R134" s="5">
        <f t="shared" ref="R134:R141" si="39">IF(P$12=0,0,P134/P$12)</f>
        <v>0.25449072642037862</v>
      </c>
      <c r="S134" s="1"/>
      <c r="T134" s="1">
        <f>SUM(OSRRefT22_1x_0)</f>
        <v>610409.8600000001</v>
      </c>
      <c r="U134" s="1"/>
      <c r="V134" s="5">
        <f t="shared" ref="V134:V141" si="40">IF(T$12=0,0,T134/T$12)</f>
        <v>0.24763249069490514</v>
      </c>
      <c r="W134" s="1"/>
      <c r="X134" s="1">
        <f t="shared" ref="X134:X141" si="41">+P134-T134</f>
        <v>194520.77999999991</v>
      </c>
      <c r="Y134" s="1"/>
      <c r="Z134" s="5">
        <f t="shared" ref="Z134:Z141" si="42">IF(T134=0,0,X134/T134)</f>
        <v>0.31867240807676317</v>
      </c>
    </row>
    <row r="135" spans="1:26" s="24" customFormat="1" hidden="1" outlineLevel="2" x14ac:dyDescent="0.3">
      <c r="A135" s="27"/>
      <c r="B135" s="11" t="str">
        <f>CONCATENATE("          ", "6001", " - ", "ADMINISTRATIVE SALARIES")</f>
        <v xml:space="preserve">          6001 - ADMINISTRATIVE SALARIES</v>
      </c>
      <c r="C135" s="11"/>
      <c r="D135" s="6">
        <v>4192.43</v>
      </c>
      <c r="E135" s="2"/>
      <c r="F135" s="7">
        <f t="shared" si="35"/>
        <v>1.4224237025311384E-2</v>
      </c>
      <c r="G135" s="2"/>
      <c r="H135" s="6">
        <v>3995.45</v>
      </c>
      <c r="I135" s="2"/>
      <c r="J135" s="7">
        <f t="shared" si="36"/>
        <v>3.6003913035877473E-2</v>
      </c>
      <c r="K135" s="2"/>
      <c r="L135" s="6">
        <f t="shared" si="37"/>
        <v>196.98000000000047</v>
      </c>
      <c r="M135" s="2"/>
      <c r="N135" s="7">
        <f t="shared" si="38"/>
        <v>4.9301079978475638E-2</v>
      </c>
      <c r="O135" s="11"/>
      <c r="P135" s="6">
        <v>23676.51</v>
      </c>
      <c r="Q135" s="2"/>
      <c r="R135" s="7">
        <f t="shared" si="39"/>
        <v>7.4856788020882872E-3</v>
      </c>
      <c r="S135" s="2"/>
      <c r="T135" s="6">
        <v>21137.95</v>
      </c>
      <c r="U135" s="2"/>
      <c r="V135" s="7">
        <f t="shared" si="40"/>
        <v>8.5752926839752705E-3</v>
      </c>
      <c r="W135" s="2"/>
      <c r="X135" s="6">
        <f t="shared" si="41"/>
        <v>2538.5599999999977</v>
      </c>
      <c r="Y135" s="2"/>
      <c r="Z135" s="7">
        <f t="shared" si="42"/>
        <v>0.12009490040424911</v>
      </c>
    </row>
    <row r="136" spans="1:26" s="24" customFormat="1" hidden="1" outlineLevel="2" x14ac:dyDescent="0.3">
      <c r="A136" s="27"/>
      <c r="B136" s="11" t="str">
        <f>CONCATENATE("          ", "6002", " - ", "STAFF SALARIES")</f>
        <v xml:space="preserve">          6002 - STAFF SALARIES</v>
      </c>
      <c r="C136" s="11"/>
      <c r="D136" s="6">
        <v>39449.300000000003</v>
      </c>
      <c r="E136" s="2"/>
      <c r="F136" s="7">
        <f t="shared" si="35"/>
        <v>0.13384509548939788</v>
      </c>
      <c r="G136" s="2"/>
      <c r="H136" s="6">
        <v>47983.77</v>
      </c>
      <c r="I136" s="2"/>
      <c r="J136" s="7">
        <f t="shared" si="36"/>
        <v>0.43239271726928041</v>
      </c>
      <c r="K136" s="2"/>
      <c r="L136" s="6">
        <f t="shared" si="37"/>
        <v>-8534.4699999999939</v>
      </c>
      <c r="M136" s="2"/>
      <c r="N136" s="7">
        <f t="shared" si="38"/>
        <v>-0.17786159778608462</v>
      </c>
      <c r="O136" s="11"/>
      <c r="P136" s="6">
        <v>289015.34999999998</v>
      </c>
      <c r="Q136" s="2"/>
      <c r="R136" s="7">
        <f t="shared" si="39"/>
        <v>9.1376477317523866E-2</v>
      </c>
      <c r="S136" s="2"/>
      <c r="T136" s="6">
        <v>274957.94</v>
      </c>
      <c r="U136" s="2"/>
      <c r="V136" s="7">
        <f t="shared" si="40"/>
        <v>0.111545576145412</v>
      </c>
      <c r="W136" s="2"/>
      <c r="X136" s="6">
        <f t="shared" si="41"/>
        <v>14057.409999999974</v>
      </c>
      <c r="Y136" s="2"/>
      <c r="Z136" s="7">
        <f t="shared" si="42"/>
        <v>5.1125673984901018E-2</v>
      </c>
    </row>
    <row r="137" spans="1:26" s="24" customFormat="1" hidden="1" outlineLevel="2" x14ac:dyDescent="0.3">
      <c r="A137" s="27"/>
      <c r="B137" s="11" t="str">
        <f>CONCATENATE("          ", "6004", " - ", "STAFF HOURLY")</f>
        <v xml:space="preserve">          6004 - STAFF HOURLY</v>
      </c>
      <c r="C137" s="11"/>
      <c r="D137" s="6">
        <v>20628.84</v>
      </c>
      <c r="E137" s="2"/>
      <c r="F137" s="7">
        <f t="shared" si="35"/>
        <v>6.9990318196660281E-2</v>
      </c>
      <c r="G137" s="2"/>
      <c r="H137" s="6">
        <v>11939.34</v>
      </c>
      <c r="I137" s="2"/>
      <c r="J137" s="7">
        <f t="shared" si="36"/>
        <v>0.10758812125437019</v>
      </c>
      <c r="K137" s="2"/>
      <c r="L137" s="6">
        <f t="shared" si="37"/>
        <v>8689.5</v>
      </c>
      <c r="M137" s="2"/>
      <c r="N137" s="7">
        <f t="shared" si="38"/>
        <v>0.72780404947007116</v>
      </c>
      <c r="O137" s="11"/>
      <c r="P137" s="6">
        <v>110613.59</v>
      </c>
      <c r="Q137" s="2"/>
      <c r="R137" s="7">
        <f t="shared" si="39"/>
        <v>3.4972122406802565E-2</v>
      </c>
      <c r="S137" s="2"/>
      <c r="T137" s="6">
        <v>75516.14</v>
      </c>
      <c r="U137" s="2"/>
      <c r="V137" s="7">
        <f t="shared" si="40"/>
        <v>3.0635563186782649E-2</v>
      </c>
      <c r="W137" s="2"/>
      <c r="X137" s="6">
        <f t="shared" si="41"/>
        <v>35097.449999999997</v>
      </c>
      <c r="Y137" s="2"/>
      <c r="Z137" s="7">
        <f t="shared" si="42"/>
        <v>0.46476753181505304</v>
      </c>
    </row>
    <row r="138" spans="1:26" s="24" customFormat="1" hidden="1" outlineLevel="2" x14ac:dyDescent="0.3">
      <c r="A138" s="27"/>
      <c r="B138" s="11" t="str">
        <f>CONCATENATE("          ", "6005", " - ", "TEMPORARY WAGES-HOURLY")</f>
        <v xml:space="preserve">          6005 - TEMPORARY WAGES-HOURLY</v>
      </c>
      <c r="C138" s="11"/>
      <c r="D138" s="6">
        <v>7275.68</v>
      </c>
      <c r="E138" s="2"/>
      <c r="F138" s="7">
        <f t="shared" si="35"/>
        <v>2.4685205677928441E-2</v>
      </c>
      <c r="G138" s="2"/>
      <c r="H138" s="6">
        <v>7697.23</v>
      </c>
      <c r="I138" s="2"/>
      <c r="J138" s="7">
        <f t="shared" si="36"/>
        <v>6.9361498588931703E-2</v>
      </c>
      <c r="K138" s="2"/>
      <c r="L138" s="6">
        <f t="shared" si="37"/>
        <v>-421.54999999999927</v>
      </c>
      <c r="M138" s="2"/>
      <c r="N138" s="7">
        <f t="shared" si="38"/>
        <v>-5.4766454945480297E-2</v>
      </c>
      <c r="O138" s="11"/>
      <c r="P138" s="6">
        <v>46432.85</v>
      </c>
      <c r="Q138" s="2"/>
      <c r="R138" s="7">
        <f t="shared" si="39"/>
        <v>1.4680432249750708E-2</v>
      </c>
      <c r="S138" s="2"/>
      <c r="T138" s="6">
        <v>88066.13</v>
      </c>
      <c r="U138" s="2"/>
      <c r="V138" s="7">
        <f t="shared" si="40"/>
        <v>3.5726872298165867E-2</v>
      </c>
      <c r="W138" s="2"/>
      <c r="X138" s="6">
        <f t="shared" si="41"/>
        <v>-41633.280000000006</v>
      </c>
      <c r="Y138" s="2"/>
      <c r="Z138" s="7">
        <f t="shared" si="42"/>
        <v>-0.47275019351934738</v>
      </c>
    </row>
    <row r="139" spans="1:26" s="24" customFormat="1" hidden="1" outlineLevel="2" x14ac:dyDescent="0.3">
      <c r="A139" s="27"/>
      <c r="B139" s="11" t="str">
        <f>CONCATENATE("          ", "6006", " - ", "TEMPORARY PART TIME")</f>
        <v xml:space="preserve">          6006 - TEMPORARY PART TIME</v>
      </c>
      <c r="C139" s="11"/>
      <c r="D139" s="6"/>
      <c r="E139" s="2"/>
      <c r="F139" s="7">
        <f t="shared" si="35"/>
        <v>0</v>
      </c>
      <c r="G139" s="2"/>
      <c r="H139" s="6">
        <v>1048.44</v>
      </c>
      <c r="I139" s="2"/>
      <c r="J139" s="7">
        <f t="shared" si="36"/>
        <v>9.4477324414860356E-3</v>
      </c>
      <c r="K139" s="2"/>
      <c r="L139" s="6">
        <f t="shared" si="37"/>
        <v>-1048.44</v>
      </c>
      <c r="M139" s="2"/>
      <c r="N139" s="7">
        <f t="shared" si="38"/>
        <v>-1</v>
      </c>
      <c r="O139" s="11"/>
      <c r="P139" s="6">
        <v>9877.6200000000008</v>
      </c>
      <c r="Q139" s="2"/>
      <c r="R139" s="7">
        <f t="shared" si="39"/>
        <v>3.1229556488301408E-3</v>
      </c>
      <c r="S139" s="2"/>
      <c r="T139" s="6">
        <v>8555.61</v>
      </c>
      <c r="U139" s="2"/>
      <c r="V139" s="7">
        <f t="shared" si="40"/>
        <v>3.4708597494054849E-3</v>
      </c>
      <c r="W139" s="2"/>
      <c r="X139" s="6">
        <f t="shared" si="41"/>
        <v>1322.0100000000002</v>
      </c>
      <c r="Y139" s="2"/>
      <c r="Z139" s="7">
        <f t="shared" si="42"/>
        <v>0.15451966604368364</v>
      </c>
    </row>
    <row r="140" spans="1:26" s="24" customFormat="1" hidden="1" outlineLevel="2" x14ac:dyDescent="0.3">
      <c r="A140" s="27"/>
      <c r="B140" s="11" t="str">
        <f>CONCATENATE("          ", "6007", " - ", "STUDENT HOURLY")</f>
        <v xml:space="preserve">          6007 - STUDENT HOURLY</v>
      </c>
      <c r="C140" s="11"/>
      <c r="D140" s="6">
        <v>42782.01</v>
      </c>
      <c r="E140" s="2"/>
      <c r="F140" s="7">
        <f t="shared" si="35"/>
        <v>0.14515244158143173</v>
      </c>
      <c r="G140" s="2"/>
      <c r="H140" s="6">
        <v>18658.63</v>
      </c>
      <c r="I140" s="2"/>
      <c r="J140" s="7">
        <f t="shared" si="36"/>
        <v>0.16813717901328126</v>
      </c>
      <c r="K140" s="2"/>
      <c r="L140" s="6">
        <f t="shared" si="37"/>
        <v>24123.38</v>
      </c>
      <c r="M140" s="2"/>
      <c r="N140" s="7">
        <f t="shared" si="38"/>
        <v>1.2928805598267397</v>
      </c>
      <c r="O140" s="11"/>
      <c r="P140" s="6">
        <v>274609.05</v>
      </c>
      <c r="Q140" s="2"/>
      <c r="R140" s="7">
        <f t="shared" si="39"/>
        <v>8.6821712509428231E-2</v>
      </c>
      <c r="S140" s="2"/>
      <c r="T140" s="6">
        <v>138328.79999999999</v>
      </c>
      <c r="U140" s="2"/>
      <c r="V140" s="7">
        <f t="shared" si="40"/>
        <v>5.6117549082246782E-2</v>
      </c>
      <c r="W140" s="2"/>
      <c r="X140" s="6">
        <f t="shared" si="41"/>
        <v>136280.25</v>
      </c>
      <c r="Y140" s="2"/>
      <c r="Z140" s="7">
        <f t="shared" si="42"/>
        <v>0.985190719503097</v>
      </c>
    </row>
    <row r="141" spans="1:26" s="24" customFormat="1" hidden="1" outlineLevel="2" x14ac:dyDescent="0.3">
      <c r="A141" s="27"/>
      <c r="B141" s="11" t="str">
        <f>CONCATENATE("          ", "6008", " - ", "STUDENT HOURLY-FICA EXEMPT")</f>
        <v xml:space="preserve">          6008 - STUDENT HOURLY-FICA EXEMPT</v>
      </c>
      <c r="C141" s="11"/>
      <c r="D141" s="6">
        <v>7061.93</v>
      </c>
      <c r="E141" s="2"/>
      <c r="F141" s="7">
        <f t="shared" si="35"/>
        <v>2.3959986493789335E-2</v>
      </c>
      <c r="G141" s="2"/>
      <c r="H141" s="6">
        <v>882.57</v>
      </c>
      <c r="I141" s="2"/>
      <c r="J141" s="7">
        <f t="shared" si="36"/>
        <v>7.9530399649787604E-3</v>
      </c>
      <c r="K141" s="2"/>
      <c r="L141" s="6">
        <f t="shared" si="37"/>
        <v>6179.3600000000006</v>
      </c>
      <c r="M141" s="2"/>
      <c r="N141" s="7">
        <f t="shared" si="38"/>
        <v>7.001552284804605</v>
      </c>
      <c r="O141" s="11"/>
      <c r="P141" s="6">
        <v>50705.67</v>
      </c>
      <c r="Q141" s="2"/>
      <c r="R141" s="7">
        <f t="shared" si="39"/>
        <v>1.6031347485954816E-2</v>
      </c>
      <c r="S141" s="2"/>
      <c r="T141" s="6">
        <v>3847.29</v>
      </c>
      <c r="U141" s="2"/>
      <c r="V141" s="7">
        <f t="shared" si="40"/>
        <v>1.560777548917053E-3</v>
      </c>
      <c r="W141" s="2"/>
      <c r="X141" s="6">
        <f t="shared" si="41"/>
        <v>46858.38</v>
      </c>
      <c r="Y141" s="2"/>
      <c r="Z141" s="7">
        <f t="shared" si="42"/>
        <v>12.179580951786841</v>
      </c>
    </row>
    <row r="142" spans="1:26" s="29" customFormat="1" outlineLevel="1" collapsed="1" x14ac:dyDescent="0.3">
      <c r="A142" s="28"/>
      <c r="B142" s="14" t="str">
        <f>CONCATENATE("     ","Advertising/Promo                                 ")</f>
        <v xml:space="preserve">     Advertising/Promo                                 </v>
      </c>
      <c r="C142" s="14"/>
      <c r="D142" s="1">
        <f>SUM(OSRRefD22_2x_0)</f>
        <v>1682.71</v>
      </c>
      <c r="E142" s="1"/>
      <c r="F142" s="5">
        <f t="shared" ref="F142:F150" si="43">IF(D$12=0,0,D142/D$12)</f>
        <v>5.7091629162232208E-3</v>
      </c>
      <c r="G142" s="1"/>
      <c r="H142" s="1">
        <f>SUM(OSRRefH22_2x_0)</f>
        <v>648.78</v>
      </c>
      <c r="I142" s="1"/>
      <c r="J142" s="5">
        <f t="shared" ref="J142:J150" si="44">IF(H$12=0,0,H142/H$12)</f>
        <v>5.846304846617174E-3</v>
      </c>
      <c r="K142" s="1"/>
      <c r="L142" s="1">
        <f t="shared" ref="L142:L150" si="45">+D142-H142</f>
        <v>1033.93</v>
      </c>
      <c r="M142" s="1"/>
      <c r="N142" s="5">
        <f t="shared" ref="N142:N150" si="46">IF(H142=0,0,L142/H142)</f>
        <v>1.593652701994513</v>
      </c>
      <c r="O142" s="14"/>
      <c r="P142" s="1">
        <f>SUM(OSRRefP22_2x_0)</f>
        <v>4832.6899999999996</v>
      </c>
      <c r="Q142" s="1"/>
      <c r="R142" s="5">
        <f t="shared" ref="R142:R150" si="47">IF(P$12=0,0,P142/P$12)</f>
        <v>1.5279264169450668E-3</v>
      </c>
      <c r="S142" s="1"/>
      <c r="T142" s="1">
        <f>SUM(OSRRefT22_2x_0)</f>
        <v>14358.53</v>
      </c>
      <c r="U142" s="1"/>
      <c r="V142" s="5">
        <f t="shared" ref="V142:V150" si="48">IF(T$12=0,0,T142/T$12)</f>
        <v>5.825001821919318E-3</v>
      </c>
      <c r="W142" s="1"/>
      <c r="X142" s="1">
        <f t="shared" ref="X142:X150" si="49">+P142-T142</f>
        <v>-9525.84</v>
      </c>
      <c r="Y142" s="1"/>
      <c r="Z142" s="5">
        <f t="shared" ref="Z142:Z150" si="50">IF(T142=0,0,X142/T142)</f>
        <v>-0.66342724498956362</v>
      </c>
    </row>
    <row r="143" spans="1:26" s="24" customFormat="1" hidden="1" outlineLevel="2" x14ac:dyDescent="0.3">
      <c r="A143" s="27"/>
      <c r="B143" s="11" t="str">
        <f>CONCATENATE("          ", "6362", " - ", "ADVERTISING EXPENSE")</f>
        <v xml:space="preserve">          6362 - ADVERTISING EXPENSE</v>
      </c>
      <c r="C143" s="11"/>
      <c r="D143" s="6">
        <v>1682.71</v>
      </c>
      <c r="E143" s="2"/>
      <c r="F143" s="7">
        <f t="shared" si="43"/>
        <v>5.7091629162232208E-3</v>
      </c>
      <c r="G143" s="2"/>
      <c r="H143" s="6">
        <v>648.78</v>
      </c>
      <c r="I143" s="2"/>
      <c r="J143" s="7">
        <f t="shared" si="44"/>
        <v>5.846304846617174E-3</v>
      </c>
      <c r="K143" s="2"/>
      <c r="L143" s="6">
        <f t="shared" si="45"/>
        <v>1033.93</v>
      </c>
      <c r="M143" s="2"/>
      <c r="N143" s="7">
        <f t="shared" si="46"/>
        <v>1.593652701994513</v>
      </c>
      <c r="O143" s="11"/>
      <c r="P143" s="6">
        <v>4832.6899999999996</v>
      </c>
      <c r="Q143" s="2"/>
      <c r="R143" s="7">
        <f t="shared" si="47"/>
        <v>1.5279264169450668E-3</v>
      </c>
      <c r="S143" s="2"/>
      <c r="T143" s="6">
        <v>14358.53</v>
      </c>
      <c r="U143" s="2"/>
      <c r="V143" s="7">
        <f t="shared" si="48"/>
        <v>5.825001821919318E-3</v>
      </c>
      <c r="W143" s="2"/>
      <c r="X143" s="6">
        <f t="shared" si="49"/>
        <v>-9525.84</v>
      </c>
      <c r="Y143" s="2"/>
      <c r="Z143" s="7">
        <f t="shared" si="50"/>
        <v>-0.66342724498956362</v>
      </c>
    </row>
    <row r="144" spans="1:26" s="29" customFormat="1" outlineLevel="1" collapsed="1" x14ac:dyDescent="0.3">
      <c r="A144" s="28"/>
      <c r="B144" s="14" t="str">
        <f>CONCATENATE("     ","Bad Debts/Over/Short                              ")</f>
        <v xml:space="preserve">     Bad Debts/Over/Short                              </v>
      </c>
      <c r="C144" s="14"/>
      <c r="D144" s="1">
        <f>SUM(OSRRefD22_3x_0)</f>
        <v>-40.770000000000003</v>
      </c>
      <c r="E144" s="1"/>
      <c r="F144" s="5">
        <f t="shared" si="43"/>
        <v>-1.3832601701684825E-4</v>
      </c>
      <c r="G144" s="1"/>
      <c r="H144" s="1">
        <f>SUM(OSRRefH22_3x_0)</f>
        <v>0.74</v>
      </c>
      <c r="I144" s="1"/>
      <c r="J144" s="5">
        <f t="shared" si="44"/>
        <v>6.6683091132536589E-6</v>
      </c>
      <c r="K144" s="1"/>
      <c r="L144" s="1">
        <f t="shared" si="45"/>
        <v>-41.510000000000005</v>
      </c>
      <c r="M144" s="1"/>
      <c r="N144" s="5">
        <f t="shared" si="46"/>
        <v>-56.094594594594604</v>
      </c>
      <c r="O144" s="14"/>
      <c r="P144" s="1">
        <f>SUM(OSRRefP22_3x_0)</f>
        <v>177.72</v>
      </c>
      <c r="Q144" s="1"/>
      <c r="R144" s="5">
        <f t="shared" si="47"/>
        <v>5.6188806403778705E-5</v>
      </c>
      <c r="S144" s="1"/>
      <c r="T144" s="1">
        <f>SUM(OSRRefT22_3x_0)</f>
        <v>51.3</v>
      </c>
      <c r="U144" s="1"/>
      <c r="V144" s="5">
        <f t="shared" si="48"/>
        <v>2.0811503229401686E-5</v>
      </c>
      <c r="W144" s="1"/>
      <c r="X144" s="1">
        <f t="shared" si="49"/>
        <v>126.42</v>
      </c>
      <c r="Y144" s="1"/>
      <c r="Z144" s="5">
        <f t="shared" si="50"/>
        <v>2.4643274853801169</v>
      </c>
    </row>
    <row r="145" spans="1:26" s="24" customFormat="1" hidden="1" outlineLevel="2" x14ac:dyDescent="0.3">
      <c r="A145" s="27"/>
      <c r="B145" s="11" t="str">
        <f>CONCATENATE("          ", "6272", " - ", "CASH (OVER/SHORT)")</f>
        <v xml:space="preserve">          6272 - CASH (OVER/SHORT)</v>
      </c>
      <c r="C145" s="11"/>
      <c r="D145" s="6">
        <v>-40.770000000000003</v>
      </c>
      <c r="E145" s="2"/>
      <c r="F145" s="7">
        <f t="shared" si="43"/>
        <v>-1.3832601701684825E-4</v>
      </c>
      <c r="G145" s="2"/>
      <c r="H145" s="6">
        <v>0.74</v>
      </c>
      <c r="I145" s="2"/>
      <c r="J145" s="7">
        <f t="shared" si="44"/>
        <v>6.6683091132536589E-6</v>
      </c>
      <c r="K145" s="2"/>
      <c r="L145" s="6">
        <f t="shared" si="45"/>
        <v>-41.510000000000005</v>
      </c>
      <c r="M145" s="2"/>
      <c r="N145" s="7">
        <f t="shared" si="46"/>
        <v>-56.094594594594604</v>
      </c>
      <c r="O145" s="11"/>
      <c r="P145" s="6">
        <v>177.72</v>
      </c>
      <c r="Q145" s="2"/>
      <c r="R145" s="7">
        <f t="shared" si="47"/>
        <v>5.6188806403778705E-5</v>
      </c>
      <c r="S145" s="2"/>
      <c r="T145" s="6">
        <v>51.3</v>
      </c>
      <c r="U145" s="2"/>
      <c r="V145" s="7">
        <f t="shared" si="48"/>
        <v>2.0811503229401686E-5</v>
      </c>
      <c r="W145" s="2"/>
      <c r="X145" s="6">
        <f t="shared" si="49"/>
        <v>126.42</v>
      </c>
      <c r="Y145" s="2"/>
      <c r="Z145" s="7">
        <f t="shared" si="50"/>
        <v>2.4643274853801169</v>
      </c>
    </row>
    <row r="146" spans="1:26" s="29" customFormat="1" outlineLevel="1" collapsed="1" x14ac:dyDescent="0.3">
      <c r="A146" s="28"/>
      <c r="B146" s="14" t="str">
        <f>CONCATENATE("     ","Bank/card Fees                                    ")</f>
        <v xml:space="preserve">     Bank/card Fees                                    </v>
      </c>
      <c r="C146" s="14"/>
      <c r="D146" s="1">
        <f>SUM(OSRRefD22_4x_0)</f>
        <v>7877.66</v>
      </c>
      <c r="E146" s="1"/>
      <c r="F146" s="5">
        <f t="shared" si="43"/>
        <v>2.6727626470761462E-2</v>
      </c>
      <c r="G146" s="1"/>
      <c r="H146" s="1">
        <f>SUM(OSRRefH22_4x_0)</f>
        <v>2442.63</v>
      </c>
      <c r="I146" s="1"/>
      <c r="J146" s="5">
        <f t="shared" si="44"/>
        <v>2.2011097147711871E-2</v>
      </c>
      <c r="K146" s="1"/>
      <c r="L146" s="1">
        <f t="shared" si="45"/>
        <v>5435.03</v>
      </c>
      <c r="M146" s="1"/>
      <c r="N146" s="5">
        <f t="shared" si="46"/>
        <v>2.2250729746216167</v>
      </c>
      <c r="O146" s="14"/>
      <c r="P146" s="1">
        <f>SUM(OSRRefP22_4x_0)</f>
        <v>58207.15</v>
      </c>
      <c r="Q146" s="1"/>
      <c r="R146" s="5">
        <f t="shared" si="47"/>
        <v>1.8403051331677401E-2</v>
      </c>
      <c r="S146" s="1"/>
      <c r="T146" s="1">
        <f>SUM(OSRRefT22_4x_0)</f>
        <v>41582.379999999997</v>
      </c>
      <c r="U146" s="1"/>
      <c r="V146" s="5">
        <f t="shared" si="48"/>
        <v>1.6869236562499182E-2</v>
      </c>
      <c r="W146" s="1"/>
      <c r="X146" s="1">
        <f t="shared" si="49"/>
        <v>16624.770000000004</v>
      </c>
      <c r="Y146" s="1"/>
      <c r="Z146" s="5">
        <f t="shared" si="50"/>
        <v>0.3998032339659251</v>
      </c>
    </row>
    <row r="147" spans="1:26" s="24" customFormat="1" hidden="1" outlineLevel="2" x14ac:dyDescent="0.3">
      <c r="A147" s="27"/>
      <c r="B147" s="11" t="str">
        <f>CONCATENATE("          ", "6381", " - ", "BANK/CREDIT CARD FEES")</f>
        <v xml:space="preserve">          6381 - BANK/CREDIT CARD FEES</v>
      </c>
      <c r="C147" s="11"/>
      <c r="D147" s="6">
        <v>7877.66</v>
      </c>
      <c r="E147" s="2"/>
      <c r="F147" s="7">
        <f t="shared" si="43"/>
        <v>2.6727626470761462E-2</v>
      </c>
      <c r="G147" s="2"/>
      <c r="H147" s="6">
        <v>2442.63</v>
      </c>
      <c r="I147" s="2"/>
      <c r="J147" s="7">
        <f t="shared" si="44"/>
        <v>2.2011097147711871E-2</v>
      </c>
      <c r="K147" s="2"/>
      <c r="L147" s="6">
        <f t="shared" si="45"/>
        <v>5435.03</v>
      </c>
      <c r="M147" s="2"/>
      <c r="N147" s="7">
        <f t="shared" si="46"/>
        <v>2.2250729746216167</v>
      </c>
      <c r="O147" s="11"/>
      <c r="P147" s="6">
        <v>58207.15</v>
      </c>
      <c r="Q147" s="2"/>
      <c r="R147" s="7">
        <f t="shared" si="47"/>
        <v>1.8403051331677401E-2</v>
      </c>
      <c r="S147" s="2"/>
      <c r="T147" s="6">
        <v>41582.379999999997</v>
      </c>
      <c r="U147" s="2"/>
      <c r="V147" s="7">
        <f t="shared" si="48"/>
        <v>1.6869236562499182E-2</v>
      </c>
      <c r="W147" s="2"/>
      <c r="X147" s="6">
        <f t="shared" si="49"/>
        <v>16624.770000000004</v>
      </c>
      <c r="Y147" s="2"/>
      <c r="Z147" s="7">
        <f t="shared" si="50"/>
        <v>0.3998032339659251</v>
      </c>
    </row>
    <row r="148" spans="1:26" s="29" customFormat="1" outlineLevel="1" collapsed="1" x14ac:dyDescent="0.3">
      <c r="A148" s="28"/>
      <c r="B148" s="14" t="str">
        <f>CONCATENATE("     ","Depreciation                                      ")</f>
        <v xml:space="preserve">     Depreciation                                      </v>
      </c>
      <c r="C148" s="14"/>
      <c r="D148" s="1">
        <f>SUM(OSRRefD22_5x_0)</f>
        <v>30614.85</v>
      </c>
      <c r="E148" s="1"/>
      <c r="F148" s="5">
        <f t="shared" si="43"/>
        <v>0.10387123527270681</v>
      </c>
      <c r="G148" s="1"/>
      <c r="H148" s="1">
        <f>SUM(OSRRefH22_5x_0)</f>
        <v>30735.85</v>
      </c>
      <c r="I148" s="1"/>
      <c r="J148" s="5">
        <f t="shared" si="44"/>
        <v>0.27696776845756416</v>
      </c>
      <c r="K148" s="1"/>
      <c r="L148" s="1">
        <f t="shared" si="45"/>
        <v>-121</v>
      </c>
      <c r="M148" s="1"/>
      <c r="N148" s="5">
        <f t="shared" si="46"/>
        <v>-3.9367709043348405E-3</v>
      </c>
      <c r="O148" s="14"/>
      <c r="P148" s="1">
        <f>SUM(OSRRefP22_5x_0)</f>
        <v>153391.75</v>
      </c>
      <c r="Q148" s="1"/>
      <c r="R148" s="5">
        <f t="shared" si="47"/>
        <v>4.8497070361730933E-2</v>
      </c>
      <c r="S148" s="1"/>
      <c r="T148" s="1">
        <f>SUM(OSRRefT22_5x_0)</f>
        <v>153974.74</v>
      </c>
      <c r="U148" s="1"/>
      <c r="V148" s="5">
        <f t="shared" si="48"/>
        <v>6.2464830385112767E-2</v>
      </c>
      <c r="W148" s="1"/>
      <c r="X148" s="1">
        <f t="shared" si="49"/>
        <v>-582.98999999999069</v>
      </c>
      <c r="Y148" s="1"/>
      <c r="Z148" s="5">
        <f t="shared" si="50"/>
        <v>-3.7862703973391395E-3</v>
      </c>
    </row>
    <row r="149" spans="1:26" s="24" customFormat="1" hidden="1" outlineLevel="2" x14ac:dyDescent="0.3">
      <c r="A149" s="27"/>
      <c r="B149" s="11" t="str">
        <f>CONCATENATE("          ", "6321", " - ", "BUILDING DEPRECIATION")</f>
        <v xml:space="preserve">          6321 - BUILDING DEPRECIATION</v>
      </c>
      <c r="C149" s="11"/>
      <c r="D149" s="6">
        <v>16396.52</v>
      </c>
      <c r="E149" s="2"/>
      <c r="F149" s="7">
        <f t="shared" si="43"/>
        <v>5.5630740852025823E-2</v>
      </c>
      <c r="G149" s="2"/>
      <c r="H149" s="6">
        <v>16396.52</v>
      </c>
      <c r="I149" s="2"/>
      <c r="J149" s="7">
        <f t="shared" si="44"/>
        <v>0.14775278884006202</v>
      </c>
      <c r="K149" s="2"/>
      <c r="L149" s="6">
        <f t="shared" si="45"/>
        <v>0</v>
      </c>
      <c r="M149" s="2"/>
      <c r="N149" s="7">
        <f t="shared" si="46"/>
        <v>0</v>
      </c>
      <c r="O149" s="11"/>
      <c r="P149" s="6">
        <v>81982.600000000006</v>
      </c>
      <c r="Q149" s="2"/>
      <c r="R149" s="7">
        <f t="shared" si="47"/>
        <v>2.5920011478046526E-2</v>
      </c>
      <c r="S149" s="2"/>
      <c r="T149" s="6">
        <v>81982.600000000006</v>
      </c>
      <c r="U149" s="2"/>
      <c r="V149" s="7">
        <f t="shared" si="48"/>
        <v>3.3258891708669532E-2</v>
      </c>
      <c r="W149" s="2"/>
      <c r="X149" s="6">
        <f t="shared" si="49"/>
        <v>0</v>
      </c>
      <c r="Y149" s="2"/>
      <c r="Z149" s="7">
        <f t="shared" si="50"/>
        <v>0</v>
      </c>
    </row>
    <row r="150" spans="1:26" s="24" customFormat="1" hidden="1" outlineLevel="2" x14ac:dyDescent="0.3">
      <c r="A150" s="27"/>
      <c r="B150" s="11" t="str">
        <f>CONCATENATE("          ", "6322", " - ", "EQUIPMENT DEPRECIATION EXPENSE")</f>
        <v xml:space="preserve">          6322 - EQUIPMENT DEPRECIATION EXPENSE</v>
      </c>
      <c r="C150" s="11"/>
      <c r="D150" s="6">
        <v>14218.33</v>
      </c>
      <c r="E150" s="2"/>
      <c r="F150" s="7">
        <f t="shared" si="43"/>
        <v>4.8240494420680992E-2</v>
      </c>
      <c r="G150" s="2"/>
      <c r="H150" s="6">
        <v>14339.33</v>
      </c>
      <c r="I150" s="2"/>
      <c r="J150" s="7">
        <f t="shared" si="44"/>
        <v>0.12921497961750214</v>
      </c>
      <c r="K150" s="2"/>
      <c r="L150" s="6">
        <f t="shared" si="45"/>
        <v>-121</v>
      </c>
      <c r="M150" s="2"/>
      <c r="N150" s="7">
        <f t="shared" si="46"/>
        <v>-8.4383301032893449E-3</v>
      </c>
      <c r="O150" s="11"/>
      <c r="P150" s="6">
        <v>71409.149999999994</v>
      </c>
      <c r="Q150" s="2"/>
      <c r="R150" s="7">
        <f t="shared" si="47"/>
        <v>2.2577058883684411E-2</v>
      </c>
      <c r="S150" s="2"/>
      <c r="T150" s="6">
        <v>71992.14</v>
      </c>
      <c r="U150" s="2"/>
      <c r="V150" s="7">
        <f t="shared" si="48"/>
        <v>2.9205938676443242E-2</v>
      </c>
      <c r="W150" s="2"/>
      <c r="X150" s="6">
        <f t="shared" si="49"/>
        <v>-582.99000000000524</v>
      </c>
      <c r="Y150" s="2"/>
      <c r="Z150" s="7">
        <f t="shared" si="50"/>
        <v>-8.0979673614370289E-3</v>
      </c>
    </row>
    <row r="151" spans="1:26" s="29" customFormat="1" outlineLevel="1" collapsed="1" x14ac:dyDescent="0.3">
      <c r="A151" s="28"/>
      <c r="B151" s="14" t="str">
        <f>CONCATENATE("     ","Discounts and Markdowns                           ")</f>
        <v xml:space="preserve">     Discounts and Markdowns                           </v>
      </c>
      <c r="C151" s="14"/>
      <c r="D151" s="1">
        <f>SUM(OSRRefD22_6x_0)</f>
        <v>3409.87</v>
      </c>
      <c r="E151" s="1"/>
      <c r="F151" s="5">
        <f t="shared" ref="F151:F153" si="51">IF(D$12=0,0,D151/D$12)</f>
        <v>1.1569137494364492E-2</v>
      </c>
      <c r="G151" s="1"/>
      <c r="H151" s="1">
        <f>SUM(OSRRefH22_6x_0)</f>
        <v>418.85</v>
      </c>
      <c r="I151" s="1"/>
      <c r="J151" s="5">
        <f t="shared" ref="J151:J153" si="52">IF(H$12=0,0,H151/H$12)</f>
        <v>3.7743530703868854E-3</v>
      </c>
      <c r="K151" s="1"/>
      <c r="L151" s="1">
        <f t="shared" ref="L151:L153" si="53">+D151-H151</f>
        <v>2991.02</v>
      </c>
      <c r="M151" s="1"/>
      <c r="N151" s="5">
        <f t="shared" ref="N151:N153" si="54">IF(H151=0,0,L151/H151)</f>
        <v>7.1410290079980898</v>
      </c>
      <c r="O151" s="14"/>
      <c r="P151" s="1">
        <f>SUM(OSRRefP22_6x_0)</f>
        <v>3343.63</v>
      </c>
      <c r="Q151" s="1"/>
      <c r="R151" s="5">
        <f t="shared" ref="R151:R153" si="55">IF(P$12=0,0,P151/P$12)</f>
        <v>1.0571380753762469E-3</v>
      </c>
      <c r="S151" s="1"/>
      <c r="T151" s="1">
        <f>SUM(OSRRefT22_6x_0)</f>
        <v>0</v>
      </c>
      <c r="U151" s="1"/>
      <c r="V151" s="5">
        <f t="shared" ref="V151:V153" si="56">IF(T$12=0,0,T151/T$12)</f>
        <v>0</v>
      </c>
      <c r="W151" s="1"/>
      <c r="X151" s="1">
        <f t="shared" ref="X151:X153" si="57">+P151-T151</f>
        <v>3343.63</v>
      </c>
      <c r="Y151" s="1"/>
      <c r="Z151" s="5">
        <f t="shared" ref="Z151:Z153" si="58">IF(T151=0,0,X151/T151)</f>
        <v>0</v>
      </c>
    </row>
    <row r="152" spans="1:26" s="24" customFormat="1" hidden="1" outlineLevel="2" x14ac:dyDescent="0.3">
      <c r="A152" s="27"/>
      <c r="B152" s="11" t="str">
        <f>CONCATENATE("          ", "6382", " - ", "DISCOUNTS/MARK DOWNS")</f>
        <v xml:space="preserve">          6382 - DISCOUNTS/MARK DOWNS</v>
      </c>
      <c r="C152" s="11"/>
      <c r="D152" s="6">
        <v>3410</v>
      </c>
      <c r="E152" s="2"/>
      <c r="F152" s="7">
        <f t="shared" si="51"/>
        <v>1.1569578563341979E-2</v>
      </c>
      <c r="G152" s="2"/>
      <c r="H152" s="6">
        <v>0</v>
      </c>
      <c r="I152" s="2"/>
      <c r="J152" s="7">
        <f t="shared" si="52"/>
        <v>0</v>
      </c>
      <c r="K152" s="2"/>
      <c r="L152" s="6">
        <f t="shared" si="53"/>
        <v>3410</v>
      </c>
      <c r="M152" s="2"/>
      <c r="N152" s="7">
        <f t="shared" si="54"/>
        <v>0</v>
      </c>
      <c r="O152" s="11"/>
      <c r="P152" s="6">
        <v>3410</v>
      </c>
      <c r="Q152" s="2"/>
      <c r="R152" s="7">
        <f t="shared" si="55"/>
        <v>1.0781219324605298E-3</v>
      </c>
      <c r="S152" s="2"/>
      <c r="T152" s="6">
        <v>0</v>
      </c>
      <c r="U152" s="2"/>
      <c r="V152" s="7">
        <f t="shared" si="56"/>
        <v>0</v>
      </c>
      <c r="W152" s="2"/>
      <c r="X152" s="6">
        <f t="shared" si="57"/>
        <v>3410</v>
      </c>
      <c r="Y152" s="2"/>
      <c r="Z152" s="7">
        <f t="shared" si="58"/>
        <v>0</v>
      </c>
    </row>
    <row r="153" spans="1:26" s="24" customFormat="1" hidden="1" outlineLevel="2" x14ac:dyDescent="0.3">
      <c r="A153" s="27"/>
      <c r="B153" s="11" t="str">
        <f>CONCATENATE("          ", "9175", " - ", "EARNED DISCOUNTS")</f>
        <v xml:space="preserve">          9175 - EARNED DISCOUNTS</v>
      </c>
      <c r="C153" s="11"/>
      <c r="D153" s="6">
        <v>-0.13</v>
      </c>
      <c r="E153" s="2"/>
      <c r="F153" s="7">
        <f t="shared" si="51"/>
        <v>-4.4106897748811069E-7</v>
      </c>
      <c r="G153" s="2"/>
      <c r="H153" s="6">
        <v>418.85</v>
      </c>
      <c r="I153" s="2"/>
      <c r="J153" s="7">
        <f t="shared" si="52"/>
        <v>3.7743530703868854E-3</v>
      </c>
      <c r="K153" s="2"/>
      <c r="L153" s="6">
        <f t="shared" si="53"/>
        <v>-418.98</v>
      </c>
      <c r="M153" s="2"/>
      <c r="N153" s="7">
        <f t="shared" si="54"/>
        <v>-1.0003103736421153</v>
      </c>
      <c r="O153" s="11"/>
      <c r="P153" s="6">
        <v>-66.37</v>
      </c>
      <c r="Q153" s="2"/>
      <c r="R153" s="7">
        <f t="shared" si="55"/>
        <v>-2.0983857084283102E-5</v>
      </c>
      <c r="S153" s="2"/>
      <c r="T153" s="6">
        <v>0</v>
      </c>
      <c r="U153" s="2"/>
      <c r="V153" s="7">
        <f t="shared" si="56"/>
        <v>0</v>
      </c>
      <c r="W153" s="2"/>
      <c r="X153" s="6">
        <f t="shared" si="57"/>
        <v>-66.37</v>
      </c>
      <c r="Y153" s="2"/>
      <c r="Z153" s="7">
        <f t="shared" si="58"/>
        <v>0</v>
      </c>
    </row>
    <row r="154" spans="1:26" s="29" customFormat="1" outlineLevel="1" collapsed="1" x14ac:dyDescent="0.3">
      <c r="A154" s="28"/>
      <c r="B154" s="14" t="str">
        <f>CONCATENATE("     ","Donations                                         ")</f>
        <v xml:space="preserve">     Donations                                         </v>
      </c>
      <c r="C154" s="14"/>
      <c r="D154" s="1">
        <f>SUM(OSRRefD22_7x_0)</f>
        <v>1336.74</v>
      </c>
      <c r="E154" s="1"/>
      <c r="F154" s="5">
        <f t="shared" ref="F154:F162" si="59">IF(D$12=0,0,D154/D$12)</f>
        <v>4.5353426535958237E-3</v>
      </c>
      <c r="G154" s="1"/>
      <c r="H154" s="1">
        <f>SUM(OSRRefH22_7x_0)</f>
        <v>0</v>
      </c>
      <c r="I154" s="1"/>
      <c r="J154" s="5">
        <f t="shared" ref="J154:J162" si="60">IF(H$12=0,0,H154/H$12)</f>
        <v>0</v>
      </c>
      <c r="K154" s="1"/>
      <c r="L154" s="1">
        <f t="shared" ref="L154:L162" si="61">+D154-H154</f>
        <v>1336.74</v>
      </c>
      <c r="M154" s="1"/>
      <c r="N154" s="5">
        <f t="shared" ref="N154:N162" si="62">IF(H154=0,0,L154/H154)</f>
        <v>0</v>
      </c>
      <c r="O154" s="14"/>
      <c r="P154" s="1">
        <f>SUM(OSRRefP22_7x_0)</f>
        <v>2820.22</v>
      </c>
      <c r="Q154" s="1"/>
      <c r="R154" s="5">
        <f t="shared" ref="R154:R162" si="63">IF(P$12=0,0,P154/P$12)</f>
        <v>8.916542628632949E-4</v>
      </c>
      <c r="S154" s="1"/>
      <c r="T154" s="1">
        <f>SUM(OSRRefT22_7x_0)</f>
        <v>0</v>
      </c>
      <c r="U154" s="1"/>
      <c r="V154" s="5">
        <f t="shared" ref="V154:V162" si="64">IF(T$12=0,0,T154/T$12)</f>
        <v>0</v>
      </c>
      <c r="W154" s="1"/>
      <c r="X154" s="1">
        <f t="shared" ref="X154:X162" si="65">+P154-T154</f>
        <v>2820.22</v>
      </c>
      <c r="Y154" s="1"/>
      <c r="Z154" s="5">
        <f t="shared" ref="Z154:Z162" si="66">IF(T154=0,0,X154/T154)</f>
        <v>0</v>
      </c>
    </row>
    <row r="155" spans="1:26" s="24" customFormat="1" hidden="1" outlineLevel="2" x14ac:dyDescent="0.3">
      <c r="A155" s="27"/>
      <c r="B155" s="11" t="str">
        <f>CONCATENATE("          ", "6399", " - ", "DONATION-ON CAMPUS")</f>
        <v xml:space="preserve">          6399 - DONATION-ON CAMPUS</v>
      </c>
      <c r="C155" s="11"/>
      <c r="D155" s="6">
        <v>1336.74</v>
      </c>
      <c r="E155" s="2"/>
      <c r="F155" s="7">
        <f t="shared" si="59"/>
        <v>4.5353426535958237E-3</v>
      </c>
      <c r="G155" s="2"/>
      <c r="H155" s="6"/>
      <c r="I155" s="2"/>
      <c r="J155" s="7">
        <f t="shared" si="60"/>
        <v>0</v>
      </c>
      <c r="K155" s="2"/>
      <c r="L155" s="6">
        <f t="shared" si="61"/>
        <v>1336.74</v>
      </c>
      <c r="M155" s="2"/>
      <c r="N155" s="7">
        <f t="shared" si="62"/>
        <v>0</v>
      </c>
      <c r="O155" s="11"/>
      <c r="P155" s="6">
        <v>2820.22</v>
      </c>
      <c r="Q155" s="2"/>
      <c r="R155" s="7">
        <f t="shared" si="63"/>
        <v>8.916542628632949E-4</v>
      </c>
      <c r="S155" s="2"/>
      <c r="T155" s="6"/>
      <c r="U155" s="2"/>
      <c r="V155" s="7">
        <f t="shared" si="64"/>
        <v>0</v>
      </c>
      <c r="W155" s="2"/>
      <c r="X155" s="6">
        <f t="shared" si="65"/>
        <v>2820.22</v>
      </c>
      <c r="Y155" s="2"/>
      <c r="Z155" s="7">
        <f t="shared" si="66"/>
        <v>0</v>
      </c>
    </row>
    <row r="156" spans="1:26" s="29" customFormat="1" outlineLevel="1" collapsed="1" x14ac:dyDescent="0.3">
      <c r="A156" s="28"/>
      <c r="B156" s="14" t="str">
        <f>CONCATENATE("     ","Employees' Appreciation                           ")</f>
        <v xml:space="preserve">     Employees' Appreciation                           </v>
      </c>
      <c r="C156" s="14"/>
      <c r="D156" s="1">
        <f>SUM(OSRRefD22_8x_0)</f>
        <v>490.02</v>
      </c>
      <c r="E156" s="1"/>
      <c r="F156" s="5">
        <f t="shared" si="59"/>
        <v>1.6625586180671077E-3</v>
      </c>
      <c r="G156" s="1"/>
      <c r="H156" s="1">
        <f>SUM(OSRRefH22_8x_0)</f>
        <v>0</v>
      </c>
      <c r="I156" s="1"/>
      <c r="J156" s="5">
        <f t="shared" si="60"/>
        <v>0</v>
      </c>
      <c r="K156" s="1"/>
      <c r="L156" s="1">
        <f t="shared" si="61"/>
        <v>490.02</v>
      </c>
      <c r="M156" s="1"/>
      <c r="N156" s="5">
        <f t="shared" si="62"/>
        <v>0</v>
      </c>
      <c r="O156" s="14"/>
      <c r="P156" s="1">
        <f>SUM(OSRRefP22_8x_0)</f>
        <v>1874.65</v>
      </c>
      <c r="Q156" s="1"/>
      <c r="R156" s="5">
        <f t="shared" si="63"/>
        <v>5.926983227821503E-4</v>
      </c>
      <c r="S156" s="1"/>
      <c r="T156" s="1">
        <f>SUM(OSRRefT22_8x_0)</f>
        <v>107.7</v>
      </c>
      <c r="U156" s="1"/>
      <c r="V156" s="5">
        <f t="shared" si="64"/>
        <v>4.3691986312018751E-5</v>
      </c>
      <c r="W156" s="1"/>
      <c r="X156" s="1">
        <f t="shared" si="65"/>
        <v>1766.95</v>
      </c>
      <c r="Y156" s="1"/>
      <c r="Z156" s="5">
        <f t="shared" si="66"/>
        <v>16.406220984215413</v>
      </c>
    </row>
    <row r="157" spans="1:26" s="24" customFormat="1" hidden="1" outlineLevel="2" x14ac:dyDescent="0.3">
      <c r="A157" s="27"/>
      <c r="B157" s="11" t="str">
        <f>CONCATENATE("          ", "6277", " - ", "EMPLOYEE APPRECIATION")</f>
        <v xml:space="preserve">          6277 - EMPLOYEE APPRECIATION</v>
      </c>
      <c r="C157" s="11"/>
      <c r="D157" s="6">
        <v>490.02</v>
      </c>
      <c r="E157" s="2"/>
      <c r="F157" s="7">
        <f t="shared" si="59"/>
        <v>1.6625586180671077E-3</v>
      </c>
      <c r="G157" s="2"/>
      <c r="H157" s="6"/>
      <c r="I157" s="2"/>
      <c r="J157" s="7">
        <f t="shared" si="60"/>
        <v>0</v>
      </c>
      <c r="K157" s="2"/>
      <c r="L157" s="6">
        <f t="shared" si="61"/>
        <v>490.02</v>
      </c>
      <c r="M157" s="2"/>
      <c r="N157" s="7">
        <f t="shared" si="62"/>
        <v>0</v>
      </c>
      <c r="O157" s="11"/>
      <c r="P157" s="6">
        <v>1874.65</v>
      </c>
      <c r="Q157" s="2"/>
      <c r="R157" s="7">
        <f t="shared" si="63"/>
        <v>5.926983227821503E-4</v>
      </c>
      <c r="S157" s="2"/>
      <c r="T157" s="6">
        <v>107.7</v>
      </c>
      <c r="U157" s="2"/>
      <c r="V157" s="7">
        <f t="shared" si="64"/>
        <v>4.3691986312018751E-5</v>
      </c>
      <c r="W157" s="2"/>
      <c r="X157" s="6">
        <f t="shared" si="65"/>
        <v>1766.95</v>
      </c>
      <c r="Y157" s="2"/>
      <c r="Z157" s="7">
        <f t="shared" si="66"/>
        <v>16.406220984215413</v>
      </c>
    </row>
    <row r="158" spans="1:26" s="29" customFormat="1" outlineLevel="1" collapsed="1" x14ac:dyDescent="0.3">
      <c r="A158" s="28"/>
      <c r="B158" s="14" t="str">
        <f>CONCATENATE("     ","Equipment Rental                                  ")</f>
        <v xml:space="preserve">     Equipment Rental                                  </v>
      </c>
      <c r="C158" s="14"/>
      <c r="D158" s="1">
        <f>SUM(OSRRefD22_9x_0)</f>
        <v>1712.05</v>
      </c>
      <c r="E158" s="1"/>
      <c r="F158" s="5">
        <f t="shared" si="59"/>
        <v>5.8087087916039986E-3</v>
      </c>
      <c r="G158" s="1"/>
      <c r="H158" s="1">
        <f>SUM(OSRRefH22_9x_0)</f>
        <v>1712.05</v>
      </c>
      <c r="I158" s="1"/>
      <c r="J158" s="5">
        <f t="shared" si="60"/>
        <v>1.5427673807224224E-2</v>
      </c>
      <c r="K158" s="1"/>
      <c r="L158" s="1">
        <f t="shared" si="61"/>
        <v>0</v>
      </c>
      <c r="M158" s="1"/>
      <c r="N158" s="5">
        <f t="shared" si="62"/>
        <v>0</v>
      </c>
      <c r="O158" s="14"/>
      <c r="P158" s="1">
        <f>SUM(OSRRefP22_9x_0)</f>
        <v>8323.4500000000007</v>
      </c>
      <c r="Q158" s="1"/>
      <c r="R158" s="5">
        <f t="shared" si="63"/>
        <v>2.6315818178119059E-3</v>
      </c>
      <c r="S158" s="1"/>
      <c r="T158" s="1">
        <f>SUM(OSRRefT22_9x_0)</f>
        <v>7679.84</v>
      </c>
      <c r="U158" s="1"/>
      <c r="V158" s="5">
        <f t="shared" si="64"/>
        <v>3.1155753403759893E-3</v>
      </c>
      <c r="W158" s="1"/>
      <c r="X158" s="1">
        <f t="shared" si="65"/>
        <v>643.61000000000058</v>
      </c>
      <c r="Y158" s="1"/>
      <c r="Z158" s="5">
        <f t="shared" si="66"/>
        <v>8.3805131356903345E-2</v>
      </c>
    </row>
    <row r="159" spans="1:26" s="24" customFormat="1" hidden="1" outlineLevel="2" x14ac:dyDescent="0.3">
      <c r="A159" s="27"/>
      <c r="B159" s="11" t="str">
        <f>CONCATENATE("          ", "6351", " - ", "EQUIPMENT RENTAL")</f>
        <v xml:space="preserve">          6351 - EQUIPMENT RENTAL</v>
      </c>
      <c r="C159" s="11"/>
      <c r="D159" s="6">
        <v>1712.05</v>
      </c>
      <c r="E159" s="2"/>
      <c r="F159" s="7">
        <f t="shared" si="59"/>
        <v>5.8087087916039986E-3</v>
      </c>
      <c r="G159" s="2"/>
      <c r="H159" s="6">
        <v>1712.05</v>
      </c>
      <c r="I159" s="2"/>
      <c r="J159" s="7">
        <f t="shared" si="60"/>
        <v>1.5427673807224224E-2</v>
      </c>
      <c r="K159" s="2"/>
      <c r="L159" s="6">
        <f t="shared" si="61"/>
        <v>0</v>
      </c>
      <c r="M159" s="2"/>
      <c r="N159" s="7">
        <f t="shared" si="62"/>
        <v>0</v>
      </c>
      <c r="O159" s="11"/>
      <c r="P159" s="6">
        <v>8323.4500000000007</v>
      </c>
      <c r="Q159" s="2"/>
      <c r="R159" s="7">
        <f t="shared" si="63"/>
        <v>2.6315818178119059E-3</v>
      </c>
      <c r="S159" s="2"/>
      <c r="T159" s="6">
        <v>7679.84</v>
      </c>
      <c r="U159" s="2"/>
      <c r="V159" s="7">
        <f t="shared" si="64"/>
        <v>3.1155753403759893E-3</v>
      </c>
      <c r="W159" s="2"/>
      <c r="X159" s="6">
        <f t="shared" si="65"/>
        <v>643.61000000000058</v>
      </c>
      <c r="Y159" s="2"/>
      <c r="Z159" s="7">
        <f t="shared" si="66"/>
        <v>8.3805131356903345E-2</v>
      </c>
    </row>
    <row r="160" spans="1:26" s="29" customFormat="1" outlineLevel="1" collapsed="1" x14ac:dyDescent="0.3">
      <c r="A160" s="28"/>
      <c r="B160" s="14" t="str">
        <f>CONCATENATE("     ","Freight out/Postage                               ")</f>
        <v xml:space="preserve">     Freight out/Postage                               </v>
      </c>
      <c r="C160" s="14"/>
      <c r="D160" s="1">
        <f>SUM(OSRRefD22_10x_0)</f>
        <v>5663.0599999999995</v>
      </c>
      <c r="E160" s="1"/>
      <c r="F160" s="5">
        <f t="shared" si="59"/>
        <v>1.9213846797337075E-2</v>
      </c>
      <c r="G160" s="1"/>
      <c r="H160" s="1">
        <f>SUM(OSRRefH22_10x_0)</f>
        <v>12488.57</v>
      </c>
      <c r="I160" s="1"/>
      <c r="J160" s="5">
        <f t="shared" si="60"/>
        <v>0.11253735830068412</v>
      </c>
      <c r="K160" s="1"/>
      <c r="L160" s="1">
        <f t="shared" si="61"/>
        <v>-6825.51</v>
      </c>
      <c r="M160" s="1"/>
      <c r="N160" s="5">
        <f t="shared" si="62"/>
        <v>-0.54654055668503287</v>
      </c>
      <c r="O160" s="14"/>
      <c r="P160" s="1">
        <f>SUM(OSRRefP22_10x_0)</f>
        <v>-29986.23000000001</v>
      </c>
      <c r="Q160" s="1"/>
      <c r="R160" s="5">
        <f t="shared" si="63"/>
        <v>-9.4805900981835573E-3</v>
      </c>
      <c r="S160" s="1"/>
      <c r="T160" s="1">
        <f>SUM(OSRRefT22_10x_0)</f>
        <v>-19354.78</v>
      </c>
      <c r="U160" s="1"/>
      <c r="V160" s="5">
        <f t="shared" si="64"/>
        <v>-7.851892134003103E-3</v>
      </c>
      <c r="W160" s="1"/>
      <c r="X160" s="1">
        <f t="shared" si="65"/>
        <v>-10631.450000000012</v>
      </c>
      <c r="Y160" s="1"/>
      <c r="Z160" s="5">
        <f t="shared" si="66"/>
        <v>0.54929324952285752</v>
      </c>
    </row>
    <row r="161" spans="1:26" s="24" customFormat="1" hidden="1" outlineLevel="2" x14ac:dyDescent="0.3">
      <c r="A161" s="27"/>
      <c r="B161" s="11" t="str">
        <f>CONCATENATE("          ", "6305", " - ", "FREIGHT OUT")</f>
        <v xml:space="preserve">          6305 - FREIGHT OUT</v>
      </c>
      <c r="C161" s="11"/>
      <c r="D161" s="6">
        <v>11063.73</v>
      </c>
      <c r="E161" s="2"/>
      <c r="F161" s="7">
        <f t="shared" si="59"/>
        <v>3.7537446756188725E-2</v>
      </c>
      <c r="G161" s="2"/>
      <c r="H161" s="6">
        <v>16808.28</v>
      </c>
      <c r="I161" s="2"/>
      <c r="J161" s="7">
        <f t="shared" si="60"/>
        <v>0.15146325230016108</v>
      </c>
      <c r="K161" s="2"/>
      <c r="L161" s="6">
        <f t="shared" si="61"/>
        <v>-5744.5499999999993</v>
      </c>
      <c r="M161" s="2"/>
      <c r="N161" s="7">
        <f t="shared" si="62"/>
        <v>-0.34176905667920809</v>
      </c>
      <c r="O161" s="11"/>
      <c r="P161" s="6">
        <v>65828.62</v>
      </c>
      <c r="Q161" s="2"/>
      <c r="R161" s="7">
        <f t="shared" si="63"/>
        <v>2.0812691790501433E-2</v>
      </c>
      <c r="S161" s="2"/>
      <c r="T161" s="6">
        <v>103061.02</v>
      </c>
      <c r="U161" s="2"/>
      <c r="V161" s="7">
        <f t="shared" si="64"/>
        <v>4.1810034123887563E-2</v>
      </c>
      <c r="W161" s="2"/>
      <c r="X161" s="6">
        <f t="shared" si="65"/>
        <v>-37232.400000000009</v>
      </c>
      <c r="Y161" s="2"/>
      <c r="Z161" s="7">
        <f t="shared" si="66"/>
        <v>-0.36126558809528575</v>
      </c>
    </row>
    <row r="162" spans="1:26" s="24" customFormat="1" hidden="1" outlineLevel="2" x14ac:dyDescent="0.3">
      <c r="A162" s="27"/>
      <c r="B162" s="11" t="str">
        <f>CONCATENATE("          ", "6307", " - ", "POSTAGE")</f>
        <v xml:space="preserve">          6307 - POSTAGE</v>
      </c>
      <c r="C162" s="11"/>
      <c r="D162" s="6">
        <v>-5400.67</v>
      </c>
      <c r="E162" s="2"/>
      <c r="F162" s="7">
        <f t="shared" si="59"/>
        <v>-1.832359995885165E-2</v>
      </c>
      <c r="G162" s="2"/>
      <c r="H162" s="6">
        <v>-4319.71</v>
      </c>
      <c r="I162" s="2"/>
      <c r="J162" s="7">
        <f t="shared" si="60"/>
        <v>-3.8925893999476976E-2</v>
      </c>
      <c r="K162" s="2"/>
      <c r="L162" s="6">
        <f t="shared" si="61"/>
        <v>-1080.96</v>
      </c>
      <c r="M162" s="2"/>
      <c r="N162" s="7">
        <f t="shared" si="62"/>
        <v>0.25023902067499904</v>
      </c>
      <c r="O162" s="11"/>
      <c r="P162" s="6">
        <v>-95814.85</v>
      </c>
      <c r="Q162" s="2"/>
      <c r="R162" s="7">
        <f t="shared" si="63"/>
        <v>-3.0293281888684988E-2</v>
      </c>
      <c r="S162" s="2"/>
      <c r="T162" s="6">
        <v>-122415.8</v>
      </c>
      <c r="U162" s="2"/>
      <c r="V162" s="7">
        <f t="shared" si="64"/>
        <v>-4.9661926257890669E-2</v>
      </c>
      <c r="W162" s="2"/>
      <c r="X162" s="6">
        <f t="shared" si="65"/>
        <v>26600.949999999997</v>
      </c>
      <c r="Y162" s="2"/>
      <c r="Z162" s="7">
        <f t="shared" si="66"/>
        <v>-0.21729997271594023</v>
      </c>
    </row>
    <row r="163" spans="1:26" s="29" customFormat="1" outlineLevel="1" collapsed="1" x14ac:dyDescent="0.3">
      <c r="A163" s="28"/>
      <c r="B163" s="14" t="str">
        <f>CONCATENATE("     ","General                                           ")</f>
        <v xml:space="preserve">     General                                           </v>
      </c>
      <c r="C163" s="14"/>
      <c r="D163" s="1">
        <f>SUM(OSRRefD22_11x_0)</f>
        <v>1135.0899999999999</v>
      </c>
      <c r="E163" s="1"/>
      <c r="F163" s="5">
        <f t="shared" ref="F163:F169" si="67">IF(D$12=0,0,D163/D$12)</f>
        <v>3.8511768127459964E-3</v>
      </c>
      <c r="G163" s="1"/>
      <c r="H163" s="1">
        <f>SUM(OSRRefH22_11x_0)</f>
        <v>3792.73</v>
      </c>
      <c r="I163" s="1"/>
      <c r="J163" s="5">
        <f t="shared" ref="J163:J169" si="68">IF(H$12=0,0,H163/H$12)</f>
        <v>3.4177156787987231E-2</v>
      </c>
      <c r="K163" s="1"/>
      <c r="L163" s="1">
        <f t="shared" ref="L163:L169" si="69">+D163-H163</f>
        <v>-2657.6400000000003</v>
      </c>
      <c r="M163" s="1"/>
      <c r="N163" s="5">
        <f t="shared" ref="N163:N169" si="70">IF(H163=0,0,L163/H163)</f>
        <v>-0.70071953447780366</v>
      </c>
      <c r="O163" s="14"/>
      <c r="P163" s="1">
        <f>SUM(OSRRefP22_11x_0)</f>
        <v>3329.19</v>
      </c>
      <c r="Q163" s="1"/>
      <c r="R163" s="5">
        <f t="shared" ref="R163:R169" si="71">IF(P$12=0,0,P163/P$12)</f>
        <v>1.0525726558147425E-3</v>
      </c>
      <c r="S163" s="1"/>
      <c r="T163" s="1">
        <f>SUM(OSRRefT22_11x_0)</f>
        <v>545.9</v>
      </c>
      <c r="U163" s="1"/>
      <c r="V163" s="5">
        <f t="shared" ref="V163:V169" si="72">IF(T$12=0,0,T163/T$12)</f>
        <v>2.2146198075887681E-4</v>
      </c>
      <c r="W163" s="1"/>
      <c r="X163" s="1">
        <f t="shared" ref="X163:X169" si="73">+P163-T163</f>
        <v>2783.29</v>
      </c>
      <c r="Y163" s="1"/>
      <c r="Z163" s="5">
        <f t="shared" ref="Z163:Z169" si="74">IF(T163=0,0,X163/T163)</f>
        <v>5.0985345301337244</v>
      </c>
    </row>
    <row r="164" spans="1:26" s="24" customFormat="1" hidden="1" outlineLevel="2" x14ac:dyDescent="0.3">
      <c r="A164" s="27"/>
      <c r="B164" s="11" t="str">
        <f>CONCATENATE("          ", "6279", " - ", "GENERAL EXPENSE")</f>
        <v xml:space="preserve">          6279 - GENERAL EXPENSE</v>
      </c>
      <c r="C164" s="11"/>
      <c r="D164" s="6">
        <v>1135.0899999999999</v>
      </c>
      <c r="E164" s="2"/>
      <c r="F164" s="7">
        <f t="shared" si="67"/>
        <v>3.8511768127459964E-3</v>
      </c>
      <c r="G164" s="2"/>
      <c r="H164" s="6">
        <v>3792.73</v>
      </c>
      <c r="I164" s="2"/>
      <c r="J164" s="7">
        <f t="shared" si="68"/>
        <v>3.4177156787987231E-2</v>
      </c>
      <c r="K164" s="2"/>
      <c r="L164" s="6">
        <f t="shared" si="69"/>
        <v>-2657.6400000000003</v>
      </c>
      <c r="M164" s="2"/>
      <c r="N164" s="7">
        <f t="shared" si="70"/>
        <v>-0.70071953447780366</v>
      </c>
      <c r="O164" s="11"/>
      <c r="P164" s="6">
        <v>3329.19</v>
      </c>
      <c r="Q164" s="2"/>
      <c r="R164" s="7">
        <f t="shared" si="71"/>
        <v>1.0525726558147425E-3</v>
      </c>
      <c r="S164" s="2"/>
      <c r="T164" s="6">
        <v>545.9</v>
      </c>
      <c r="U164" s="2"/>
      <c r="V164" s="7">
        <f t="shared" si="72"/>
        <v>2.2146198075887681E-4</v>
      </c>
      <c r="W164" s="2"/>
      <c r="X164" s="6">
        <f t="shared" si="73"/>
        <v>2783.29</v>
      </c>
      <c r="Y164" s="2"/>
      <c r="Z164" s="7">
        <f t="shared" si="74"/>
        <v>5.0985345301337244</v>
      </c>
    </row>
    <row r="165" spans="1:26" s="29" customFormat="1" outlineLevel="1" collapsed="1" x14ac:dyDescent="0.3">
      <c r="A165" s="28"/>
      <c r="B165" s="14" t="str">
        <f>CONCATENATE("     ","Insurance                                         ")</f>
        <v xml:space="preserve">     Insurance                                         </v>
      </c>
      <c r="C165" s="14"/>
      <c r="D165" s="1">
        <f>SUM(OSRRefD22_12x_0)</f>
        <v>5494.57</v>
      </c>
      <c r="E165" s="1"/>
      <c r="F165" s="5">
        <f t="shared" si="67"/>
        <v>1.8642187474129601E-2</v>
      </c>
      <c r="G165" s="1"/>
      <c r="H165" s="1">
        <f>SUM(OSRRefH22_12x_0)</f>
        <v>4044.74</v>
      </c>
      <c r="I165" s="1"/>
      <c r="J165" s="5">
        <f t="shared" si="68"/>
        <v>3.6448076490191356E-2</v>
      </c>
      <c r="K165" s="1"/>
      <c r="L165" s="1">
        <f t="shared" si="69"/>
        <v>1449.83</v>
      </c>
      <c r="M165" s="1"/>
      <c r="N165" s="5">
        <f t="shared" si="70"/>
        <v>0.35844825625380122</v>
      </c>
      <c r="O165" s="14"/>
      <c r="P165" s="1">
        <f>SUM(OSRRefP22_12x_0)</f>
        <v>27472.85</v>
      </c>
      <c r="Q165" s="1"/>
      <c r="R165" s="5">
        <f t="shared" si="71"/>
        <v>8.6859478393543302E-3</v>
      </c>
      <c r="S165" s="1"/>
      <c r="T165" s="1">
        <f>SUM(OSRRefT22_12x_0)</f>
        <v>20223.7</v>
      </c>
      <c r="U165" s="1"/>
      <c r="V165" s="5">
        <f t="shared" si="72"/>
        <v>8.204397619112104E-3</v>
      </c>
      <c r="W165" s="1"/>
      <c r="X165" s="1">
        <f t="shared" si="73"/>
        <v>7249.1499999999978</v>
      </c>
      <c r="Y165" s="1"/>
      <c r="Z165" s="5">
        <f t="shared" si="74"/>
        <v>0.35844825625380111</v>
      </c>
    </row>
    <row r="166" spans="1:26" s="24" customFormat="1" hidden="1" outlineLevel="2" x14ac:dyDescent="0.3">
      <c r="A166" s="27"/>
      <c r="B166" s="11" t="str">
        <f>CONCATENATE("          ", "6314", " - ", "LIABILITY INSURANCE")</f>
        <v xml:space="preserve">          6314 - LIABILITY INSURANCE</v>
      </c>
      <c r="C166" s="11"/>
      <c r="D166" s="6">
        <v>5494.57</v>
      </c>
      <c r="E166" s="2"/>
      <c r="F166" s="7">
        <f t="shared" si="67"/>
        <v>1.8642187474129601E-2</v>
      </c>
      <c r="G166" s="2"/>
      <c r="H166" s="6">
        <v>4044.74</v>
      </c>
      <c r="I166" s="2"/>
      <c r="J166" s="7">
        <f t="shared" si="68"/>
        <v>3.6448076490191356E-2</v>
      </c>
      <c r="K166" s="2"/>
      <c r="L166" s="6">
        <f t="shared" si="69"/>
        <v>1449.83</v>
      </c>
      <c r="M166" s="2"/>
      <c r="N166" s="7">
        <f t="shared" si="70"/>
        <v>0.35844825625380122</v>
      </c>
      <c r="O166" s="11"/>
      <c r="P166" s="6">
        <v>27472.85</v>
      </c>
      <c r="Q166" s="2"/>
      <c r="R166" s="7">
        <f t="shared" si="71"/>
        <v>8.6859478393543302E-3</v>
      </c>
      <c r="S166" s="2"/>
      <c r="T166" s="6">
        <v>20223.7</v>
      </c>
      <c r="U166" s="2"/>
      <c r="V166" s="7">
        <f t="shared" si="72"/>
        <v>8.204397619112104E-3</v>
      </c>
      <c r="W166" s="2"/>
      <c r="X166" s="6">
        <f t="shared" si="73"/>
        <v>7249.1499999999978</v>
      </c>
      <c r="Y166" s="2"/>
      <c r="Z166" s="7">
        <f t="shared" si="74"/>
        <v>0.35844825625380111</v>
      </c>
    </row>
    <row r="167" spans="1:26" s="29" customFormat="1" outlineLevel="1" collapsed="1" x14ac:dyDescent="0.3">
      <c r="A167" s="28"/>
      <c r="B167" s="14" t="str">
        <f>CONCATENATE("     ","Inventory Adjustment                              ")</f>
        <v xml:space="preserve">     Inventory Adjustment                              </v>
      </c>
      <c r="C167" s="14"/>
      <c r="D167" s="1">
        <f>SUM(OSRRefD22_13x_0)</f>
        <v>5100</v>
      </c>
      <c r="E167" s="1"/>
      <c r="F167" s="5">
        <f t="shared" si="67"/>
        <v>1.7303475270687419E-2</v>
      </c>
      <c r="G167" s="1"/>
      <c r="H167" s="1">
        <f>SUM(OSRRefH22_13x_0)</f>
        <v>2100</v>
      </c>
      <c r="I167" s="1"/>
      <c r="J167" s="5">
        <f t="shared" si="68"/>
        <v>1.8923579915990113E-2</v>
      </c>
      <c r="K167" s="1"/>
      <c r="L167" s="1">
        <f t="shared" si="69"/>
        <v>3000</v>
      </c>
      <c r="M167" s="1"/>
      <c r="N167" s="5">
        <f t="shared" si="70"/>
        <v>1.4285714285714286</v>
      </c>
      <c r="O167" s="14"/>
      <c r="P167" s="1">
        <f>SUM(OSRRefP22_13x_0)</f>
        <v>25500</v>
      </c>
      <c r="Q167" s="1"/>
      <c r="R167" s="5">
        <f t="shared" si="71"/>
        <v>8.062202134235634E-3</v>
      </c>
      <c r="S167" s="1"/>
      <c r="T167" s="1">
        <f>SUM(OSRRefT22_13x_0)</f>
        <v>10500</v>
      </c>
      <c r="U167" s="1"/>
      <c r="V167" s="5">
        <f t="shared" si="72"/>
        <v>4.2596644036787083E-3</v>
      </c>
      <c r="W167" s="1"/>
      <c r="X167" s="1">
        <f t="shared" si="73"/>
        <v>15000</v>
      </c>
      <c r="Y167" s="1"/>
      <c r="Z167" s="5">
        <f t="shared" si="74"/>
        <v>1.4285714285714286</v>
      </c>
    </row>
    <row r="168" spans="1:26" s="24" customFormat="1" hidden="1" outlineLevel="2" x14ac:dyDescent="0.3">
      <c r="A168" s="27"/>
      <c r="B168" s="11" t="str">
        <f>CONCATENATE("          ", "6408", " - ", "INVENTORY ADJUSTMENT")</f>
        <v xml:space="preserve">          6408 - INVENTORY ADJUSTMENT</v>
      </c>
      <c r="C168" s="11"/>
      <c r="D168" s="6">
        <v>5100</v>
      </c>
      <c r="E168" s="2"/>
      <c r="F168" s="7">
        <f t="shared" si="67"/>
        <v>1.7303475270687419E-2</v>
      </c>
      <c r="G168" s="2"/>
      <c r="H168" s="6">
        <v>2100</v>
      </c>
      <c r="I168" s="2"/>
      <c r="J168" s="7">
        <f t="shared" si="68"/>
        <v>1.8923579915990113E-2</v>
      </c>
      <c r="K168" s="2"/>
      <c r="L168" s="6">
        <f t="shared" si="69"/>
        <v>3000</v>
      </c>
      <c r="M168" s="2"/>
      <c r="N168" s="7">
        <f t="shared" si="70"/>
        <v>1.4285714285714286</v>
      </c>
      <c r="O168" s="11"/>
      <c r="P168" s="6">
        <v>25500</v>
      </c>
      <c r="Q168" s="2"/>
      <c r="R168" s="7">
        <f t="shared" si="71"/>
        <v>8.062202134235634E-3</v>
      </c>
      <c r="S168" s="2"/>
      <c r="T168" s="6">
        <v>10500</v>
      </c>
      <c r="U168" s="2"/>
      <c r="V168" s="7">
        <f t="shared" si="72"/>
        <v>4.2596644036787083E-3</v>
      </c>
      <c r="W168" s="2"/>
      <c r="X168" s="6">
        <f t="shared" si="73"/>
        <v>15000</v>
      </c>
      <c r="Y168" s="2"/>
      <c r="Z168" s="7">
        <f t="shared" si="74"/>
        <v>1.4285714285714286</v>
      </c>
    </row>
    <row r="169" spans="1:26" s="24" customFormat="1" hidden="1" outlineLevel="2" x14ac:dyDescent="0.3">
      <c r="A169" s="27"/>
      <c r="B169" s="11" t="str">
        <f>CONCATENATE("          ", "7741", " - ", "INV. SHRINKAGE-LOGO GIFTS")</f>
        <v xml:space="preserve">          7741 - INV. SHRINKAGE-LOGO GIFTS</v>
      </c>
      <c r="C169" s="11"/>
      <c r="D169" s="6"/>
      <c r="E169" s="2"/>
      <c r="F169" s="7">
        <f t="shared" si="67"/>
        <v>0</v>
      </c>
      <c r="G169" s="2"/>
      <c r="H169" s="6"/>
      <c r="I169" s="2"/>
      <c r="J169" s="7">
        <f t="shared" si="68"/>
        <v>0</v>
      </c>
      <c r="K169" s="2"/>
      <c r="L169" s="6">
        <f t="shared" si="69"/>
        <v>0</v>
      </c>
      <c r="M169" s="2"/>
      <c r="N169" s="7">
        <f t="shared" si="70"/>
        <v>0</v>
      </c>
      <c r="O169" s="11"/>
      <c r="P169" s="6"/>
      <c r="Q169" s="2"/>
      <c r="R169" s="7">
        <f t="shared" si="71"/>
        <v>0</v>
      </c>
      <c r="S169" s="2"/>
      <c r="T169" s="6">
        <v>0</v>
      </c>
      <c r="U169" s="2"/>
      <c r="V169" s="7">
        <f t="shared" si="72"/>
        <v>0</v>
      </c>
      <c r="W169" s="2"/>
      <c r="X169" s="6">
        <f t="shared" si="73"/>
        <v>0</v>
      </c>
      <c r="Y169" s="2"/>
      <c r="Z169" s="7">
        <f t="shared" si="74"/>
        <v>0</v>
      </c>
    </row>
    <row r="170" spans="1:26" s="29" customFormat="1" outlineLevel="1" collapsed="1" x14ac:dyDescent="0.3">
      <c r="A170" s="28"/>
      <c r="B170" s="14" t="str">
        <f>CONCATENATE("     ","Professional Services                             ")</f>
        <v xml:space="preserve">     Professional Services                             </v>
      </c>
      <c r="C170" s="14"/>
      <c r="D170" s="1">
        <f>SUM(OSRRefD22_14x_0)</f>
        <v>0</v>
      </c>
      <c r="E170" s="1"/>
      <c r="F170" s="5">
        <f t="shared" ref="F170:F178" si="75">IF(D$12=0,0,D170/D$12)</f>
        <v>0</v>
      </c>
      <c r="G170" s="1"/>
      <c r="H170" s="1">
        <f>SUM(OSRRefH22_14x_0)</f>
        <v>0</v>
      </c>
      <c r="I170" s="1"/>
      <c r="J170" s="5">
        <f t="shared" ref="J170:J178" si="76">IF(H$12=0,0,H170/H$12)</f>
        <v>0</v>
      </c>
      <c r="K170" s="1"/>
      <c r="L170" s="1">
        <f t="shared" ref="L170:L178" si="77">+D170-H170</f>
        <v>0</v>
      </c>
      <c r="M170" s="1"/>
      <c r="N170" s="5">
        <f t="shared" ref="N170:N178" si="78">IF(H170=0,0,L170/H170)</f>
        <v>0</v>
      </c>
      <c r="O170" s="14"/>
      <c r="P170" s="1">
        <f>SUM(OSRRefP22_14x_0)</f>
        <v>8186.53</v>
      </c>
      <c r="Q170" s="1"/>
      <c r="R170" s="5">
        <f t="shared" ref="R170:R178" si="79">IF(P$12=0,0,P170/P$12)</f>
        <v>2.5882925348229037E-3</v>
      </c>
      <c r="S170" s="1"/>
      <c r="T170" s="1">
        <f>SUM(OSRRefT22_14x_0)</f>
        <v>0</v>
      </c>
      <c r="U170" s="1"/>
      <c r="V170" s="5">
        <f t="shared" ref="V170:V178" si="80">IF(T$12=0,0,T170/T$12)</f>
        <v>0</v>
      </c>
      <c r="W170" s="1"/>
      <c r="X170" s="1">
        <f t="shared" ref="X170:X178" si="81">+P170-T170</f>
        <v>8186.53</v>
      </c>
      <c r="Y170" s="1"/>
      <c r="Z170" s="5">
        <f t="shared" ref="Z170:Z178" si="82">IF(T170=0,0,X170/T170)</f>
        <v>0</v>
      </c>
    </row>
    <row r="171" spans="1:26" s="24" customFormat="1" hidden="1" outlineLevel="2" x14ac:dyDescent="0.3">
      <c r="A171" s="27"/>
      <c r="B171" s="11" t="str">
        <f>CONCATENATE("          ", "6336", " - ", "PROFESSIONAL SERVICES")</f>
        <v xml:space="preserve">          6336 - PROFESSIONAL SERVICES</v>
      </c>
      <c r="C171" s="11"/>
      <c r="D171" s="6"/>
      <c r="E171" s="2"/>
      <c r="F171" s="7">
        <f t="shared" si="75"/>
        <v>0</v>
      </c>
      <c r="G171" s="2"/>
      <c r="H171" s="6"/>
      <c r="I171" s="2"/>
      <c r="J171" s="7">
        <f t="shared" si="76"/>
        <v>0</v>
      </c>
      <c r="K171" s="2"/>
      <c r="L171" s="6">
        <f t="shared" si="77"/>
        <v>0</v>
      </c>
      <c r="M171" s="2"/>
      <c r="N171" s="7">
        <f t="shared" si="78"/>
        <v>0</v>
      </c>
      <c r="O171" s="11"/>
      <c r="P171" s="6">
        <v>8186.53</v>
      </c>
      <c r="Q171" s="2"/>
      <c r="R171" s="7">
        <f t="shared" si="79"/>
        <v>2.5882925348229037E-3</v>
      </c>
      <c r="S171" s="2"/>
      <c r="T171" s="6"/>
      <c r="U171" s="2"/>
      <c r="V171" s="7">
        <f t="shared" si="80"/>
        <v>0</v>
      </c>
      <c r="W171" s="2"/>
      <c r="X171" s="6">
        <f t="shared" si="81"/>
        <v>8186.53</v>
      </c>
      <c r="Y171" s="2"/>
      <c r="Z171" s="7">
        <f t="shared" si="82"/>
        <v>0</v>
      </c>
    </row>
    <row r="172" spans="1:26" s="29" customFormat="1" outlineLevel="1" collapsed="1" x14ac:dyDescent="0.3">
      <c r="A172" s="28"/>
      <c r="B172" s="14" t="str">
        <f>CONCATENATE("     ","Rent                                              ")</f>
        <v xml:space="preserve">     Rent                                              </v>
      </c>
      <c r="C172" s="14"/>
      <c r="D172" s="1">
        <f>SUM(OSRRefD22_15x_0)</f>
        <v>6100</v>
      </c>
      <c r="E172" s="1"/>
      <c r="F172" s="5">
        <f t="shared" si="75"/>
        <v>2.0696313559057499E-2</v>
      </c>
      <c r="G172" s="1"/>
      <c r="H172" s="1">
        <f>SUM(OSRRefH22_15x_0)</f>
        <v>6100</v>
      </c>
      <c r="I172" s="1"/>
      <c r="J172" s="5">
        <f t="shared" si="76"/>
        <v>5.4968494041685564E-2</v>
      </c>
      <c r="K172" s="1"/>
      <c r="L172" s="1">
        <f t="shared" si="77"/>
        <v>0</v>
      </c>
      <c r="M172" s="1"/>
      <c r="N172" s="5">
        <f t="shared" si="78"/>
        <v>0</v>
      </c>
      <c r="O172" s="14"/>
      <c r="P172" s="1">
        <f>SUM(OSRRefP22_15x_0)</f>
        <v>30500</v>
      </c>
      <c r="Q172" s="1"/>
      <c r="R172" s="5">
        <f t="shared" si="79"/>
        <v>9.6430260821249742E-3</v>
      </c>
      <c r="S172" s="1"/>
      <c r="T172" s="1">
        <f>SUM(OSRRefT22_15x_0)</f>
        <v>30500</v>
      </c>
      <c r="U172" s="1"/>
      <c r="V172" s="5">
        <f t="shared" si="80"/>
        <v>1.2373310886876246E-2</v>
      </c>
      <c r="W172" s="1"/>
      <c r="X172" s="1">
        <f t="shared" si="81"/>
        <v>0</v>
      </c>
      <c r="Y172" s="1"/>
      <c r="Z172" s="5">
        <f t="shared" si="82"/>
        <v>0</v>
      </c>
    </row>
    <row r="173" spans="1:26" s="24" customFormat="1" hidden="1" outlineLevel="2" x14ac:dyDescent="0.3">
      <c r="A173" s="27"/>
      <c r="B173" s="11" t="str">
        <f>CONCATENATE("          ", "6273", " - ", "RENT")</f>
        <v xml:space="preserve">          6273 - RENT</v>
      </c>
      <c r="C173" s="11"/>
      <c r="D173" s="6">
        <v>6100</v>
      </c>
      <c r="E173" s="2"/>
      <c r="F173" s="7">
        <f t="shared" si="75"/>
        <v>2.0696313559057499E-2</v>
      </c>
      <c r="G173" s="2"/>
      <c r="H173" s="6">
        <v>6100</v>
      </c>
      <c r="I173" s="2"/>
      <c r="J173" s="7">
        <f t="shared" si="76"/>
        <v>5.4968494041685564E-2</v>
      </c>
      <c r="K173" s="2"/>
      <c r="L173" s="6">
        <f t="shared" si="77"/>
        <v>0</v>
      </c>
      <c r="M173" s="2"/>
      <c r="N173" s="7">
        <f t="shared" si="78"/>
        <v>0</v>
      </c>
      <c r="O173" s="11"/>
      <c r="P173" s="6">
        <v>30500</v>
      </c>
      <c r="Q173" s="2"/>
      <c r="R173" s="7">
        <f t="shared" si="79"/>
        <v>9.6430260821249742E-3</v>
      </c>
      <c r="S173" s="2"/>
      <c r="T173" s="6">
        <v>30500</v>
      </c>
      <c r="U173" s="2"/>
      <c r="V173" s="7">
        <f t="shared" si="80"/>
        <v>1.2373310886876246E-2</v>
      </c>
      <c r="W173" s="2"/>
      <c r="X173" s="6">
        <f t="shared" si="81"/>
        <v>0</v>
      </c>
      <c r="Y173" s="2"/>
      <c r="Z173" s="7">
        <f t="shared" si="82"/>
        <v>0</v>
      </c>
    </row>
    <row r="174" spans="1:26" s="29" customFormat="1" outlineLevel="1" collapsed="1" x14ac:dyDescent="0.3">
      <c r="A174" s="28"/>
      <c r="B174" s="14" t="str">
        <f>CONCATENATE("     ","Repair and Maintenance                            ")</f>
        <v xml:space="preserve">     Repair and Maintenance                            </v>
      </c>
      <c r="C174" s="14"/>
      <c r="D174" s="1">
        <f>SUM(OSRRefD22_16x_0)</f>
        <v>1338.03</v>
      </c>
      <c r="E174" s="1"/>
      <c r="F174" s="5">
        <f t="shared" si="75"/>
        <v>4.5397194149878212E-3</v>
      </c>
      <c r="G174" s="1"/>
      <c r="H174" s="1">
        <f>SUM(OSRRefH22_16x_0)</f>
        <v>3234.7799999999997</v>
      </c>
      <c r="I174" s="1"/>
      <c r="J174" s="5">
        <f t="shared" si="76"/>
        <v>2.9149341828879283E-2</v>
      </c>
      <c r="K174" s="1"/>
      <c r="L174" s="1">
        <f t="shared" si="77"/>
        <v>-1896.7499999999998</v>
      </c>
      <c r="M174" s="1"/>
      <c r="N174" s="5">
        <f t="shared" si="78"/>
        <v>-0.58636135996883865</v>
      </c>
      <c r="O174" s="14"/>
      <c r="P174" s="1">
        <f>SUM(OSRRefP22_16x_0)</f>
        <v>90795.47</v>
      </c>
      <c r="Q174" s="1"/>
      <c r="R174" s="5">
        <f t="shared" si="79"/>
        <v>2.8706330667173627E-2</v>
      </c>
      <c r="S174" s="1"/>
      <c r="T174" s="1">
        <f>SUM(OSRRefT22_16x_0)</f>
        <v>101179.15</v>
      </c>
      <c r="U174" s="1"/>
      <c r="V174" s="5">
        <f t="shared" si="80"/>
        <v>4.1046592728520813E-2</v>
      </c>
      <c r="W174" s="1"/>
      <c r="X174" s="1">
        <f t="shared" si="81"/>
        <v>-10383.679999999993</v>
      </c>
      <c r="Y174" s="1"/>
      <c r="Z174" s="5">
        <f t="shared" si="82"/>
        <v>-0.10262667753188275</v>
      </c>
    </row>
    <row r="175" spans="1:26" s="24" customFormat="1" hidden="1" outlineLevel="2" x14ac:dyDescent="0.3">
      <c r="A175" s="27"/>
      <c r="B175" s="11" t="str">
        <f>CONCATENATE("          ", "6371", " - ", "COMPUTER SOFTWARE MAINTENANCE")</f>
        <v xml:space="preserve">          6371 - COMPUTER SOFTWARE MAINTENANCE</v>
      </c>
      <c r="C175" s="11"/>
      <c r="D175" s="6"/>
      <c r="E175" s="2"/>
      <c r="F175" s="7">
        <f t="shared" si="75"/>
        <v>0</v>
      </c>
      <c r="G175" s="2"/>
      <c r="H175" s="6"/>
      <c r="I175" s="2"/>
      <c r="J175" s="7">
        <f t="shared" si="76"/>
        <v>0</v>
      </c>
      <c r="K175" s="2"/>
      <c r="L175" s="6">
        <f t="shared" si="77"/>
        <v>0</v>
      </c>
      <c r="M175" s="2"/>
      <c r="N175" s="7">
        <f t="shared" si="78"/>
        <v>0</v>
      </c>
      <c r="O175" s="11"/>
      <c r="P175" s="6">
        <v>62511</v>
      </c>
      <c r="Q175" s="2"/>
      <c r="R175" s="7">
        <f t="shared" si="79"/>
        <v>1.9763777161302107E-2</v>
      </c>
      <c r="S175" s="2"/>
      <c r="T175" s="6">
        <v>58436.47</v>
      </c>
      <c r="U175" s="2"/>
      <c r="V175" s="7">
        <f t="shared" si="80"/>
        <v>2.3706642965298924E-2</v>
      </c>
      <c r="W175" s="2"/>
      <c r="X175" s="6">
        <f t="shared" si="81"/>
        <v>4074.5299999999988</v>
      </c>
      <c r="Y175" s="2"/>
      <c r="Z175" s="7">
        <f t="shared" si="82"/>
        <v>6.972580650405473E-2</v>
      </c>
    </row>
    <row r="176" spans="1:26" s="24" customFormat="1" hidden="1" outlineLevel="2" x14ac:dyDescent="0.3">
      <c r="A176" s="27"/>
      <c r="B176" s="11" t="str">
        <f>CONCATENATE("          ", "6372", " - ", "COMPUTER HARDWARE MAINTENANCE")</f>
        <v xml:space="preserve">          6372 - COMPUTER HARDWARE MAINTENANCE</v>
      </c>
      <c r="C176" s="11"/>
      <c r="D176" s="6"/>
      <c r="E176" s="2"/>
      <c r="F176" s="7">
        <f t="shared" si="75"/>
        <v>0</v>
      </c>
      <c r="G176" s="2"/>
      <c r="H176" s="6"/>
      <c r="I176" s="2"/>
      <c r="J176" s="7">
        <f t="shared" si="76"/>
        <v>0</v>
      </c>
      <c r="K176" s="2"/>
      <c r="L176" s="6">
        <f t="shared" si="77"/>
        <v>0</v>
      </c>
      <c r="M176" s="2"/>
      <c r="N176" s="7">
        <f t="shared" si="78"/>
        <v>0</v>
      </c>
      <c r="O176" s="11"/>
      <c r="P176" s="6"/>
      <c r="Q176" s="2"/>
      <c r="R176" s="7">
        <f t="shared" si="79"/>
        <v>0</v>
      </c>
      <c r="S176" s="2"/>
      <c r="T176" s="6">
        <v>0</v>
      </c>
      <c r="U176" s="2"/>
      <c r="V176" s="7">
        <f t="shared" si="80"/>
        <v>0</v>
      </c>
      <c r="W176" s="2"/>
      <c r="X176" s="6">
        <f t="shared" si="81"/>
        <v>0</v>
      </c>
      <c r="Y176" s="2"/>
      <c r="Z176" s="7">
        <f t="shared" si="82"/>
        <v>0</v>
      </c>
    </row>
    <row r="177" spans="1:26" s="24" customFormat="1" hidden="1" outlineLevel="2" x14ac:dyDescent="0.3">
      <c r="A177" s="27"/>
      <c r="B177" s="11" t="str">
        <f>CONCATENATE("          ", "6373", " - ", "MAINTENANCE CONTRACTS")</f>
        <v xml:space="preserve">          6373 - MAINTENANCE CONTRACTS</v>
      </c>
      <c r="C177" s="11"/>
      <c r="D177" s="6">
        <v>179.27</v>
      </c>
      <c r="E177" s="2"/>
      <c r="F177" s="7">
        <f t="shared" si="75"/>
        <v>6.0823411995610465E-4</v>
      </c>
      <c r="G177" s="2"/>
      <c r="H177" s="6">
        <v>440.29</v>
      </c>
      <c r="I177" s="2"/>
      <c r="J177" s="7">
        <f t="shared" si="76"/>
        <v>3.9675538101006129E-3</v>
      </c>
      <c r="K177" s="2"/>
      <c r="L177" s="6">
        <f t="shared" si="77"/>
        <v>-261.02</v>
      </c>
      <c r="M177" s="2"/>
      <c r="N177" s="7">
        <f t="shared" si="78"/>
        <v>-0.59283653955347604</v>
      </c>
      <c r="O177" s="11"/>
      <c r="P177" s="6">
        <v>12246</v>
      </c>
      <c r="Q177" s="2"/>
      <c r="R177" s="7">
        <f t="shared" si="79"/>
        <v>3.8717540131705717E-3</v>
      </c>
      <c r="S177" s="2"/>
      <c r="T177" s="6">
        <v>31026.01</v>
      </c>
      <c r="U177" s="2"/>
      <c r="V177" s="7">
        <f t="shared" si="80"/>
        <v>1.2586703846207583E-2</v>
      </c>
      <c r="W177" s="2"/>
      <c r="X177" s="6">
        <f t="shared" si="81"/>
        <v>-18780.009999999998</v>
      </c>
      <c r="Y177" s="2"/>
      <c r="Z177" s="7">
        <f t="shared" si="82"/>
        <v>-0.60529890888322413</v>
      </c>
    </row>
    <row r="178" spans="1:26" s="24" customFormat="1" hidden="1" outlineLevel="2" x14ac:dyDescent="0.3">
      <c r="A178" s="27"/>
      <c r="B178" s="11" t="str">
        <f>CONCATENATE("          ", "6375", " - ", "OUTSIDE REPAIRS &amp; MAINTENANCE")</f>
        <v xml:space="preserve">          6375 - OUTSIDE REPAIRS &amp; MAINTENANCE</v>
      </c>
      <c r="C178" s="11"/>
      <c r="D178" s="6">
        <v>1158.76</v>
      </c>
      <c r="E178" s="2"/>
      <c r="F178" s="7">
        <f t="shared" si="75"/>
        <v>3.9314852950317163E-3</v>
      </c>
      <c r="G178" s="2"/>
      <c r="H178" s="6">
        <v>2794.49</v>
      </c>
      <c r="I178" s="2"/>
      <c r="J178" s="7">
        <f t="shared" si="76"/>
        <v>2.518178801877867E-2</v>
      </c>
      <c r="K178" s="2"/>
      <c r="L178" s="6">
        <f t="shared" si="77"/>
        <v>-1635.7299999999998</v>
      </c>
      <c r="M178" s="2"/>
      <c r="N178" s="7">
        <f t="shared" si="78"/>
        <v>-0.58534115348417781</v>
      </c>
      <c r="O178" s="11"/>
      <c r="P178" s="6">
        <v>16038.47</v>
      </c>
      <c r="Q178" s="2"/>
      <c r="R178" s="7">
        <f t="shared" si="79"/>
        <v>5.0707994927009486E-3</v>
      </c>
      <c r="S178" s="2"/>
      <c r="T178" s="6">
        <v>11716.67</v>
      </c>
      <c r="U178" s="2"/>
      <c r="V178" s="7">
        <f t="shared" si="80"/>
        <v>4.7532459170143053E-3</v>
      </c>
      <c r="W178" s="2"/>
      <c r="X178" s="6">
        <f t="shared" si="81"/>
        <v>4321.7999999999993</v>
      </c>
      <c r="Y178" s="2"/>
      <c r="Z178" s="7">
        <f t="shared" si="82"/>
        <v>0.36885907002586904</v>
      </c>
    </row>
    <row r="179" spans="1:26" s="29" customFormat="1" outlineLevel="1" collapsed="1" x14ac:dyDescent="0.3">
      <c r="A179" s="28"/>
      <c r="B179" s="14" t="str">
        <f>CONCATENATE("     ","Royalty &amp; Commissions                             ")</f>
        <v xml:space="preserve">     Royalty &amp; Commissions                             </v>
      </c>
      <c r="C179" s="14"/>
      <c r="D179" s="1">
        <f>SUM(OSRRefD22_17x_0)</f>
        <v>784.77</v>
      </c>
      <c r="E179" s="1"/>
      <c r="F179" s="5">
        <f t="shared" ref="F179:F182" si="83">IF(D$12=0,0,D179/D$12)</f>
        <v>2.6625977035641892E-3</v>
      </c>
      <c r="G179" s="1"/>
      <c r="H179" s="1">
        <f>SUM(OSRRefH22_17x_0)</f>
        <v>4453.09</v>
      </c>
      <c r="I179" s="1"/>
      <c r="J179" s="5">
        <f t="shared" ref="J179:J182" si="84">IF(H$12=0,0,H179/H$12)</f>
        <v>4.012781166099829E-2</v>
      </c>
      <c r="K179" s="1"/>
      <c r="L179" s="1">
        <f t="shared" ref="L179:L182" si="85">+D179-H179</f>
        <v>-3668.32</v>
      </c>
      <c r="M179" s="1"/>
      <c r="N179" s="5">
        <f t="shared" ref="N179:N182" si="86">IF(H179=0,0,L179/H179)</f>
        <v>-0.82376956225901565</v>
      </c>
      <c r="O179" s="14"/>
      <c r="P179" s="1">
        <f>SUM(OSRRefP22_17x_0)</f>
        <v>20625.7</v>
      </c>
      <c r="Q179" s="1"/>
      <c r="R179" s="5">
        <f t="shared" ref="R179:R182" si="87">IF(P$12=0,0,P179/P$12)</f>
        <v>6.5211201003962322E-3</v>
      </c>
      <c r="S179" s="1"/>
      <c r="T179" s="1">
        <f>SUM(OSRRefT22_17x_0)</f>
        <v>28570.09</v>
      </c>
      <c r="U179" s="1"/>
      <c r="V179" s="5">
        <f t="shared" ref="V179:V182" si="88">IF(T$12=0,0,T179/T$12)</f>
        <v>1.1590380512656859E-2</v>
      </c>
      <c r="W179" s="1"/>
      <c r="X179" s="1">
        <f t="shared" ref="X179:X182" si="89">+P179-T179</f>
        <v>-7944.3899999999994</v>
      </c>
      <c r="Y179" s="1"/>
      <c r="Z179" s="5">
        <f t="shared" ref="Z179:Z182" si="90">IF(T179=0,0,X179/T179)</f>
        <v>-0.27806667742383728</v>
      </c>
    </row>
    <row r="180" spans="1:26" s="24" customFormat="1" hidden="1" outlineLevel="2" x14ac:dyDescent="0.3">
      <c r="A180" s="27"/>
      <c r="B180" s="11" t="str">
        <f>CONCATENATE("          ", "6253", " - ", "ROYALTY DUE ATHLETICS-LRG")</f>
        <v xml:space="preserve">          6253 - ROYALTY DUE ATHLETICS-LRG</v>
      </c>
      <c r="C180" s="11"/>
      <c r="D180" s="6"/>
      <c r="E180" s="2"/>
      <c r="F180" s="7">
        <f t="shared" si="83"/>
        <v>0</v>
      </c>
      <c r="G180" s="2"/>
      <c r="H180" s="6"/>
      <c r="I180" s="2"/>
      <c r="J180" s="7">
        <f t="shared" si="84"/>
        <v>0</v>
      </c>
      <c r="K180" s="2"/>
      <c r="L180" s="6">
        <f t="shared" si="85"/>
        <v>0</v>
      </c>
      <c r="M180" s="2"/>
      <c r="N180" s="7">
        <f t="shared" si="86"/>
        <v>0</v>
      </c>
      <c r="O180" s="11"/>
      <c r="P180" s="6">
        <v>23160.29</v>
      </c>
      <c r="Q180" s="2"/>
      <c r="R180" s="7">
        <f t="shared" si="87"/>
        <v>7.3224682144124014E-3</v>
      </c>
      <c r="S180" s="2"/>
      <c r="T180" s="6">
        <v>18411.8</v>
      </c>
      <c r="U180" s="2"/>
      <c r="V180" s="7">
        <f t="shared" si="88"/>
        <v>7.4693418159668219E-3</v>
      </c>
      <c r="W180" s="2"/>
      <c r="X180" s="6">
        <f t="shared" si="89"/>
        <v>4748.4900000000016</v>
      </c>
      <c r="Y180" s="2"/>
      <c r="Z180" s="7">
        <f t="shared" si="90"/>
        <v>0.25790471328169989</v>
      </c>
    </row>
    <row r="181" spans="1:26" s="24" customFormat="1" hidden="1" outlineLevel="2" x14ac:dyDescent="0.3">
      <c r="A181" s="27"/>
      <c r="B181" s="11" t="str">
        <f>CONCATENATE("          ", "6254", " - ", "ROYALTY &amp; COMMISSIONS")</f>
        <v xml:space="preserve">          6254 - ROYALTY &amp; COMMISSIONS</v>
      </c>
      <c r="C181" s="11"/>
      <c r="D181" s="6"/>
      <c r="E181" s="2"/>
      <c r="F181" s="7">
        <f t="shared" si="83"/>
        <v>0</v>
      </c>
      <c r="G181" s="2"/>
      <c r="H181" s="6"/>
      <c r="I181" s="2"/>
      <c r="J181" s="7">
        <f t="shared" si="84"/>
        <v>0</v>
      </c>
      <c r="K181" s="2"/>
      <c r="L181" s="6">
        <f t="shared" si="85"/>
        <v>0</v>
      </c>
      <c r="M181" s="2"/>
      <c r="N181" s="7">
        <f t="shared" si="86"/>
        <v>0</v>
      </c>
      <c r="O181" s="11"/>
      <c r="P181" s="6">
        <v>-7027.5</v>
      </c>
      <c r="Q181" s="2"/>
      <c r="R181" s="7">
        <f t="shared" si="87"/>
        <v>-2.2218480587584675E-3</v>
      </c>
      <c r="S181" s="2"/>
      <c r="T181" s="6"/>
      <c r="U181" s="2"/>
      <c r="V181" s="7">
        <f t="shared" si="88"/>
        <v>0</v>
      </c>
      <c r="W181" s="2"/>
      <c r="X181" s="6">
        <f t="shared" si="89"/>
        <v>-7027.5</v>
      </c>
      <c r="Y181" s="2"/>
      <c r="Z181" s="7">
        <f t="shared" si="90"/>
        <v>0</v>
      </c>
    </row>
    <row r="182" spans="1:26" s="24" customFormat="1" hidden="1" outlineLevel="2" x14ac:dyDescent="0.3">
      <c r="A182" s="27"/>
      <c r="B182" s="11" t="str">
        <f>CONCATENATE("          ", "6259", " - ", "ROYALTY &amp; COMMISSIONS")</f>
        <v xml:space="preserve">          6259 - ROYALTY &amp; COMMISSIONS</v>
      </c>
      <c r="C182" s="11"/>
      <c r="D182" s="6">
        <v>784.77</v>
      </c>
      <c r="E182" s="2"/>
      <c r="F182" s="7">
        <f t="shared" si="83"/>
        <v>2.6625977035641892E-3</v>
      </c>
      <c r="G182" s="2"/>
      <c r="H182" s="6">
        <v>4453.09</v>
      </c>
      <c r="I182" s="2"/>
      <c r="J182" s="7">
        <f t="shared" si="84"/>
        <v>4.012781166099829E-2</v>
      </c>
      <c r="K182" s="2"/>
      <c r="L182" s="6">
        <f t="shared" si="85"/>
        <v>-3668.32</v>
      </c>
      <c r="M182" s="2"/>
      <c r="N182" s="7">
        <f t="shared" si="86"/>
        <v>-0.82376956225901565</v>
      </c>
      <c r="O182" s="11"/>
      <c r="P182" s="6">
        <v>4492.91</v>
      </c>
      <c r="Q182" s="2"/>
      <c r="R182" s="7">
        <f t="shared" si="87"/>
        <v>1.4204999447422989E-3</v>
      </c>
      <c r="S182" s="2"/>
      <c r="T182" s="6">
        <v>10158.290000000001</v>
      </c>
      <c r="U182" s="2"/>
      <c r="V182" s="7">
        <f t="shared" si="88"/>
        <v>4.1210386966900369E-3</v>
      </c>
      <c r="W182" s="2"/>
      <c r="X182" s="6">
        <f t="shared" si="89"/>
        <v>-5665.380000000001</v>
      </c>
      <c r="Y182" s="2"/>
      <c r="Z182" s="7">
        <f t="shared" si="90"/>
        <v>-0.55771000827895256</v>
      </c>
    </row>
    <row r="183" spans="1:26" s="29" customFormat="1" outlineLevel="1" collapsed="1" x14ac:dyDescent="0.3">
      <c r="A183" s="28"/>
      <c r="B183" s="14" t="str">
        <f>CONCATENATE("     ","Services                                          ")</f>
        <v xml:space="preserve">     Services                                          </v>
      </c>
      <c r="C183" s="14"/>
      <c r="D183" s="1">
        <f>SUM(OSRRefD22_18x_0)</f>
        <v>4500.9799999999996</v>
      </c>
      <c r="E183" s="1"/>
      <c r="F183" s="5">
        <f t="shared" ref="F183:F187" si="91">IF(D$12=0,0,D183/D$12)</f>
        <v>1.527109727918797E-2</v>
      </c>
      <c r="G183" s="1"/>
      <c r="H183" s="1">
        <f>SUM(OSRRefH22_18x_0)</f>
        <v>3898.5299999999997</v>
      </c>
      <c r="I183" s="1"/>
      <c r="J183" s="5">
        <f t="shared" ref="J183:J187" si="92">IF(H$12=0,0,H183/H$12)</f>
        <v>3.5130544766611871E-2</v>
      </c>
      <c r="K183" s="1"/>
      <c r="L183" s="1">
        <f t="shared" ref="L183:L187" si="93">+D183-H183</f>
        <v>602.44999999999982</v>
      </c>
      <c r="M183" s="1"/>
      <c r="N183" s="5">
        <f t="shared" ref="N183:N187" si="94">IF(H183=0,0,L183/H183)</f>
        <v>0.15453260587965204</v>
      </c>
      <c r="O183" s="14"/>
      <c r="P183" s="1">
        <f>SUM(OSRRefP22_18x_0)</f>
        <v>30963.579999999998</v>
      </c>
      <c r="Q183" s="1"/>
      <c r="R183" s="5">
        <f t="shared" ref="R183:R187" si="95">IF(P$12=0,0,P183/P$12)</f>
        <v>9.7895937552774821E-3</v>
      </c>
      <c r="S183" s="1"/>
      <c r="T183" s="1">
        <f>SUM(OSRRefT22_18x_0)</f>
        <v>16689.72</v>
      </c>
      <c r="U183" s="1"/>
      <c r="V183" s="5">
        <f t="shared" ref="V183:V187" si="96">IF(T$12=0,0,T183/T$12)</f>
        <v>6.7707243991775821E-3</v>
      </c>
      <c r="W183" s="1"/>
      <c r="X183" s="1">
        <f t="shared" ref="X183:X187" si="97">+P183-T183</f>
        <v>14273.859999999997</v>
      </c>
      <c r="Y183" s="1"/>
      <c r="Z183" s="5">
        <f t="shared" ref="Z183:Z187" si="98">IF(T183=0,0,X183/T183)</f>
        <v>0.85524862010866542</v>
      </c>
    </row>
    <row r="184" spans="1:26" s="24" customFormat="1" hidden="1" outlineLevel="2" x14ac:dyDescent="0.3">
      <c r="A184" s="27"/>
      <c r="B184" s="11" t="str">
        <f>CONCATENATE("          ", "6282", " - ", "JANITORIAL/EXTERMINATOR EXPENS")</f>
        <v xml:space="preserve">          6282 - JANITORIAL/EXTERMINATOR EXPENS</v>
      </c>
      <c r="C184" s="11"/>
      <c r="D184" s="6">
        <v>129</v>
      </c>
      <c r="E184" s="2"/>
      <c r="F184" s="7">
        <f t="shared" si="91"/>
        <v>4.3767613919974056E-4</v>
      </c>
      <c r="G184" s="2"/>
      <c r="H184" s="6">
        <v>266.5</v>
      </c>
      <c r="I184" s="2"/>
      <c r="J184" s="7">
        <f t="shared" si="92"/>
        <v>2.4014924036244597E-3</v>
      </c>
      <c r="K184" s="2"/>
      <c r="L184" s="6">
        <f t="shared" si="93"/>
        <v>-137.5</v>
      </c>
      <c r="M184" s="2"/>
      <c r="N184" s="7">
        <f t="shared" si="94"/>
        <v>-0.51594746716697937</v>
      </c>
      <c r="O184" s="11"/>
      <c r="P184" s="6">
        <v>1857.68</v>
      </c>
      <c r="Q184" s="2"/>
      <c r="R184" s="7">
        <f t="shared" si="95"/>
        <v>5.8733300630301388E-4</v>
      </c>
      <c r="S184" s="2"/>
      <c r="T184" s="6">
        <v>5340.12</v>
      </c>
      <c r="U184" s="2"/>
      <c r="V184" s="7">
        <f t="shared" si="96"/>
        <v>2.1663922928926421E-3</v>
      </c>
      <c r="W184" s="2"/>
      <c r="X184" s="6">
        <f t="shared" si="97"/>
        <v>-3482.4399999999996</v>
      </c>
      <c r="Y184" s="2"/>
      <c r="Z184" s="7">
        <f t="shared" si="98"/>
        <v>-0.6521276675430514</v>
      </c>
    </row>
    <row r="185" spans="1:26" s="24" customFormat="1" hidden="1" outlineLevel="2" x14ac:dyDescent="0.3">
      <c r="A185" s="27"/>
      <c r="B185" s="11" t="str">
        <f>CONCATENATE("          ", "6283", " - ", "PLANT SERVICE")</f>
        <v xml:space="preserve">          6283 - PLANT SERVICE</v>
      </c>
      <c r="C185" s="11"/>
      <c r="D185" s="6"/>
      <c r="E185" s="2"/>
      <c r="F185" s="7">
        <f t="shared" si="91"/>
        <v>0</v>
      </c>
      <c r="G185" s="2"/>
      <c r="H185" s="6">
        <v>41.31</v>
      </c>
      <c r="I185" s="2"/>
      <c r="J185" s="7">
        <f t="shared" si="92"/>
        <v>3.7225385063311984E-4</v>
      </c>
      <c r="K185" s="2"/>
      <c r="L185" s="6">
        <f t="shared" si="93"/>
        <v>-41.31</v>
      </c>
      <c r="M185" s="2"/>
      <c r="N185" s="7">
        <f t="shared" si="94"/>
        <v>-1</v>
      </c>
      <c r="O185" s="11"/>
      <c r="P185" s="6"/>
      <c r="Q185" s="2"/>
      <c r="R185" s="7">
        <f t="shared" si="95"/>
        <v>0</v>
      </c>
      <c r="S185" s="2"/>
      <c r="T185" s="6">
        <v>171.31</v>
      </c>
      <c r="U185" s="2"/>
      <c r="V185" s="7">
        <f t="shared" si="96"/>
        <v>6.9497438951828528E-5</v>
      </c>
      <c r="W185" s="2"/>
      <c r="X185" s="6">
        <f t="shared" si="97"/>
        <v>-171.31</v>
      </c>
      <c r="Y185" s="2"/>
      <c r="Z185" s="7">
        <f t="shared" si="98"/>
        <v>-1</v>
      </c>
    </row>
    <row r="186" spans="1:26" s="24" customFormat="1" hidden="1" outlineLevel="2" x14ac:dyDescent="0.3">
      <c r="A186" s="27"/>
      <c r="B186" s="11" t="str">
        <f>CONCATENATE("          ", "6284", " - ", "TRASH REMOVAL EXPENSE")</f>
        <v xml:space="preserve">          6284 - TRASH REMOVAL EXPENSE</v>
      </c>
      <c r="C186" s="11"/>
      <c r="D186" s="6">
        <v>149.69999999999999</v>
      </c>
      <c r="E186" s="2"/>
      <c r="F186" s="7">
        <f t="shared" si="91"/>
        <v>5.0790789176900124E-4</v>
      </c>
      <c r="G186" s="2"/>
      <c r="H186" s="6"/>
      <c r="I186" s="2"/>
      <c r="J186" s="7">
        <f t="shared" si="92"/>
        <v>0</v>
      </c>
      <c r="K186" s="2"/>
      <c r="L186" s="6">
        <f t="shared" si="93"/>
        <v>149.69999999999999</v>
      </c>
      <c r="M186" s="2"/>
      <c r="N186" s="7">
        <f t="shared" si="94"/>
        <v>0</v>
      </c>
      <c r="O186" s="11"/>
      <c r="P186" s="6">
        <v>741.37</v>
      </c>
      <c r="Q186" s="2"/>
      <c r="R186" s="7">
        <f t="shared" si="95"/>
        <v>2.3439509004934402E-4</v>
      </c>
      <c r="S186" s="2"/>
      <c r="T186" s="6">
        <v>585.29999999999995</v>
      </c>
      <c r="U186" s="2"/>
      <c r="V186" s="7">
        <f t="shared" si="96"/>
        <v>2.3744586433077595E-4</v>
      </c>
      <c r="W186" s="2"/>
      <c r="X186" s="6">
        <f t="shared" si="97"/>
        <v>156.07000000000005</v>
      </c>
      <c r="Y186" s="2"/>
      <c r="Z186" s="7">
        <f t="shared" si="98"/>
        <v>0.26664958141124223</v>
      </c>
    </row>
    <row r="187" spans="1:26" s="24" customFormat="1" hidden="1" outlineLevel="2" x14ac:dyDescent="0.3">
      <c r="A187" s="27"/>
      <c r="B187" s="11" t="str">
        <f>CONCATENATE("          ", "6285", " - ", "JANITORIAL SERVICES")</f>
        <v xml:space="preserve">          6285 - JANITORIAL SERVICES</v>
      </c>
      <c r="C187" s="11"/>
      <c r="D187" s="6">
        <v>4222.28</v>
      </c>
      <c r="E187" s="2"/>
      <c r="F187" s="7">
        <f t="shared" si="91"/>
        <v>1.432551324821923E-2</v>
      </c>
      <c r="G187" s="2"/>
      <c r="H187" s="6">
        <v>3590.72</v>
      </c>
      <c r="I187" s="2"/>
      <c r="J187" s="7">
        <f t="shared" si="92"/>
        <v>3.235679851235429E-2</v>
      </c>
      <c r="K187" s="2"/>
      <c r="L187" s="6">
        <f t="shared" si="93"/>
        <v>631.55999999999995</v>
      </c>
      <c r="M187" s="2"/>
      <c r="N187" s="7">
        <f t="shared" si="94"/>
        <v>0.17588673023794671</v>
      </c>
      <c r="O187" s="11"/>
      <c r="P187" s="6">
        <v>28364.53</v>
      </c>
      <c r="Q187" s="2"/>
      <c r="R187" s="7">
        <f t="shared" si="95"/>
        <v>8.9678656589251247E-3</v>
      </c>
      <c r="S187" s="2"/>
      <c r="T187" s="6">
        <v>10592.99</v>
      </c>
      <c r="U187" s="2"/>
      <c r="V187" s="7">
        <f t="shared" si="96"/>
        <v>4.2973888030023348E-3</v>
      </c>
      <c r="W187" s="2"/>
      <c r="X187" s="6">
        <f t="shared" si="97"/>
        <v>17771.54</v>
      </c>
      <c r="Y187" s="2"/>
      <c r="Z187" s="7">
        <f t="shared" si="98"/>
        <v>1.6776698552533327</v>
      </c>
    </row>
    <row r="188" spans="1:26" s="29" customFormat="1" outlineLevel="1" collapsed="1" x14ac:dyDescent="0.3">
      <c r="A188" s="28"/>
      <c r="B188" s="14" t="str">
        <f>CONCATENATE("     ","Subscriptions &amp; Dues                              ")</f>
        <v xml:space="preserve">     Subscriptions &amp; Dues                              </v>
      </c>
      <c r="C188" s="14"/>
      <c r="D188" s="1">
        <f>SUM(OSRRefD22_19x_0)</f>
        <v>148.66</v>
      </c>
      <c r="E188" s="1"/>
      <c r="F188" s="5">
        <f t="shared" ref="F188:F190" si="99">IF(D$12=0,0,D188/D$12)</f>
        <v>5.0437933994909644E-4</v>
      </c>
      <c r="G188" s="1"/>
      <c r="H188" s="1">
        <f>SUM(OSRRefH22_19x_0)</f>
        <v>-274.08</v>
      </c>
      <c r="I188" s="1"/>
      <c r="J188" s="5">
        <f t="shared" ref="J188:J190" si="100">IF(H$12=0,0,H188/H$12)</f>
        <v>-2.4697975158926525E-3</v>
      </c>
      <c r="K188" s="1"/>
      <c r="L188" s="1">
        <f t="shared" ref="L188:L190" si="101">+D188-H188</f>
        <v>422.74</v>
      </c>
      <c r="M188" s="1"/>
      <c r="N188" s="5">
        <f t="shared" ref="N188:N190" si="102">IF(H188=0,0,L188/H188)</f>
        <v>-1.5423963806187975</v>
      </c>
      <c r="O188" s="14"/>
      <c r="P188" s="1">
        <f>SUM(OSRRefP22_19x_0)</f>
        <v>1105.5</v>
      </c>
      <c r="Q188" s="1"/>
      <c r="R188" s="5">
        <f t="shared" ref="R188:R190" si="103">IF(P$12=0,0,P188/P$12)</f>
        <v>3.4952017487833309E-4</v>
      </c>
      <c r="S188" s="1"/>
      <c r="T188" s="1">
        <f>SUM(OSRRefT22_19x_0)</f>
        <v>1375.01</v>
      </c>
      <c r="U188" s="1"/>
      <c r="V188" s="5">
        <f t="shared" ref="V188:V190" si="104">IF(T$12=0,0,T188/T$12)</f>
        <v>5.5781725254307245E-4</v>
      </c>
      <c r="W188" s="1"/>
      <c r="X188" s="1">
        <f t="shared" ref="X188:X190" si="105">+P188-T188</f>
        <v>-269.51</v>
      </c>
      <c r="Y188" s="1"/>
      <c r="Z188" s="5">
        <f t="shared" ref="Z188:Z190" si="106">IF(T188=0,0,X188/T188)</f>
        <v>-0.19600584723020195</v>
      </c>
    </row>
    <row r="189" spans="1:26" s="24" customFormat="1" hidden="1" outlineLevel="2" x14ac:dyDescent="0.3">
      <c r="A189" s="27"/>
      <c r="B189" s="11" t="str">
        <f>CONCATENATE("          ", "6258", " - ", "MEMBERSHIP DUES")</f>
        <v xml:space="preserve">          6258 - MEMBERSHIP DUES</v>
      </c>
      <c r="C189" s="11"/>
      <c r="D189" s="6">
        <v>148.66</v>
      </c>
      <c r="E189" s="2"/>
      <c r="F189" s="7">
        <f t="shared" si="99"/>
        <v>5.0437933994909644E-4</v>
      </c>
      <c r="G189" s="2"/>
      <c r="H189" s="6">
        <v>-274.08</v>
      </c>
      <c r="I189" s="2"/>
      <c r="J189" s="7">
        <f t="shared" si="100"/>
        <v>-2.4697975158926525E-3</v>
      </c>
      <c r="K189" s="2"/>
      <c r="L189" s="6">
        <f t="shared" si="101"/>
        <v>422.74</v>
      </c>
      <c r="M189" s="2"/>
      <c r="N189" s="7">
        <f t="shared" si="102"/>
        <v>-1.5423963806187975</v>
      </c>
      <c r="O189" s="11"/>
      <c r="P189" s="6">
        <v>1105.5</v>
      </c>
      <c r="Q189" s="2"/>
      <c r="R189" s="7">
        <f t="shared" si="103"/>
        <v>3.4952017487833309E-4</v>
      </c>
      <c r="S189" s="2"/>
      <c r="T189" s="6">
        <v>1149.28</v>
      </c>
      <c r="U189" s="2"/>
      <c r="V189" s="7">
        <f t="shared" si="104"/>
        <v>4.6624258151046338E-4</v>
      </c>
      <c r="W189" s="2"/>
      <c r="X189" s="6">
        <f t="shared" si="105"/>
        <v>-43.779999999999973</v>
      </c>
      <c r="Y189" s="2"/>
      <c r="Z189" s="7">
        <f t="shared" si="106"/>
        <v>-3.8093415007656943E-2</v>
      </c>
    </row>
    <row r="190" spans="1:26" s="24" customFormat="1" hidden="1" outlineLevel="2" x14ac:dyDescent="0.3">
      <c r="A190" s="27"/>
      <c r="B190" s="11" t="str">
        <f>CONCATENATE("          ", "6275", " - ", "SUBSCRIPTIONS")</f>
        <v xml:space="preserve">          6275 - SUBSCRIPTIONS</v>
      </c>
      <c r="C190" s="11"/>
      <c r="D190" s="6"/>
      <c r="E190" s="2"/>
      <c r="F190" s="7">
        <f t="shared" si="99"/>
        <v>0</v>
      </c>
      <c r="G190" s="2"/>
      <c r="H190" s="6"/>
      <c r="I190" s="2"/>
      <c r="J190" s="7">
        <f t="shared" si="100"/>
        <v>0</v>
      </c>
      <c r="K190" s="2"/>
      <c r="L190" s="6">
        <f t="shared" si="101"/>
        <v>0</v>
      </c>
      <c r="M190" s="2"/>
      <c r="N190" s="7">
        <f t="shared" si="102"/>
        <v>0</v>
      </c>
      <c r="O190" s="11"/>
      <c r="P190" s="6"/>
      <c r="Q190" s="2"/>
      <c r="R190" s="7">
        <f t="shared" si="103"/>
        <v>0</v>
      </c>
      <c r="S190" s="2"/>
      <c r="T190" s="6">
        <v>225.73</v>
      </c>
      <c r="U190" s="2"/>
      <c r="V190" s="7">
        <f t="shared" si="104"/>
        <v>9.1574671032609024E-5</v>
      </c>
      <c r="W190" s="2"/>
      <c r="X190" s="6">
        <f t="shared" si="105"/>
        <v>-225.73</v>
      </c>
      <c r="Y190" s="2"/>
      <c r="Z190" s="7">
        <f t="shared" si="106"/>
        <v>-1</v>
      </c>
    </row>
    <row r="191" spans="1:26" s="29" customFormat="1" outlineLevel="1" collapsed="1" x14ac:dyDescent="0.3">
      <c r="A191" s="28"/>
      <c r="B191" s="14" t="str">
        <f>CONCATENATE("     ","Supplies                                          ")</f>
        <v xml:space="preserve">     Supplies                                          </v>
      </c>
      <c r="C191" s="14"/>
      <c r="D191" s="1">
        <f>SUM(OSRRefD22_20x_0)</f>
        <v>6905.02</v>
      </c>
      <c r="E191" s="1"/>
      <c r="F191" s="5">
        <f t="shared" ref="F191:F198" si="107">IF(D$12=0,0,D191/D$12)</f>
        <v>2.3427616237961187E-2</v>
      </c>
      <c r="G191" s="1"/>
      <c r="H191" s="1">
        <f>SUM(OSRRefH22_20x_0)</f>
        <v>14796.98</v>
      </c>
      <c r="I191" s="1"/>
      <c r="J191" s="5">
        <f t="shared" ref="J191:J198" si="108">IF(H$12=0,0,H191/H$12)</f>
        <v>0.13333896835490827</v>
      </c>
      <c r="K191" s="1"/>
      <c r="L191" s="1">
        <f t="shared" ref="L191:L198" si="109">+D191-H191</f>
        <v>-7891.9599999999991</v>
      </c>
      <c r="M191" s="1"/>
      <c r="N191" s="5">
        <f t="shared" ref="N191:N198" si="110">IF(H191=0,0,L191/H191)</f>
        <v>-0.53334937264225535</v>
      </c>
      <c r="O191" s="14"/>
      <c r="P191" s="1">
        <f>SUM(OSRRefP22_20x_0)</f>
        <v>46736.509999999995</v>
      </c>
      <c r="Q191" s="1"/>
      <c r="R191" s="5">
        <f t="shared" ref="R191:R198" si="111">IF(P$12=0,0,P191/P$12)</f>
        <v>1.4776438849753923E-2</v>
      </c>
      <c r="S191" s="1"/>
      <c r="T191" s="1">
        <f>SUM(OSRRefT22_20x_0)</f>
        <v>71395.92</v>
      </c>
      <c r="U191" s="1"/>
      <c r="V191" s="5">
        <f t="shared" ref="V191:V198" si="112">IF(T$12=0,0,T191/T$12)</f>
        <v>2.8964062761132642E-2</v>
      </c>
      <c r="W191" s="1"/>
      <c r="X191" s="1">
        <f t="shared" ref="X191:X198" si="113">+P191-T191</f>
        <v>-24659.410000000003</v>
      </c>
      <c r="Y191" s="1"/>
      <c r="Z191" s="5">
        <f t="shared" ref="Z191:Z198" si="114">IF(T191=0,0,X191/T191)</f>
        <v>-0.34538962450515387</v>
      </c>
    </row>
    <row r="192" spans="1:26" s="24" customFormat="1" hidden="1" outlineLevel="2" x14ac:dyDescent="0.3">
      <c r="A192" s="27"/>
      <c r="B192" s="11" t="str">
        <f>CONCATENATE("          ", "6234", " - ", "EXPENDABLE SUPPLIES &amp; EQUIPMEN")</f>
        <v xml:space="preserve">          6234 - EXPENDABLE SUPPLIES &amp; EQUIPMEN</v>
      </c>
      <c r="C192" s="11"/>
      <c r="D192" s="6">
        <v>2747.16</v>
      </c>
      <c r="E192" s="2"/>
      <c r="F192" s="7">
        <f t="shared" si="107"/>
        <v>9.3206696322787538E-3</v>
      </c>
      <c r="G192" s="2"/>
      <c r="H192" s="6">
        <v>-550.67999999999995</v>
      </c>
      <c r="I192" s="2"/>
      <c r="J192" s="7">
        <f t="shared" si="108"/>
        <v>-4.9623033276844928E-3</v>
      </c>
      <c r="K192" s="2"/>
      <c r="L192" s="6">
        <f t="shared" si="109"/>
        <v>3297.8399999999997</v>
      </c>
      <c r="M192" s="2"/>
      <c r="N192" s="7">
        <f t="shared" si="110"/>
        <v>-5.9886685552407934</v>
      </c>
      <c r="O192" s="11"/>
      <c r="P192" s="6">
        <v>5289.57</v>
      </c>
      <c r="Q192" s="2"/>
      <c r="R192" s="7">
        <f t="shared" si="111"/>
        <v>1.6723757860074033E-3</v>
      </c>
      <c r="S192" s="2"/>
      <c r="T192" s="6">
        <v>-449.34</v>
      </c>
      <c r="U192" s="2"/>
      <c r="V192" s="7">
        <f t="shared" si="112"/>
        <v>-1.822892955379991E-4</v>
      </c>
      <c r="W192" s="2"/>
      <c r="X192" s="6">
        <f t="shared" si="113"/>
        <v>5738.91</v>
      </c>
      <c r="Y192" s="2"/>
      <c r="Z192" s="7">
        <f t="shared" si="114"/>
        <v>-12.771865402590466</v>
      </c>
    </row>
    <row r="193" spans="1:26" s="24" customFormat="1" hidden="1" outlineLevel="2" x14ac:dyDescent="0.3">
      <c r="A193" s="27"/>
      <c r="B193" s="11" t="str">
        <f>CONCATENATE("          ", "6235", " - ", "COVID-19 EXPENSES")</f>
        <v xml:space="preserve">          6235 - COVID-19 EXPENSES</v>
      </c>
      <c r="C193" s="11"/>
      <c r="D193" s="6"/>
      <c r="E193" s="2"/>
      <c r="F193" s="7">
        <f t="shared" si="107"/>
        <v>0</v>
      </c>
      <c r="G193" s="2"/>
      <c r="H193" s="6">
        <v>2556.84</v>
      </c>
      <c r="I193" s="2"/>
      <c r="J193" s="7">
        <f t="shared" si="108"/>
        <v>2.3040269558285791E-2</v>
      </c>
      <c r="K193" s="2"/>
      <c r="L193" s="6">
        <f t="shared" si="109"/>
        <v>-2556.84</v>
      </c>
      <c r="M193" s="2"/>
      <c r="N193" s="7">
        <f t="shared" si="110"/>
        <v>-1</v>
      </c>
      <c r="O193" s="11"/>
      <c r="P193" s="6">
        <v>3430.32</v>
      </c>
      <c r="Q193" s="2"/>
      <c r="R193" s="7">
        <f t="shared" si="111"/>
        <v>1.0845464009847522E-3</v>
      </c>
      <c r="S193" s="2"/>
      <c r="T193" s="6">
        <v>28456.63</v>
      </c>
      <c r="U193" s="2"/>
      <c r="V193" s="7">
        <f t="shared" si="112"/>
        <v>1.1544351796157679E-2</v>
      </c>
      <c r="W193" s="2"/>
      <c r="X193" s="6">
        <f t="shared" si="113"/>
        <v>-25026.31</v>
      </c>
      <c r="Y193" s="2"/>
      <c r="Z193" s="7">
        <f t="shared" si="114"/>
        <v>-0.87945445402354394</v>
      </c>
    </row>
    <row r="194" spans="1:26" s="24" customFormat="1" hidden="1" outlineLevel="2" x14ac:dyDescent="0.3">
      <c r="A194" s="27"/>
      <c r="B194" s="11" t="str">
        <f>CONCATENATE("          ", "6237", " - ", "JANITORIAL SUPPLIES")</f>
        <v xml:space="preserve">          6237 - JANITORIAL SUPPLIES</v>
      </c>
      <c r="C194" s="11"/>
      <c r="D194" s="6">
        <v>489.67</v>
      </c>
      <c r="E194" s="2"/>
      <c r="F194" s="7">
        <f t="shared" si="107"/>
        <v>1.6613711246661782E-3</v>
      </c>
      <c r="G194" s="2"/>
      <c r="H194" s="6">
        <v>246.99</v>
      </c>
      <c r="I194" s="2"/>
      <c r="J194" s="7">
        <f t="shared" si="108"/>
        <v>2.22568333497638E-3</v>
      </c>
      <c r="K194" s="2"/>
      <c r="L194" s="6">
        <f t="shared" si="109"/>
        <v>242.68</v>
      </c>
      <c r="M194" s="2"/>
      <c r="N194" s="7">
        <f t="shared" si="110"/>
        <v>0.98254990080570059</v>
      </c>
      <c r="O194" s="11"/>
      <c r="P194" s="6">
        <v>3866.14</v>
      </c>
      <c r="Q194" s="2"/>
      <c r="R194" s="7">
        <f t="shared" si="111"/>
        <v>1.2223373395785786E-3</v>
      </c>
      <c r="S194" s="2"/>
      <c r="T194" s="6">
        <v>1495.35</v>
      </c>
      <c r="U194" s="2"/>
      <c r="V194" s="7">
        <f t="shared" si="112"/>
        <v>6.0663706343247199E-4</v>
      </c>
      <c r="W194" s="2"/>
      <c r="X194" s="6">
        <f t="shared" si="113"/>
        <v>2370.79</v>
      </c>
      <c r="Y194" s="2"/>
      <c r="Z194" s="7">
        <f t="shared" si="114"/>
        <v>1.5854415354264888</v>
      </c>
    </row>
    <row r="195" spans="1:26" s="24" customFormat="1" hidden="1" outlineLevel="2" x14ac:dyDescent="0.3">
      <c r="A195" s="27"/>
      <c r="B195" s="11" t="str">
        <f>CONCATENATE("          ", "6241", " - ", "OFFICE EXPENSE")</f>
        <v xml:space="preserve">          6241 - OFFICE EXPENSE</v>
      </c>
      <c r="C195" s="11"/>
      <c r="D195" s="6">
        <v>512.19000000000005</v>
      </c>
      <c r="E195" s="2"/>
      <c r="F195" s="7">
        <f t="shared" si="107"/>
        <v>1.7377778429202725E-3</v>
      </c>
      <c r="G195" s="2"/>
      <c r="H195" s="6">
        <v>669.18</v>
      </c>
      <c r="I195" s="2"/>
      <c r="J195" s="7">
        <f t="shared" si="108"/>
        <v>6.0301339086582207E-3</v>
      </c>
      <c r="K195" s="2"/>
      <c r="L195" s="6">
        <f t="shared" si="109"/>
        <v>-156.9899999999999</v>
      </c>
      <c r="M195" s="2"/>
      <c r="N195" s="7">
        <f t="shared" si="110"/>
        <v>-0.23460055590424087</v>
      </c>
      <c r="O195" s="11"/>
      <c r="P195" s="6">
        <v>7541.41</v>
      </c>
      <c r="Q195" s="2"/>
      <c r="R195" s="7">
        <f t="shared" si="111"/>
        <v>2.3843283057704296E-3</v>
      </c>
      <c r="S195" s="2"/>
      <c r="T195" s="6">
        <v>8478.86</v>
      </c>
      <c r="U195" s="2"/>
      <c r="V195" s="7">
        <f t="shared" si="112"/>
        <v>3.4397236310262144E-3</v>
      </c>
      <c r="W195" s="2"/>
      <c r="X195" s="6">
        <f t="shared" si="113"/>
        <v>-937.45000000000073</v>
      </c>
      <c r="Y195" s="2"/>
      <c r="Z195" s="7">
        <f t="shared" si="114"/>
        <v>-0.11056321250734187</v>
      </c>
    </row>
    <row r="196" spans="1:26" s="24" customFormat="1" hidden="1" outlineLevel="2" x14ac:dyDescent="0.3">
      <c r="A196" s="27"/>
      <c r="B196" s="11" t="str">
        <f>CONCATENATE("          ", "6243", " - ", "PAPER SUPPLIES")</f>
        <v xml:space="preserve">          6243 - PAPER SUPPLIES</v>
      </c>
      <c r="C196" s="11"/>
      <c r="D196" s="6">
        <v>284.11</v>
      </c>
      <c r="E196" s="2"/>
      <c r="F196" s="7">
        <f t="shared" si="107"/>
        <v>9.6393928610882405E-4</v>
      </c>
      <c r="G196" s="2"/>
      <c r="H196" s="6">
        <v>1108.5999999999999</v>
      </c>
      <c r="I196" s="2"/>
      <c r="J196" s="7">
        <f t="shared" si="108"/>
        <v>9.9898479499364937E-3</v>
      </c>
      <c r="K196" s="2"/>
      <c r="L196" s="6">
        <f t="shared" si="109"/>
        <v>-824.4899999999999</v>
      </c>
      <c r="M196" s="2"/>
      <c r="N196" s="7">
        <f t="shared" si="110"/>
        <v>-0.74372181129352333</v>
      </c>
      <c r="O196" s="11"/>
      <c r="P196" s="6">
        <v>4470.8999999999996</v>
      </c>
      <c r="Q196" s="2"/>
      <c r="R196" s="7">
        <f t="shared" si="111"/>
        <v>1.4135411577236899E-3</v>
      </c>
      <c r="S196" s="2"/>
      <c r="T196" s="6">
        <v>4682.3</v>
      </c>
      <c r="U196" s="2"/>
      <c r="V196" s="7">
        <f t="shared" si="112"/>
        <v>1.8995263464137919E-3</v>
      </c>
      <c r="W196" s="2"/>
      <c r="X196" s="6">
        <f t="shared" si="113"/>
        <v>-211.40000000000055</v>
      </c>
      <c r="Y196" s="2"/>
      <c r="Z196" s="7">
        <f t="shared" si="114"/>
        <v>-4.5148751681865863E-2</v>
      </c>
    </row>
    <row r="197" spans="1:26" s="24" customFormat="1" hidden="1" outlineLevel="2" x14ac:dyDescent="0.3">
      <c r="A197" s="27"/>
      <c r="B197" s="11" t="str">
        <f>CONCATENATE("          ", "6245", " - ", "PRINTING")</f>
        <v xml:space="preserve">          6245 - PRINTING</v>
      </c>
      <c r="C197" s="11"/>
      <c r="D197" s="6">
        <v>1092.56</v>
      </c>
      <c r="E197" s="2"/>
      <c r="F197" s="7">
        <f t="shared" si="107"/>
        <v>3.7068794003416168E-3</v>
      </c>
      <c r="G197" s="2"/>
      <c r="H197" s="6">
        <v>93.72</v>
      </c>
      <c r="I197" s="2"/>
      <c r="J197" s="7">
        <f t="shared" si="108"/>
        <v>8.4453233796504446E-4</v>
      </c>
      <c r="K197" s="2"/>
      <c r="L197" s="6">
        <f t="shared" si="109"/>
        <v>998.83999999999992</v>
      </c>
      <c r="M197" s="2"/>
      <c r="N197" s="7">
        <f t="shared" si="110"/>
        <v>10.657703798548868</v>
      </c>
      <c r="O197" s="11"/>
      <c r="P197" s="6">
        <v>1065.49</v>
      </c>
      <c r="Q197" s="2"/>
      <c r="R197" s="7">
        <f t="shared" si="111"/>
        <v>3.368704216473226E-4</v>
      </c>
      <c r="S197" s="2"/>
      <c r="T197" s="6">
        <v>508.27</v>
      </c>
      <c r="U197" s="2"/>
      <c r="V197" s="7">
        <f t="shared" si="112"/>
        <v>2.0619615490074066E-4</v>
      </c>
      <c r="W197" s="2"/>
      <c r="X197" s="6">
        <f t="shared" si="113"/>
        <v>557.22</v>
      </c>
      <c r="Y197" s="2"/>
      <c r="Z197" s="7">
        <f t="shared" si="114"/>
        <v>1.0963070808822084</v>
      </c>
    </row>
    <row r="198" spans="1:26" s="24" customFormat="1" hidden="1" outlineLevel="2" x14ac:dyDescent="0.3">
      <c r="A198" s="27"/>
      <c r="B198" s="11" t="str">
        <f>CONCATENATE("          ", "6247", " - ", "STORE SUPPLIES")</f>
        <v xml:space="preserve">          6247 - STORE SUPPLIES</v>
      </c>
      <c r="C198" s="11"/>
      <c r="D198" s="6">
        <v>1779.33</v>
      </c>
      <c r="E198" s="2"/>
      <c r="F198" s="7">
        <f t="shared" si="107"/>
        <v>6.0369789516455377E-3</v>
      </c>
      <c r="G198" s="2"/>
      <c r="H198" s="6">
        <v>10672.33</v>
      </c>
      <c r="I198" s="2"/>
      <c r="J198" s="7">
        <f t="shared" si="108"/>
        <v>9.6170804592770845E-2</v>
      </c>
      <c r="K198" s="2"/>
      <c r="L198" s="6">
        <f t="shared" si="109"/>
        <v>-8893</v>
      </c>
      <c r="M198" s="2"/>
      <c r="N198" s="7">
        <f t="shared" si="110"/>
        <v>-0.83327633234729437</v>
      </c>
      <c r="O198" s="11"/>
      <c r="P198" s="6">
        <v>21072.68</v>
      </c>
      <c r="Q198" s="2"/>
      <c r="R198" s="7">
        <f t="shared" si="111"/>
        <v>6.6624394380417479E-3</v>
      </c>
      <c r="S198" s="2"/>
      <c r="T198" s="6">
        <v>28223.85</v>
      </c>
      <c r="U198" s="2"/>
      <c r="V198" s="7">
        <f t="shared" si="112"/>
        <v>1.1449917064739742E-2</v>
      </c>
      <c r="W198" s="2"/>
      <c r="X198" s="6">
        <f t="shared" si="113"/>
        <v>-7151.1699999999983</v>
      </c>
      <c r="Y198" s="2"/>
      <c r="Z198" s="7">
        <f t="shared" si="114"/>
        <v>-0.25337329953213322</v>
      </c>
    </row>
    <row r="199" spans="1:26" s="29" customFormat="1" outlineLevel="1" collapsed="1" x14ac:dyDescent="0.3">
      <c r="A199" s="28"/>
      <c r="B199" s="14" t="str">
        <f>CONCATENATE("     ","Telephone/Data Lines                              ")</f>
        <v xml:space="preserve">     Telephone/Data Lines                              </v>
      </c>
      <c r="C199" s="14"/>
      <c r="D199" s="1">
        <f>SUM(OSRRefD22_21x_0)</f>
        <v>1871.64</v>
      </c>
      <c r="E199" s="1"/>
      <c r="F199" s="5">
        <f t="shared" ref="F199:F201" si="115">IF(D$12=0,0,D199/D$12)</f>
        <v>6.3501718540449805E-3</v>
      </c>
      <c r="G199" s="1"/>
      <c r="H199" s="1">
        <f>SUM(OSRRefH22_21x_0)</f>
        <v>2676.5299999999997</v>
      </c>
      <c r="I199" s="1"/>
      <c r="J199" s="5">
        <f t="shared" ref="J199:J201" si="116">IF(H$12=0,0,H199/H$12)</f>
        <v>2.411882350121191E-2</v>
      </c>
      <c r="K199" s="1"/>
      <c r="L199" s="1">
        <f t="shared" ref="L199:L201" si="117">+D199-H199</f>
        <v>-804.88999999999965</v>
      </c>
      <c r="M199" s="1"/>
      <c r="N199" s="5">
        <f t="shared" ref="N199:N201" si="118">IF(H199=0,0,L199/H199)</f>
        <v>-0.30072145651272347</v>
      </c>
      <c r="O199" s="14"/>
      <c r="P199" s="1">
        <f>SUM(OSRRefP22_21x_0)</f>
        <v>9493.35</v>
      </c>
      <c r="Q199" s="1"/>
      <c r="R199" s="5">
        <f t="shared" ref="R199:R201" si="119">IF(P$12=0,0,P199/P$12)</f>
        <v>3.0014630051390535E-3</v>
      </c>
      <c r="S199" s="1"/>
      <c r="T199" s="1">
        <f>SUM(OSRRefT22_21x_0)</f>
        <v>13056.65</v>
      </c>
      <c r="U199" s="1"/>
      <c r="V199" s="5">
        <f t="shared" ref="V199:V201" si="120">IF(T$12=0,0,T199/T$12)</f>
        <v>5.2968521177420569E-3</v>
      </c>
      <c r="W199" s="1"/>
      <c r="X199" s="1">
        <f t="shared" ref="X199:X201" si="121">+P199-T199</f>
        <v>-3563.2999999999993</v>
      </c>
      <c r="Y199" s="1"/>
      <c r="Z199" s="5">
        <f t="shared" ref="Z199:Z201" si="122">IF(T199=0,0,X199/T199)</f>
        <v>-0.27291073897209461</v>
      </c>
    </row>
    <row r="200" spans="1:26" s="24" customFormat="1" hidden="1" outlineLevel="2" x14ac:dyDescent="0.3">
      <c r="A200" s="27"/>
      <c r="B200" s="11" t="str">
        <f>CONCATENATE("          ", "6303", " - ", "DATA PHONE LINES")</f>
        <v xml:space="preserve">          6303 - DATA PHONE LINES</v>
      </c>
      <c r="C200" s="11"/>
      <c r="D200" s="6"/>
      <c r="E200" s="2"/>
      <c r="F200" s="7">
        <f t="shared" si="115"/>
        <v>0</v>
      </c>
      <c r="G200" s="2"/>
      <c r="H200" s="6">
        <v>885</v>
      </c>
      <c r="I200" s="2"/>
      <c r="J200" s="7">
        <f t="shared" si="116"/>
        <v>7.9749372503101195E-3</v>
      </c>
      <c r="K200" s="2"/>
      <c r="L200" s="6">
        <f t="shared" si="117"/>
        <v>-885</v>
      </c>
      <c r="M200" s="2"/>
      <c r="N200" s="7">
        <f t="shared" si="118"/>
        <v>-1</v>
      </c>
      <c r="O200" s="11"/>
      <c r="P200" s="6">
        <v>295</v>
      </c>
      <c r="Q200" s="2"/>
      <c r="R200" s="7">
        <f t="shared" si="119"/>
        <v>9.3268612925471067E-5</v>
      </c>
      <c r="S200" s="2"/>
      <c r="T200" s="6">
        <v>2065</v>
      </c>
      <c r="U200" s="2"/>
      <c r="V200" s="7">
        <f t="shared" si="120"/>
        <v>8.3773399939014595E-4</v>
      </c>
      <c r="W200" s="2"/>
      <c r="X200" s="6">
        <f t="shared" si="121"/>
        <v>-1770</v>
      </c>
      <c r="Y200" s="2"/>
      <c r="Z200" s="7">
        <f t="shared" si="122"/>
        <v>-0.8571428571428571</v>
      </c>
    </row>
    <row r="201" spans="1:26" s="24" customFormat="1" hidden="1" outlineLevel="2" x14ac:dyDescent="0.3">
      <c r="A201" s="27"/>
      <c r="B201" s="11" t="str">
        <f>CONCATENATE("          ", "6309", " - ", "TELEPHONE")</f>
        <v xml:space="preserve">          6309 - TELEPHONE</v>
      </c>
      <c r="C201" s="11"/>
      <c r="D201" s="6">
        <v>1871.64</v>
      </c>
      <c r="E201" s="2"/>
      <c r="F201" s="7">
        <f t="shared" si="115"/>
        <v>6.3501718540449805E-3</v>
      </c>
      <c r="G201" s="2"/>
      <c r="H201" s="6">
        <v>1791.53</v>
      </c>
      <c r="I201" s="2"/>
      <c r="J201" s="7">
        <f t="shared" si="116"/>
        <v>1.6143886250901792E-2</v>
      </c>
      <c r="K201" s="2"/>
      <c r="L201" s="6">
        <f t="shared" si="117"/>
        <v>80.110000000000127</v>
      </c>
      <c r="M201" s="2"/>
      <c r="N201" s="7">
        <f t="shared" si="118"/>
        <v>4.471596903205647E-2</v>
      </c>
      <c r="O201" s="11"/>
      <c r="P201" s="6">
        <v>9198.35</v>
      </c>
      <c r="Q201" s="2"/>
      <c r="R201" s="7">
        <f t="shared" si="119"/>
        <v>2.9081943922135826E-3</v>
      </c>
      <c r="S201" s="2"/>
      <c r="T201" s="6">
        <v>10991.65</v>
      </c>
      <c r="U201" s="2"/>
      <c r="V201" s="7">
        <f t="shared" si="120"/>
        <v>4.4591181183519114E-3</v>
      </c>
      <c r="W201" s="2"/>
      <c r="X201" s="6">
        <f t="shared" si="121"/>
        <v>-1793.2999999999993</v>
      </c>
      <c r="Y201" s="2"/>
      <c r="Z201" s="7">
        <f t="shared" si="122"/>
        <v>-0.16315111925870995</v>
      </c>
    </row>
    <row r="202" spans="1:26" s="29" customFormat="1" outlineLevel="1" collapsed="1" x14ac:dyDescent="0.3">
      <c r="A202" s="28"/>
      <c r="B202" s="14" t="str">
        <f>CONCATENATE("     ","Training                                          ")</f>
        <v xml:space="preserve">     Training                                          </v>
      </c>
      <c r="C202" s="14"/>
      <c r="D202" s="1">
        <f>SUM(OSRRefD22_22x_0)</f>
        <v>0</v>
      </c>
      <c r="E202" s="1"/>
      <c r="F202" s="5">
        <f t="shared" ref="F202:F207" si="123">IF(D$12=0,0,D202/D$12)</f>
        <v>0</v>
      </c>
      <c r="G202" s="1"/>
      <c r="H202" s="1">
        <f>SUM(OSRRefH22_22x_0)</f>
        <v>0</v>
      </c>
      <c r="I202" s="1"/>
      <c r="J202" s="5">
        <f t="shared" ref="J202:J207" si="124">IF(H$12=0,0,H202/H$12)</f>
        <v>0</v>
      </c>
      <c r="K202" s="1"/>
      <c r="L202" s="1">
        <f t="shared" ref="L202:L207" si="125">+D202-H202</f>
        <v>0</v>
      </c>
      <c r="M202" s="1"/>
      <c r="N202" s="5">
        <f t="shared" ref="N202:N207" si="126">IF(H202=0,0,L202/H202)</f>
        <v>0</v>
      </c>
      <c r="O202" s="14"/>
      <c r="P202" s="1">
        <f>SUM(OSRRefP22_22x_0)</f>
        <v>595</v>
      </c>
      <c r="Q202" s="1"/>
      <c r="R202" s="5">
        <f t="shared" ref="R202:R207" si="127">IF(P$12=0,0,P202/P$12)</f>
        <v>1.8811804979883146E-4</v>
      </c>
      <c r="S202" s="1"/>
      <c r="T202" s="1">
        <f>SUM(OSRRefT22_22x_0)</f>
        <v>145.63</v>
      </c>
      <c r="U202" s="1"/>
      <c r="V202" s="5">
        <f t="shared" ref="V202:V207" si="128">IF(T$12=0,0,T202/T$12)</f>
        <v>5.9079516867402876E-5</v>
      </c>
      <c r="W202" s="1"/>
      <c r="X202" s="1">
        <f t="shared" ref="X202:X207" si="129">+P202-T202</f>
        <v>449.37</v>
      </c>
      <c r="Y202" s="1"/>
      <c r="Z202" s="5">
        <f t="shared" ref="Z202:Z207" si="130">IF(T202=0,0,X202/T202)</f>
        <v>3.085696628441942</v>
      </c>
    </row>
    <row r="203" spans="1:26" s="24" customFormat="1" hidden="1" outlineLevel="2" x14ac:dyDescent="0.3">
      <c r="A203" s="27"/>
      <c r="B203" s="11" t="str">
        <f>CONCATENATE("          ", "6376", " - ", "TRAINING")</f>
        <v xml:space="preserve">          6376 - TRAINING</v>
      </c>
      <c r="C203" s="11"/>
      <c r="D203" s="6"/>
      <c r="E203" s="2"/>
      <c r="F203" s="7">
        <f t="shared" si="123"/>
        <v>0</v>
      </c>
      <c r="G203" s="2"/>
      <c r="H203" s="6"/>
      <c r="I203" s="2"/>
      <c r="J203" s="7">
        <f t="shared" si="124"/>
        <v>0</v>
      </c>
      <c r="K203" s="2"/>
      <c r="L203" s="6">
        <f t="shared" si="125"/>
        <v>0</v>
      </c>
      <c r="M203" s="2"/>
      <c r="N203" s="7">
        <f t="shared" si="126"/>
        <v>0</v>
      </c>
      <c r="O203" s="11"/>
      <c r="P203" s="6">
        <v>595</v>
      </c>
      <c r="Q203" s="2"/>
      <c r="R203" s="7">
        <f t="shared" si="127"/>
        <v>1.8811804979883146E-4</v>
      </c>
      <c r="S203" s="2"/>
      <c r="T203" s="6">
        <v>145.63</v>
      </c>
      <c r="U203" s="2"/>
      <c r="V203" s="7">
        <f t="shared" si="128"/>
        <v>5.9079516867402876E-5</v>
      </c>
      <c r="W203" s="2"/>
      <c r="X203" s="6">
        <f t="shared" si="129"/>
        <v>449.37</v>
      </c>
      <c r="Y203" s="2"/>
      <c r="Z203" s="7">
        <f t="shared" si="130"/>
        <v>3.085696628441942</v>
      </c>
    </row>
    <row r="204" spans="1:26" s="29" customFormat="1" outlineLevel="1" collapsed="1" x14ac:dyDescent="0.3">
      <c r="A204" s="28"/>
      <c r="B204" s="14" t="str">
        <f>CONCATENATE("     ","Travel                                            ")</f>
        <v xml:space="preserve">     Travel                                            </v>
      </c>
      <c r="C204" s="14"/>
      <c r="D204" s="1">
        <f>SUM(OSRRefD22_23x_0)</f>
        <v>97.08</v>
      </c>
      <c r="E204" s="1"/>
      <c r="F204" s="5">
        <f t="shared" si="123"/>
        <v>3.2937674103496759E-4</v>
      </c>
      <c r="G204" s="1"/>
      <c r="H204" s="1">
        <f>SUM(OSRRefH22_23x_0)</f>
        <v>299</v>
      </c>
      <c r="I204" s="1"/>
      <c r="J204" s="5">
        <f t="shared" si="124"/>
        <v>2.6943573308957349E-3</v>
      </c>
      <c r="K204" s="1"/>
      <c r="L204" s="1">
        <f t="shared" si="125"/>
        <v>-201.92000000000002</v>
      </c>
      <c r="M204" s="1"/>
      <c r="N204" s="5">
        <f t="shared" si="126"/>
        <v>-0.67531772575250837</v>
      </c>
      <c r="O204" s="14"/>
      <c r="P204" s="1">
        <f>SUM(OSRRefP22_23x_0)</f>
        <v>857.61</v>
      </c>
      <c r="Q204" s="1"/>
      <c r="R204" s="5">
        <f t="shared" si="127"/>
        <v>2.7114608518987539E-4</v>
      </c>
      <c r="S204" s="1"/>
      <c r="T204" s="1">
        <f>SUM(OSRRefT22_23x_0)</f>
        <v>680.93</v>
      </c>
      <c r="U204" s="1"/>
      <c r="V204" s="5">
        <f t="shared" si="128"/>
        <v>2.76241264990185E-4</v>
      </c>
      <c r="W204" s="1"/>
      <c r="X204" s="1">
        <f t="shared" si="129"/>
        <v>176.68000000000006</v>
      </c>
      <c r="Y204" s="1"/>
      <c r="Z204" s="5">
        <f t="shared" si="130"/>
        <v>0.25946866785132111</v>
      </c>
    </row>
    <row r="205" spans="1:26" s="24" customFormat="1" hidden="1" outlineLevel="2" x14ac:dyDescent="0.3">
      <c r="A205" s="27"/>
      <c r="B205" s="11" t="str">
        <f>CONCATENATE("          ", "6292", " - ", "TRAVEL/CONFERENCE")</f>
        <v xml:space="preserve">          6292 - TRAVEL/CONFERENCE</v>
      </c>
      <c r="C205" s="11"/>
      <c r="D205" s="6"/>
      <c r="E205" s="2"/>
      <c r="F205" s="7">
        <f t="shared" si="123"/>
        <v>0</v>
      </c>
      <c r="G205" s="2"/>
      <c r="H205" s="6">
        <v>299</v>
      </c>
      <c r="I205" s="2"/>
      <c r="J205" s="7">
        <f t="shared" si="124"/>
        <v>2.6943573308957349E-3</v>
      </c>
      <c r="K205" s="2"/>
      <c r="L205" s="6">
        <f t="shared" si="125"/>
        <v>-299</v>
      </c>
      <c r="M205" s="2"/>
      <c r="N205" s="7">
        <f t="shared" si="126"/>
        <v>-1</v>
      </c>
      <c r="O205" s="11"/>
      <c r="P205" s="6">
        <v>495</v>
      </c>
      <c r="Q205" s="2"/>
      <c r="R205" s="7">
        <f t="shared" si="127"/>
        <v>1.5650157084104468E-4</v>
      </c>
      <c r="S205" s="2"/>
      <c r="T205" s="6">
        <v>299.16000000000003</v>
      </c>
      <c r="U205" s="2"/>
      <c r="V205" s="7">
        <f t="shared" si="128"/>
        <v>1.213639240956688E-4</v>
      </c>
      <c r="W205" s="2"/>
      <c r="X205" s="6">
        <f t="shared" si="129"/>
        <v>195.83999999999997</v>
      </c>
      <c r="Y205" s="2"/>
      <c r="Z205" s="7">
        <f t="shared" si="130"/>
        <v>0.65463297232250284</v>
      </c>
    </row>
    <row r="206" spans="1:26" s="24" customFormat="1" hidden="1" outlineLevel="2" x14ac:dyDescent="0.3">
      <c r="A206" s="27"/>
      <c r="B206" s="11" t="str">
        <f>CONCATENATE("          ", "6294", " - ", "TRAVEL OPERATIONAL")</f>
        <v xml:space="preserve">          6294 - TRAVEL OPERATIONAL</v>
      </c>
      <c r="C206" s="11"/>
      <c r="D206" s="6"/>
      <c r="E206" s="2"/>
      <c r="F206" s="7">
        <f t="shared" si="123"/>
        <v>0</v>
      </c>
      <c r="G206" s="2"/>
      <c r="H206" s="6"/>
      <c r="I206" s="2"/>
      <c r="J206" s="7">
        <f t="shared" si="124"/>
        <v>0</v>
      </c>
      <c r="K206" s="2"/>
      <c r="L206" s="6">
        <f t="shared" si="125"/>
        <v>0</v>
      </c>
      <c r="M206" s="2"/>
      <c r="N206" s="7">
        <f t="shared" si="126"/>
        <v>0</v>
      </c>
      <c r="O206" s="11"/>
      <c r="P206" s="6">
        <v>215.53</v>
      </c>
      <c r="Q206" s="2"/>
      <c r="R206" s="7">
        <f t="shared" si="127"/>
        <v>6.8142997097717895E-5</v>
      </c>
      <c r="S206" s="2"/>
      <c r="T206" s="6">
        <v>321.88</v>
      </c>
      <c r="U206" s="2"/>
      <c r="V206" s="7">
        <f t="shared" si="128"/>
        <v>1.3058102650058119E-4</v>
      </c>
      <c r="W206" s="2"/>
      <c r="X206" s="6">
        <f t="shared" si="129"/>
        <v>-106.35</v>
      </c>
      <c r="Y206" s="2"/>
      <c r="Z206" s="7">
        <f t="shared" si="130"/>
        <v>-0.33040263452218216</v>
      </c>
    </row>
    <row r="207" spans="1:26" s="24" customFormat="1" hidden="1" outlineLevel="2" x14ac:dyDescent="0.3">
      <c r="A207" s="27"/>
      <c r="B207" s="11" t="str">
        <f>CONCATENATE("          ", "6298", " - ", "VEHICLE MILEAGE")</f>
        <v xml:space="preserve">          6298 - VEHICLE MILEAGE</v>
      </c>
      <c r="C207" s="11"/>
      <c r="D207" s="6">
        <v>97.08</v>
      </c>
      <c r="E207" s="2"/>
      <c r="F207" s="7">
        <f t="shared" si="123"/>
        <v>3.2937674103496759E-4</v>
      </c>
      <c r="G207" s="2"/>
      <c r="H207" s="6"/>
      <c r="I207" s="2"/>
      <c r="J207" s="7">
        <f t="shared" si="124"/>
        <v>0</v>
      </c>
      <c r="K207" s="2"/>
      <c r="L207" s="6">
        <f t="shared" si="125"/>
        <v>97.08</v>
      </c>
      <c r="M207" s="2"/>
      <c r="N207" s="7">
        <f t="shared" si="126"/>
        <v>0</v>
      </c>
      <c r="O207" s="11"/>
      <c r="P207" s="6">
        <v>147.08000000000001</v>
      </c>
      <c r="Q207" s="2"/>
      <c r="R207" s="7">
        <f t="shared" si="127"/>
        <v>4.6501517251112833E-5</v>
      </c>
      <c r="S207" s="2"/>
      <c r="T207" s="6">
        <v>59.89</v>
      </c>
      <c r="U207" s="2"/>
      <c r="V207" s="7">
        <f t="shared" si="128"/>
        <v>2.4296314393935032E-5</v>
      </c>
      <c r="W207" s="2"/>
      <c r="X207" s="6">
        <f t="shared" si="129"/>
        <v>87.190000000000012</v>
      </c>
      <c r="Y207" s="2"/>
      <c r="Z207" s="7">
        <f t="shared" si="130"/>
        <v>1.455835698781099</v>
      </c>
    </row>
    <row r="208" spans="1:26" s="29" customFormat="1" outlineLevel="1" collapsed="1" x14ac:dyDescent="0.3">
      <c r="A208" s="28"/>
      <c r="B208" s="14" t="str">
        <f>CONCATENATE("     ","Utilities                                         ")</f>
        <v xml:space="preserve">     Utilities                                         </v>
      </c>
      <c r="C208" s="14"/>
      <c r="D208" s="1">
        <f>SUM(OSRRefD22_24x_0)</f>
        <v>6033.61</v>
      </c>
      <c r="E208" s="1"/>
      <c r="F208" s="5">
        <f t="shared" ref="F208:F209" si="131">IF(D$12=0,0,D208/D$12)</f>
        <v>2.047106302509261E-2</v>
      </c>
      <c r="G208" s="1"/>
      <c r="H208" s="1">
        <f>SUM(OSRRefH22_24x_0)</f>
        <v>6150.38</v>
      </c>
      <c r="I208" s="1"/>
      <c r="J208" s="5">
        <f t="shared" ref="J208:J209" si="132">IF(H$12=0,0,H208/H$12)</f>
        <v>5.5422479735098701E-2</v>
      </c>
      <c r="K208" s="1"/>
      <c r="L208" s="1">
        <f t="shared" ref="L208:L209" si="133">+D208-H208</f>
        <v>-116.77000000000044</v>
      </c>
      <c r="M208" s="1"/>
      <c r="N208" s="5">
        <f t="shared" ref="N208:N209" si="134">IF(H208=0,0,L208/H208)</f>
        <v>-1.8985818762418002E-2</v>
      </c>
      <c r="O208" s="14"/>
      <c r="P208" s="1">
        <f>SUM(OSRRefP22_24x_0)</f>
        <v>30183.59</v>
      </c>
      <c r="Q208" s="1"/>
      <c r="R208" s="5">
        <f t="shared" ref="R208:R209" si="135">IF(P$12=0,0,P208/P$12)</f>
        <v>9.5429883810546415E-3</v>
      </c>
      <c r="S208" s="1"/>
      <c r="T208" s="1">
        <f>SUM(OSRRefT22_24x_0)</f>
        <v>30585.81</v>
      </c>
      <c r="U208" s="1"/>
      <c r="V208" s="5">
        <f t="shared" ref="V208:V209" si="136">IF(T$12=0,0,T208/T$12)</f>
        <v>1.2408122487112407E-2</v>
      </c>
      <c r="W208" s="1"/>
      <c r="X208" s="1">
        <f t="shared" ref="X208:X209" si="137">+P208-T208</f>
        <v>-402.22000000000116</v>
      </c>
      <c r="Y208" s="1"/>
      <c r="Z208" s="5">
        <f t="shared" ref="Z208:Z209" si="138">IF(T208=0,0,X208/T208)</f>
        <v>-1.315054268629803E-2</v>
      </c>
    </row>
    <row r="209" spans="1:26" s="24" customFormat="1" hidden="1" outlineLevel="2" x14ac:dyDescent="0.3">
      <c r="A209" s="27"/>
      <c r="B209" s="11" t="str">
        <f>CONCATENATE("          ", "6274", " - ", "UTILITIES")</f>
        <v xml:space="preserve">          6274 - UTILITIES</v>
      </c>
      <c r="C209" s="11"/>
      <c r="D209" s="6">
        <v>6033.61</v>
      </c>
      <c r="E209" s="2"/>
      <c r="F209" s="7">
        <f t="shared" si="131"/>
        <v>2.047106302509261E-2</v>
      </c>
      <c r="G209" s="2"/>
      <c r="H209" s="6">
        <v>6150.38</v>
      </c>
      <c r="I209" s="2"/>
      <c r="J209" s="7">
        <f t="shared" si="132"/>
        <v>5.5422479735098701E-2</v>
      </c>
      <c r="K209" s="2"/>
      <c r="L209" s="6">
        <f t="shared" si="133"/>
        <v>-116.77000000000044</v>
      </c>
      <c r="M209" s="2"/>
      <c r="N209" s="7">
        <f t="shared" si="134"/>
        <v>-1.8985818762418002E-2</v>
      </c>
      <c r="O209" s="11"/>
      <c r="P209" s="6">
        <v>30183.59</v>
      </c>
      <c r="Q209" s="2"/>
      <c r="R209" s="7">
        <f t="shared" si="135"/>
        <v>9.5429883810546415E-3</v>
      </c>
      <c r="S209" s="2"/>
      <c r="T209" s="6">
        <v>30585.81</v>
      </c>
      <c r="U209" s="2"/>
      <c r="V209" s="7">
        <f t="shared" si="136"/>
        <v>1.2408122487112407E-2</v>
      </c>
      <c r="W209" s="2"/>
      <c r="X209" s="6">
        <f t="shared" si="137"/>
        <v>-402.22000000000116</v>
      </c>
      <c r="Y209" s="2"/>
      <c r="Z209" s="7">
        <f t="shared" si="138"/>
        <v>-1.315054268629803E-2</v>
      </c>
    </row>
    <row r="210" spans="1:26" s="62" customFormat="1" x14ac:dyDescent="0.3">
      <c r="A210" s="37"/>
      <c r="B210" s="37"/>
      <c r="C210" s="37"/>
      <c r="D210" s="1"/>
      <c r="E210" s="1"/>
      <c r="F210" s="5"/>
      <c r="G210" s="1"/>
      <c r="H210" s="1"/>
      <c r="I210" s="1"/>
      <c r="J210" s="5"/>
      <c r="K210" s="1"/>
      <c r="L210" s="1"/>
      <c r="M210" s="1"/>
      <c r="N210" s="5"/>
      <c r="O210" s="37"/>
      <c r="P210" s="1"/>
      <c r="Q210" s="1"/>
      <c r="R210" s="5"/>
      <c r="S210" s="1"/>
      <c r="T210" s="1"/>
      <c r="U210" s="1"/>
      <c r="V210" s="5"/>
      <c r="W210" s="1"/>
      <c r="X210" s="1"/>
      <c r="Y210" s="1"/>
      <c r="Z210" s="5"/>
    </row>
    <row r="211" spans="1:26" s="23" customFormat="1" collapsed="1" x14ac:dyDescent="0.3">
      <c r="A211" s="10"/>
      <c r="B211" s="26" t="s">
        <v>292</v>
      </c>
      <c r="C211" s="10"/>
      <c r="D211" s="4">
        <f>SUM(OSRRefD25x_0)</f>
        <v>54598.81</v>
      </c>
      <c r="E211" s="4"/>
      <c r="F211" s="12">
        <f t="shared" ref="F211:F215" si="139">IF(D$12=0,0,D211/D$12)</f>
        <v>0.1852449330674433</v>
      </c>
      <c r="G211" s="4"/>
      <c r="H211" s="4">
        <f>SUM(OSRRefH25x_0)</f>
        <v>72384.83</v>
      </c>
      <c r="I211" s="4"/>
      <c r="J211" s="12">
        <f t="shared" ref="J211:J215" si="140">IF(H$12=0,0,H211/H$12)</f>
        <v>0.652276245338266</v>
      </c>
      <c r="K211" s="4"/>
      <c r="L211" s="4">
        <f t="shared" ref="L211:L215" si="141">+D211-H211</f>
        <v>-17786.020000000004</v>
      </c>
      <c r="M211" s="4"/>
      <c r="N211" s="12">
        <f t="shared" ref="N211:N215" si="142">IF(H211=0,0,L211/H211)</f>
        <v>-0.24571474437392482</v>
      </c>
      <c r="O211" s="10"/>
      <c r="P211" s="4">
        <f>SUM(OSRRefP25x_0)</f>
        <v>456237.79</v>
      </c>
      <c r="Q211" s="4"/>
      <c r="R211" s="12">
        <f t="shared" ref="R211:R215" si="143">IF(P$12=0,0,P211/P$12)</f>
        <v>0.14424632487282152</v>
      </c>
      <c r="S211" s="4"/>
      <c r="T211" s="4">
        <f>SUM(OSRRefT25x_0)</f>
        <v>524380.25</v>
      </c>
      <c r="U211" s="4"/>
      <c r="V211" s="12">
        <f t="shared" ref="V211:V215" si="144">IF(T$12=0,0,T211/T$12)</f>
        <v>0.21273179856353733</v>
      </c>
      <c r="W211" s="4"/>
      <c r="X211" s="4">
        <f t="shared" ref="X211:X215" si="145">+P211-T211</f>
        <v>-68142.460000000021</v>
      </c>
      <c r="Y211" s="4"/>
      <c r="Z211" s="12">
        <f t="shared" ref="Z211:Z215" si="146">IF(T211=0,0,X211/T211)</f>
        <v>-0.12994856308947567</v>
      </c>
    </row>
    <row r="212" spans="1:26" s="24" customFormat="1" hidden="1" outlineLevel="1" x14ac:dyDescent="0.3">
      <c r="A212" s="44"/>
      <c r="B212" s="11" t="str">
        <f>CONCATENATE("          ", "9150", " - ", "MISC. INCOME")</f>
        <v xml:space="preserve">          9150 - MISC. INCOME</v>
      </c>
      <c r="C212" s="11"/>
      <c r="D212" s="2">
        <f>--54598.81</f>
        <v>54598.81</v>
      </c>
      <c r="E212" s="2"/>
      <c r="F212" s="19">
        <f t="shared" si="139"/>
        <v>0.1852449330674433</v>
      </c>
      <c r="G212" s="2"/>
      <c r="H212" s="2">
        <f>--57387.68</f>
        <v>57387.68</v>
      </c>
      <c r="I212" s="2"/>
      <c r="J212" s="19">
        <f t="shared" si="140"/>
        <v>0.51713349936822262</v>
      </c>
      <c r="K212" s="2"/>
      <c r="L212" s="2">
        <f t="shared" si="141"/>
        <v>-2788.8700000000026</v>
      </c>
      <c r="M212" s="2"/>
      <c r="N212" s="19">
        <f t="shared" si="142"/>
        <v>-4.8597015944885774E-2</v>
      </c>
      <c r="O212" s="11"/>
      <c r="P212" s="2">
        <f>--212830.82</f>
        <v>212830.82</v>
      </c>
      <c r="Q212" s="2"/>
      <c r="R212" s="19">
        <f t="shared" si="143"/>
        <v>6.7289611420985107E-2</v>
      </c>
      <c r="S212" s="2"/>
      <c r="T212" s="2">
        <f>--199082.79</f>
        <v>199082.79</v>
      </c>
      <c r="U212" s="2"/>
      <c r="V212" s="19">
        <f t="shared" si="144"/>
        <v>8.0764368947432719E-2</v>
      </c>
      <c r="W212" s="2"/>
      <c r="X212" s="2">
        <f t="shared" si="145"/>
        <v>13748.029999999999</v>
      </c>
      <c r="Y212" s="2"/>
      <c r="Z212" s="19">
        <f t="shared" si="146"/>
        <v>6.9056848158497261E-2</v>
      </c>
    </row>
    <row r="213" spans="1:26" s="24" customFormat="1" hidden="1" outlineLevel="1" x14ac:dyDescent="0.3">
      <c r="A213" s="44"/>
      <c r="B213" s="11" t="str">
        <f>CONCATENATE("          ", "9151", " - ", "MISC. INCOME")</f>
        <v xml:space="preserve">          9151 - MISC. INCOME</v>
      </c>
      <c r="C213" s="11"/>
      <c r="D213" s="2">
        <f t="shared" ref="D213:D215" si="147">0</f>
        <v>0</v>
      </c>
      <c r="E213" s="2"/>
      <c r="F213" s="19">
        <f t="shared" si="139"/>
        <v>0</v>
      </c>
      <c r="G213" s="2"/>
      <c r="H213" s="2">
        <f>0</f>
        <v>0</v>
      </c>
      <c r="I213" s="2"/>
      <c r="J213" s="19">
        <f t="shared" si="140"/>
        <v>0</v>
      </c>
      <c r="K213" s="2"/>
      <c r="L213" s="2">
        <f t="shared" si="141"/>
        <v>0</v>
      </c>
      <c r="M213" s="2"/>
      <c r="N213" s="19">
        <f t="shared" si="142"/>
        <v>0</v>
      </c>
      <c r="O213" s="11"/>
      <c r="P213" s="2">
        <f>--168463.36</f>
        <v>168463.35999999999</v>
      </c>
      <c r="Q213" s="2"/>
      <c r="R213" s="19">
        <f t="shared" si="143"/>
        <v>5.3262182765980624E-2</v>
      </c>
      <c r="S213" s="2"/>
      <c r="T213" s="2">
        <f>--147285.39</f>
        <v>147285.39000000001</v>
      </c>
      <c r="U213" s="2"/>
      <c r="V213" s="19">
        <f t="shared" si="144"/>
        <v>5.9751079329993906E-2</v>
      </c>
      <c r="W213" s="2"/>
      <c r="X213" s="2">
        <f t="shared" si="145"/>
        <v>21177.969999999972</v>
      </c>
      <c r="Y213" s="2"/>
      <c r="Z213" s="19">
        <f t="shared" si="146"/>
        <v>0.14378866770152809</v>
      </c>
    </row>
    <row r="214" spans="1:26" s="24" customFormat="1" hidden="1" outlineLevel="1" x14ac:dyDescent="0.3">
      <c r="A214" s="44"/>
      <c r="B214" s="11" t="str">
        <f>CONCATENATE("          ", "9152", " - ", "MISC. INCOME")</f>
        <v xml:space="preserve">          9152 - MISC. INCOME</v>
      </c>
      <c r="C214" s="11"/>
      <c r="D214" s="2">
        <f t="shared" si="147"/>
        <v>0</v>
      </c>
      <c r="E214" s="2"/>
      <c r="F214" s="19">
        <f t="shared" si="139"/>
        <v>0</v>
      </c>
      <c r="G214" s="2"/>
      <c r="H214" s="2">
        <f>--255.21</f>
        <v>255.21</v>
      </c>
      <c r="I214" s="2"/>
      <c r="J214" s="19">
        <f t="shared" si="140"/>
        <v>2.2997556335046842E-3</v>
      </c>
      <c r="K214" s="2"/>
      <c r="L214" s="2">
        <f t="shared" si="141"/>
        <v>-255.21</v>
      </c>
      <c r="M214" s="2"/>
      <c r="N214" s="19">
        <f t="shared" si="142"/>
        <v>-1</v>
      </c>
      <c r="O214" s="11"/>
      <c r="P214" s="2">
        <f>--2195.41</f>
        <v>2195.41</v>
      </c>
      <c r="Q214" s="2"/>
      <c r="R214" s="19">
        <f t="shared" si="143"/>
        <v>6.9411134068714719E-4</v>
      </c>
      <c r="S214" s="2"/>
      <c r="T214" s="2">
        <f>--2606.23</f>
        <v>2606.23</v>
      </c>
      <c r="U214" s="2"/>
      <c r="V214" s="19">
        <f t="shared" si="144"/>
        <v>1.0573014436951961E-3</v>
      </c>
      <c r="W214" s="2"/>
      <c r="X214" s="2">
        <f t="shared" si="145"/>
        <v>-410.82000000000016</v>
      </c>
      <c r="Y214" s="2"/>
      <c r="Z214" s="19">
        <f t="shared" si="146"/>
        <v>-0.15762998660901001</v>
      </c>
    </row>
    <row r="215" spans="1:26" s="24" customFormat="1" hidden="1" outlineLevel="1" x14ac:dyDescent="0.3">
      <c r="A215" s="44"/>
      <c r="B215" s="11" t="str">
        <f>CONCATENATE("          ", "9163", " - ", "MISC. INCOME")</f>
        <v xml:space="preserve">          9163 - MISC. INCOME</v>
      </c>
      <c r="C215" s="11"/>
      <c r="D215" s="2">
        <f t="shared" si="147"/>
        <v>0</v>
      </c>
      <c r="E215" s="2"/>
      <c r="F215" s="19">
        <f t="shared" si="139"/>
        <v>0</v>
      </c>
      <c r="G215" s="2"/>
      <c r="H215" s="2">
        <f>--14741.94</f>
        <v>14741.94</v>
      </c>
      <c r="I215" s="2"/>
      <c r="J215" s="19">
        <f t="shared" si="140"/>
        <v>0.13284299033653871</v>
      </c>
      <c r="K215" s="2"/>
      <c r="L215" s="2">
        <f t="shared" si="141"/>
        <v>-14741.94</v>
      </c>
      <c r="M215" s="2"/>
      <c r="N215" s="19">
        <f t="shared" si="142"/>
        <v>-1</v>
      </c>
      <c r="O215" s="11"/>
      <c r="P215" s="2">
        <f>--72748.2</f>
        <v>72748.2</v>
      </c>
      <c r="Q215" s="2"/>
      <c r="R215" s="19">
        <f t="shared" si="143"/>
        <v>2.3000419345168659E-2</v>
      </c>
      <c r="S215" s="2"/>
      <c r="T215" s="2">
        <f>--175405.84</f>
        <v>175405.84</v>
      </c>
      <c r="U215" s="2"/>
      <c r="V215" s="19">
        <f t="shared" si="144"/>
        <v>7.1159048842415515E-2</v>
      </c>
      <c r="W215" s="2"/>
      <c r="X215" s="2">
        <f t="shared" si="145"/>
        <v>-102657.64</v>
      </c>
      <c r="Y215" s="2"/>
      <c r="Z215" s="19">
        <f t="shared" si="146"/>
        <v>-0.58525782265858428</v>
      </c>
    </row>
    <row r="216" spans="1:26" x14ac:dyDescent="0.3">
      <c r="A216" s="9"/>
      <c r="B216" s="10"/>
      <c r="C216" s="10"/>
      <c r="D216" s="3"/>
      <c r="E216" s="3"/>
      <c r="F216" s="8"/>
      <c r="G216" s="3"/>
      <c r="H216" s="3"/>
      <c r="I216" s="3"/>
      <c r="J216" s="8"/>
      <c r="K216" s="3"/>
      <c r="L216" s="3"/>
      <c r="M216" s="3"/>
      <c r="N216" s="8"/>
      <c r="O216" s="10"/>
      <c r="P216" s="3"/>
      <c r="Q216" s="3"/>
      <c r="R216" s="8"/>
      <c r="S216" s="3"/>
      <c r="T216" s="3"/>
      <c r="U216" s="3"/>
      <c r="V216" s="8"/>
      <c r="W216" s="3"/>
      <c r="X216" s="3"/>
      <c r="Y216" s="3"/>
      <c r="Z216" s="8"/>
    </row>
    <row r="217" spans="1:26" s="23" customFormat="1" x14ac:dyDescent="0.3">
      <c r="A217" s="10"/>
      <c r="B217" s="25" t="s">
        <v>276</v>
      </c>
      <c r="C217" s="25"/>
      <c r="D217" s="21">
        <f>+D120-D122+D211</f>
        <v>-53622.11999999985</v>
      </c>
      <c r="E217" s="13"/>
      <c r="F217" s="22">
        <f>IF(D$12=0,0,D217/D$12)</f>
        <v>-0.18193118183957463</v>
      </c>
      <c r="G217" s="13"/>
      <c r="H217" s="21">
        <f>+H120-H122+H211</f>
        <v>-113545.32999999994</v>
      </c>
      <c r="I217" s="13"/>
      <c r="J217" s="22">
        <f>IF(H$12=0,0,H217/H$12)</f>
        <v>-1.0231829173059375</v>
      </c>
      <c r="K217" s="16"/>
      <c r="L217" s="21">
        <f>+D217-H217</f>
        <v>59923.210000000094</v>
      </c>
      <c r="M217" s="16"/>
      <c r="N217" s="22">
        <f>IF(H217=0,0,L217/H217)</f>
        <v>-0.52774702402996343</v>
      </c>
      <c r="O217" s="26"/>
      <c r="P217" s="21">
        <f>+P120-P122+P211</f>
        <v>73981.440000000352</v>
      </c>
      <c r="Q217" s="13"/>
      <c r="R217" s="22">
        <f>IF(P$12=0,0,P217/P$12)</f>
        <v>2.3390326410267778E-2</v>
      </c>
      <c r="S217" s="13"/>
      <c r="T217" s="21">
        <f>+T120-T122+T211</f>
        <v>28789.289999999572</v>
      </c>
      <c r="U217" s="13"/>
      <c r="V217" s="22">
        <f>IF(T$12=0,0,T217/T$12)</f>
        <v>1.1679306078112531E-2</v>
      </c>
      <c r="W217" s="16"/>
      <c r="X217" s="21">
        <f>+P217-T217</f>
        <v>45192.15000000078</v>
      </c>
      <c r="Y217" s="16"/>
      <c r="Z217" s="22">
        <f>IF(T217=0,0,X217/T217)</f>
        <v>1.5697556278741662</v>
      </c>
    </row>
    <row r="218" spans="1:26" x14ac:dyDescent="0.3">
      <c r="A218" s="9"/>
      <c r="B218" s="10"/>
      <c r="C218" s="9"/>
      <c r="D218" s="3"/>
      <c r="E218" s="3"/>
      <c r="F218" s="8"/>
      <c r="G218" s="3"/>
      <c r="H218" s="3"/>
      <c r="I218" s="3"/>
      <c r="J218" s="8"/>
      <c r="K218" s="3"/>
      <c r="L218" s="3"/>
      <c r="M218" s="3"/>
      <c r="N218" s="8"/>
      <c r="P218" s="3"/>
      <c r="Q218" s="3"/>
      <c r="R218" s="8"/>
      <c r="S218" s="3"/>
      <c r="T218" s="3"/>
      <c r="U218" s="3"/>
      <c r="V218" s="8"/>
      <c r="W218" s="3"/>
      <c r="X218" s="3"/>
      <c r="Y218" s="3"/>
      <c r="Z218" s="8"/>
    </row>
    <row r="219" spans="1:26" s="23" customFormat="1" x14ac:dyDescent="0.3">
      <c r="A219" s="51"/>
      <c r="B219" s="10" t="s">
        <v>127</v>
      </c>
      <c r="C219" s="10"/>
      <c r="D219" s="4">
        <v>45202.76</v>
      </c>
      <c r="E219" s="4"/>
      <c r="F219" s="12">
        <f>IF(D$12=0,0,D219/D$12)</f>
        <v>0.15336565486800363</v>
      </c>
      <c r="G219" s="4"/>
      <c r="H219" s="4">
        <v>-118249.83</v>
      </c>
      <c r="I219" s="4"/>
      <c r="J219" s="12">
        <f>IF(H$12=0,0,H219/H$12)</f>
        <v>-1.0655762419320216</v>
      </c>
      <c r="K219" s="4"/>
      <c r="L219" s="4">
        <f>+D219-H219</f>
        <v>163452.59</v>
      </c>
      <c r="M219" s="4"/>
      <c r="N219" s="12">
        <f>IF(H219=0,0,L219/H219)</f>
        <v>-1.3822649047360152</v>
      </c>
      <c r="O219" s="10"/>
      <c r="P219" s="4">
        <v>376739.41</v>
      </c>
      <c r="Q219" s="4"/>
      <c r="R219" s="12">
        <f>IF(P$12=0,0,P219/P$12)</f>
        <v>0.11911173628834014</v>
      </c>
      <c r="S219" s="4"/>
      <c r="T219" s="4">
        <v>391679.49</v>
      </c>
      <c r="U219" s="4"/>
      <c r="V219" s="12">
        <f>IF(T$12=0,0,T219/T$12)</f>
        <v>0.15889744582895529</v>
      </c>
      <c r="W219" s="4"/>
      <c r="X219" s="4">
        <f>+P219-T219</f>
        <v>-14940.080000000016</v>
      </c>
      <c r="Y219" s="4"/>
      <c r="Z219" s="12">
        <f>IF(T219=0,0,X219/T219)</f>
        <v>-3.8143636267500287E-2</v>
      </c>
    </row>
    <row r="220" spans="1:26" x14ac:dyDescent="0.3">
      <c r="A220" s="9"/>
      <c r="B220" s="10"/>
      <c r="C220" s="10"/>
      <c r="D220" s="3"/>
      <c r="E220" s="3"/>
      <c r="F220" s="8"/>
      <c r="G220" s="3"/>
      <c r="H220" s="3"/>
      <c r="I220" s="3"/>
      <c r="J220" s="8"/>
      <c r="K220" s="3"/>
      <c r="L220" s="3"/>
      <c r="M220" s="3"/>
      <c r="N220" s="8"/>
      <c r="O220" s="10"/>
      <c r="P220" s="3"/>
      <c r="Q220" s="3"/>
      <c r="R220" s="8"/>
      <c r="S220" s="3"/>
      <c r="T220" s="3"/>
      <c r="U220" s="3"/>
      <c r="V220" s="8"/>
      <c r="W220" s="3"/>
      <c r="X220" s="3"/>
      <c r="Y220" s="3"/>
      <c r="Z220" s="8"/>
    </row>
    <row r="221" spans="1:26" s="23" customFormat="1" ht="15" thickBot="1" x14ac:dyDescent="0.35">
      <c r="A221" s="10"/>
      <c r="B221" s="25" t="s">
        <v>125</v>
      </c>
      <c r="C221" s="25"/>
      <c r="D221" s="35">
        <f>+D217-D219</f>
        <v>-98824.879999999859</v>
      </c>
      <c r="E221" s="13"/>
      <c r="F221" s="31">
        <f>IF(D$12=0,0,D221/D$12)</f>
        <v>-0.33529683670757826</v>
      </c>
      <c r="G221" s="13"/>
      <c r="H221" s="35">
        <f>+H217-H219</f>
        <v>4704.5000000000582</v>
      </c>
      <c r="I221" s="13"/>
      <c r="J221" s="31">
        <f>IF(H$12=0,0,H221/H$12)</f>
        <v>4.239332462608409E-2</v>
      </c>
      <c r="K221" s="16"/>
      <c r="L221" s="35">
        <f>D221-H221</f>
        <v>-103529.37999999992</v>
      </c>
      <c r="M221" s="16"/>
      <c r="N221" s="31">
        <f>IF(H221=0,0,L221/H221)</f>
        <v>-22.006457646933498</v>
      </c>
      <c r="O221" s="26"/>
      <c r="P221" s="35">
        <f>+P217-P219</f>
        <v>-302757.96999999962</v>
      </c>
      <c r="Q221" s="13"/>
      <c r="R221" s="31">
        <f>IF(P$12=0,0,P221/P$12)</f>
        <v>-9.5721409878072358E-2</v>
      </c>
      <c r="S221" s="13"/>
      <c r="T221" s="35">
        <f>+T217-T219</f>
        <v>-362890.20000000042</v>
      </c>
      <c r="U221" s="13"/>
      <c r="V221" s="31">
        <f>IF(T$12=0,0,T221/T$12)</f>
        <v>-0.14721813975084275</v>
      </c>
      <c r="W221" s="16"/>
      <c r="X221" s="35">
        <f>P221-T221</f>
        <v>60132.230000000796</v>
      </c>
      <c r="Y221" s="16"/>
      <c r="Z221" s="31">
        <f>IF(T221=0,0,X221/T221)</f>
        <v>-0.16570364810072227</v>
      </c>
    </row>
    <row r="222" spans="1:26" ht="15" thickTop="1" x14ac:dyDescent="0.3">
      <c r="A222" s="9"/>
      <c r="B222" s="9"/>
      <c r="C222" s="9"/>
      <c r="D222" s="3"/>
      <c r="E222" s="3"/>
      <c r="F222" s="8"/>
      <c r="G222" s="3"/>
      <c r="H222" s="3"/>
      <c r="I222" s="3"/>
      <c r="J222" s="8"/>
      <c r="K222" s="3"/>
      <c r="L222" s="3"/>
      <c r="M222" s="3"/>
      <c r="N222" s="8"/>
      <c r="P222" s="3"/>
      <c r="Q222" s="3"/>
      <c r="R222" s="8"/>
      <c r="S222" s="3"/>
      <c r="T222" s="3"/>
      <c r="U222" s="3"/>
      <c r="V222" s="8"/>
      <c r="W222" s="3"/>
      <c r="X222" s="3"/>
      <c r="Y222" s="3"/>
      <c r="Z222" s="8"/>
    </row>
    <row r="223" spans="1:26" x14ac:dyDescent="0.3">
      <c r="A223" s="9"/>
      <c r="B223" s="9"/>
      <c r="C223" s="9"/>
      <c r="D223" s="3"/>
      <c r="E223" s="3"/>
      <c r="F223" s="8"/>
      <c r="G223" s="3"/>
      <c r="H223" s="3"/>
      <c r="I223" s="3"/>
      <c r="J223" s="8"/>
      <c r="K223" s="3"/>
      <c r="L223" s="3"/>
      <c r="M223" s="3"/>
      <c r="N223" s="8"/>
      <c r="P223" s="3"/>
      <c r="Q223" s="3"/>
      <c r="R223" s="8"/>
      <c r="S223" s="3"/>
      <c r="T223" s="3"/>
      <c r="U223" s="3"/>
      <c r="V223" s="8"/>
      <c r="W223" s="3"/>
      <c r="X223" s="3"/>
      <c r="Y223" s="3"/>
      <c r="Z223" s="8"/>
    </row>
    <row r="224" spans="1:26" s="23" customFormat="1" ht="15" thickBot="1" x14ac:dyDescent="0.35">
      <c r="A224" s="10"/>
      <c r="B224" s="25" t="s">
        <v>293</v>
      </c>
      <c r="C224" s="25"/>
      <c r="D224" s="36">
        <f>SUM(D221:D223)</f>
        <v>-98824.879999999859</v>
      </c>
      <c r="E224" s="13"/>
      <c r="F224" s="33">
        <f>IF(D$12=0,0,D224/D$12)</f>
        <v>-0.33529683670757826</v>
      </c>
      <c r="G224" s="13"/>
      <c r="H224" s="36">
        <f>SUM(H221:H223)</f>
        <v>4704.5000000000582</v>
      </c>
      <c r="I224" s="13"/>
      <c r="J224" s="33">
        <f>IF(H$12=0,0,H224/H$12)</f>
        <v>4.239332462608409E-2</v>
      </c>
      <c r="K224" s="16"/>
      <c r="L224" s="36">
        <f>+D224-H224</f>
        <v>-103529.37999999992</v>
      </c>
      <c r="M224" s="16"/>
      <c r="N224" s="33">
        <f>IF(H224=0,0,L224/H224)</f>
        <v>-22.006457646933498</v>
      </c>
      <c r="O224" s="26"/>
      <c r="P224" s="36">
        <f>SUM(P221:P223)</f>
        <v>-302757.96999999962</v>
      </c>
      <c r="Q224" s="13"/>
      <c r="R224" s="33">
        <f>IF(P$12=0,0,P224/P$12)</f>
        <v>-9.5721409878072358E-2</v>
      </c>
      <c r="S224" s="13"/>
      <c r="T224" s="36">
        <f>SUM(T221:T223)</f>
        <v>-362890.20000000042</v>
      </c>
      <c r="U224" s="13"/>
      <c r="V224" s="33">
        <f>IF(T$12=0,0,T224/T$12)</f>
        <v>-0.14721813975084275</v>
      </c>
      <c r="W224" s="16"/>
      <c r="X224" s="36">
        <f>+P224-T224</f>
        <v>60132.230000000796</v>
      </c>
      <c r="Y224" s="16"/>
      <c r="Z224" s="33">
        <f>IF(T224=0,0,X224/T224)</f>
        <v>-0.16570364810072227</v>
      </c>
    </row>
    <row r="225" spans="1:24" ht="15" thickTop="1" x14ac:dyDescent="0.3">
      <c r="A225" s="9"/>
      <c r="C225" s="9"/>
      <c r="D225" s="17"/>
      <c r="E225" s="17"/>
      <c r="G225" s="17"/>
      <c r="H225" s="17"/>
      <c r="I225" s="17"/>
      <c r="J225" s="42"/>
      <c r="K225" s="17"/>
      <c r="L225" s="17"/>
      <c r="M225" s="17"/>
      <c r="P225" s="17"/>
      <c r="Q225" s="17"/>
      <c r="R225" s="42"/>
      <c r="S225" s="17"/>
      <c r="T225" s="17"/>
      <c r="U225" s="17"/>
      <c r="V225" s="42"/>
      <c r="W225" s="17"/>
      <c r="X225" s="17"/>
    </row>
    <row r="226" spans="1:24" x14ac:dyDescent="0.3">
      <c r="A226" s="9"/>
      <c r="B226" s="52">
        <v>44543.76554591435</v>
      </c>
      <c r="D226" s="17"/>
      <c r="E226" s="17"/>
      <c r="G226" s="17"/>
      <c r="H226" s="17"/>
      <c r="I226" s="17"/>
      <c r="J226" s="42"/>
      <c r="K226" s="17"/>
      <c r="L226" s="17"/>
      <c r="M226" s="17"/>
      <c r="P226" s="17"/>
      <c r="Q226" s="17"/>
      <c r="R226" s="42"/>
      <c r="S226" s="17"/>
      <c r="T226" s="17"/>
      <c r="U226" s="17"/>
      <c r="V226" s="42"/>
      <c r="W226" s="17"/>
      <c r="X226" s="17"/>
    </row>
    <row r="227" spans="1:24" x14ac:dyDescent="0.3">
      <c r="A227" s="9"/>
      <c r="B227" s="59" t="s">
        <v>56</v>
      </c>
      <c r="D227" s="17"/>
      <c r="E227" s="17"/>
      <c r="G227" s="17"/>
      <c r="H227" s="17"/>
      <c r="I227" s="17"/>
      <c r="J227" s="42"/>
      <c r="K227" s="17"/>
      <c r="L227" s="17"/>
      <c r="M227" s="17"/>
      <c r="P227" s="17"/>
      <c r="Q227" s="17"/>
      <c r="R227" s="42"/>
      <c r="S227" s="17"/>
      <c r="T227" s="17"/>
      <c r="U227" s="17"/>
      <c r="V227" s="42"/>
      <c r="W227" s="17"/>
      <c r="X227" s="17"/>
    </row>
    <row r="228" spans="1:24" x14ac:dyDescent="0.3">
      <c r="A228" s="9"/>
      <c r="B228" s="61"/>
      <c r="D228" s="17"/>
      <c r="E228" s="17"/>
      <c r="G228" s="17"/>
      <c r="H228" s="17"/>
      <c r="I228" s="17"/>
      <c r="J228" s="42"/>
      <c r="K228" s="17"/>
      <c r="L228" s="17"/>
      <c r="M228" s="17"/>
      <c r="P228" s="17"/>
      <c r="Q228" s="17"/>
      <c r="R228" s="42"/>
      <c r="S228" s="17"/>
      <c r="T228" s="17"/>
      <c r="U228" s="17"/>
      <c r="V228" s="42"/>
      <c r="W228" s="17"/>
      <c r="X228" s="17"/>
    </row>
    <row r="229" spans="1:24" x14ac:dyDescent="0.3">
      <c r="D229" s="17"/>
      <c r="E229" s="17"/>
      <c r="G229" s="17"/>
      <c r="H229" s="17"/>
      <c r="I229" s="17"/>
      <c r="J229" s="42"/>
      <c r="K229" s="17"/>
      <c r="L229" s="17"/>
      <c r="M229" s="17"/>
      <c r="P229" s="17"/>
      <c r="Q229" s="17"/>
      <c r="R229" s="42"/>
      <c r="S229" s="17"/>
      <c r="T229" s="17"/>
      <c r="U229" s="17"/>
      <c r="V229" s="42"/>
      <c r="W229" s="17"/>
      <c r="X229" s="17"/>
    </row>
  </sheetData>
  <pageMargins left="0.25" right="0.25" top="0.75" bottom="0.75" header="0.3" footer="0.3"/>
  <pageSetup scale="55" fitToWidth="2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0.39997558519241921"/>
    <outlinePr summaryBelow="0" summaryRight="0"/>
  </sheetPr>
  <dimension ref="A2:Z25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313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387266.24</v>
      </c>
      <c r="E12" s="4"/>
      <c r="F12" s="12"/>
      <c r="G12" s="4"/>
      <c r="H12" s="4">
        <f>SUM(OSRRefH13x_0)</f>
        <v>170754.02999999997</v>
      </c>
      <c r="I12" s="4"/>
      <c r="J12" s="12"/>
      <c r="K12" s="4"/>
      <c r="L12" s="4">
        <f t="shared" ref="L12:L91" si="0">+D12-H12</f>
        <v>216512.21000000002</v>
      </c>
      <c r="M12" s="4"/>
      <c r="N12" s="12">
        <f t="shared" ref="N12:N91" si="1">IF(H12=0,0,L12/H12)</f>
        <v>1.2679771598948502</v>
      </c>
      <c r="O12" s="10"/>
      <c r="P12" s="4">
        <f>SUM(OSRRefP13x_0)</f>
        <v>3996015.02</v>
      </c>
      <c r="Q12" s="4"/>
      <c r="R12" s="12"/>
      <c r="S12" s="4"/>
      <c r="T12" s="4">
        <f>SUM(OSRRefT13x_0)</f>
        <v>3660885.8200000008</v>
      </c>
      <c r="U12" s="4"/>
      <c r="V12" s="12"/>
      <c r="W12" s="4"/>
      <c r="X12" s="4">
        <f t="shared" ref="X12:X91" si="2">+P12-T12</f>
        <v>335129.19999999925</v>
      </c>
      <c r="Y12" s="4"/>
      <c r="Z12" s="12">
        <f t="shared" ref="Z12:Z91" si="3">IF(T12=0,0,X12/T12)</f>
        <v>9.1543199235861225E-2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--364190.03</f>
        <v>364190.03</v>
      </c>
      <c r="E13" s="2"/>
      <c r="F13" s="19"/>
      <c r="G13" s="2"/>
      <c r="H13" s="2">
        <f>-9680.35</f>
        <v>-9680.35</v>
      </c>
      <c r="I13" s="2"/>
      <c r="J13" s="19"/>
      <c r="K13" s="2"/>
      <c r="L13" s="2">
        <f t="shared" si="0"/>
        <v>373870.38</v>
      </c>
      <c r="M13" s="2"/>
      <c r="N13" s="19">
        <f t="shared" si="1"/>
        <v>-38.621576699189596</v>
      </c>
      <c r="O13" s="11"/>
      <c r="P13" s="2">
        <f>--3316214.74</f>
        <v>3316214.74</v>
      </c>
      <c r="Q13" s="2"/>
      <c r="R13" s="19"/>
      <c r="S13" s="2"/>
      <c r="T13" s="2">
        <f>-59042.76</f>
        <v>-59042.76</v>
      </c>
      <c r="U13" s="2"/>
      <c r="V13" s="19"/>
      <c r="W13" s="2"/>
      <c r="X13" s="2">
        <f t="shared" si="2"/>
        <v>3375257.5</v>
      </c>
      <c r="Y13" s="2"/>
      <c r="Z13" s="19">
        <f t="shared" si="3"/>
        <v>-57.166323186788695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36" si="4">0</f>
        <v>0</v>
      </c>
      <c r="E14" s="2"/>
      <c r="F14" s="19"/>
      <c r="G14" s="2"/>
      <c r="H14" s="2">
        <f>--6816.45</f>
        <v>6816.45</v>
      </c>
      <c r="I14" s="2"/>
      <c r="J14" s="19"/>
      <c r="K14" s="2"/>
      <c r="L14" s="2">
        <f t="shared" si="0"/>
        <v>-6816.45</v>
      </c>
      <c r="M14" s="2"/>
      <c r="N14" s="19">
        <f t="shared" si="1"/>
        <v>-1</v>
      </c>
      <c r="O14" s="11"/>
      <c r="P14" s="2">
        <f t="shared" ref="P14:P36" si="5">0</f>
        <v>0</v>
      </c>
      <c r="Q14" s="2"/>
      <c r="R14" s="19"/>
      <c r="S14" s="2"/>
      <c r="T14" s="2">
        <f>--719144.02</f>
        <v>719144.02</v>
      </c>
      <c r="U14" s="2"/>
      <c r="V14" s="19"/>
      <c r="W14" s="2"/>
      <c r="X14" s="2">
        <f t="shared" si="2"/>
        <v>-719144.02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--1492.1</f>
        <v>1492.1</v>
      </c>
      <c r="I15" s="2"/>
      <c r="J15" s="19"/>
      <c r="K15" s="2"/>
      <c r="L15" s="2">
        <f t="shared" si="0"/>
        <v>-1492.1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--320631.62</f>
        <v>320631.62</v>
      </c>
      <c r="U15" s="2"/>
      <c r="V15" s="19"/>
      <c r="W15" s="2"/>
      <c r="X15" s="2">
        <f t="shared" si="2"/>
        <v>-320631.62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"4026", " - ", "TAXABLE SALES-WRITING INSTRUME")</f>
        <v xml:space="preserve">          4026 - TAXABLE SALES-WRITING INSTRUME</v>
      </c>
      <c r="C21" s="11"/>
      <c r="D21" s="2">
        <f t="shared" si="4"/>
        <v>0</v>
      </c>
      <c r="E21" s="2"/>
      <c r="F21" s="19"/>
      <c r="G21" s="2"/>
      <c r="H21" s="2">
        <f>--18.37</f>
        <v>18.37</v>
      </c>
      <c r="I21" s="2"/>
      <c r="J21" s="19"/>
      <c r="K21" s="2"/>
      <c r="L21" s="2">
        <f t="shared" si="0"/>
        <v>-18.37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--297.2</f>
        <v>297.2</v>
      </c>
      <c r="U21" s="2"/>
      <c r="V21" s="19"/>
      <c r="W21" s="2"/>
      <c r="X21" s="2">
        <f t="shared" si="2"/>
        <v>-297.2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"4027", " - ", "TAXABLE SALES-SCHOOL SUPPLIES")</f>
        <v xml:space="preserve">          4027 - TAXABLE SALES-SCHOOL SUPPLIES</v>
      </c>
      <c r="C22" s="11"/>
      <c r="D22" s="2">
        <f t="shared" si="4"/>
        <v>0</v>
      </c>
      <c r="E22" s="2"/>
      <c r="F22" s="19"/>
      <c r="G22" s="2"/>
      <c r="H22" s="2">
        <f>--1716.97</f>
        <v>1716.97</v>
      </c>
      <c r="I22" s="2"/>
      <c r="J22" s="19"/>
      <c r="K22" s="2"/>
      <c r="L22" s="2">
        <f t="shared" si="0"/>
        <v>-1716.97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--36720.47</f>
        <v>36720.47</v>
      </c>
      <c r="U22" s="2"/>
      <c r="V22" s="19"/>
      <c r="W22" s="2"/>
      <c r="X22" s="2">
        <f t="shared" si="2"/>
        <v>-36720.47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"4028", " - ", "TAXABLE SALES-ART/TECH")</f>
        <v xml:space="preserve">          4028 - TAXABLE SALES-ART/TECH</v>
      </c>
      <c r="C23" s="11"/>
      <c r="D23" s="2">
        <f t="shared" si="4"/>
        <v>0</v>
      </c>
      <c r="E23" s="2"/>
      <c r="F23" s="19"/>
      <c r="G23" s="2"/>
      <c r="H23" s="2">
        <f>--1730.73</f>
        <v>1730.73</v>
      </c>
      <c r="I23" s="2"/>
      <c r="J23" s="19"/>
      <c r="K23" s="2"/>
      <c r="L23" s="2">
        <f t="shared" si="0"/>
        <v>-1730.73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--15999.58</f>
        <v>15999.58</v>
      </c>
      <c r="U23" s="2"/>
      <c r="V23" s="19"/>
      <c r="W23" s="2"/>
      <c r="X23" s="2">
        <f t="shared" si="2"/>
        <v>-15999.58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"4031", " - ", "TAXABLE SALES-FOOD")</f>
        <v xml:space="preserve">          4031 - TAXABLE SALES-FOOD</v>
      </c>
      <c r="C24" s="11"/>
      <c r="D24" s="2">
        <f t="shared" si="4"/>
        <v>0</v>
      </c>
      <c r="E24" s="2"/>
      <c r="F24" s="19"/>
      <c r="G24" s="2"/>
      <c r="H24" s="2">
        <f>--194.65</f>
        <v>194.65</v>
      </c>
      <c r="I24" s="2"/>
      <c r="J24" s="19"/>
      <c r="K24" s="2"/>
      <c r="L24" s="2">
        <f t="shared" si="0"/>
        <v>-194.65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--1862.61</f>
        <v>1862.61</v>
      </c>
      <c r="U24" s="2"/>
      <c r="V24" s="19"/>
      <c r="W24" s="2"/>
      <c r="X24" s="2">
        <f t="shared" si="2"/>
        <v>-1862.61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"4034", " - ", "TAXABLE SALES-SODA")</f>
        <v xml:space="preserve">          4034 - TAXABLE SALES-SODA</v>
      </c>
      <c r="C25" s="11"/>
      <c r="D25" s="2">
        <f t="shared" si="4"/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si="5"/>
        <v>0</v>
      </c>
      <c r="Q25" s="2"/>
      <c r="R25" s="19"/>
      <c r="S25" s="2"/>
      <c r="T25" s="2">
        <f>--6.78</f>
        <v>6.78</v>
      </c>
      <c r="U25" s="2"/>
      <c r="V25" s="19"/>
      <c r="W25" s="2"/>
      <c r="X25" s="2">
        <f t="shared" si="2"/>
        <v>-6.78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"4040", " - ", "TAXABLE SALES-LOGO CLOTHING")</f>
        <v xml:space="preserve">          4040 - TAXABLE SALES-LOGO CLOTHING</v>
      </c>
      <c r="C26" s="11"/>
      <c r="D26" s="2">
        <f t="shared" si="4"/>
        <v>0</v>
      </c>
      <c r="E26" s="2"/>
      <c r="F26" s="19"/>
      <c r="G26" s="2"/>
      <c r="H26" s="2">
        <f>--40927.79</f>
        <v>40927.79</v>
      </c>
      <c r="I26" s="2"/>
      <c r="J26" s="19"/>
      <c r="K26" s="2"/>
      <c r="L26" s="2">
        <f t="shared" si="0"/>
        <v>-40927.79</v>
      </c>
      <c r="M26" s="2"/>
      <c r="N26" s="19">
        <f t="shared" si="1"/>
        <v>-1</v>
      </c>
      <c r="O26" s="11"/>
      <c r="P26" s="2">
        <f t="shared" si="5"/>
        <v>0</v>
      </c>
      <c r="Q26" s="2"/>
      <c r="R26" s="19"/>
      <c r="S26" s="2"/>
      <c r="T26" s="2">
        <f>--423732.7</f>
        <v>423732.7</v>
      </c>
      <c r="U26" s="2"/>
      <c r="V26" s="19"/>
      <c r="W26" s="2"/>
      <c r="X26" s="2">
        <f t="shared" si="2"/>
        <v>-423732.7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"4041", " - ", "TAXABLE SALES-LOGO GIFTS")</f>
        <v xml:space="preserve">          4041 - TAXABLE SALES-LOGO GIFTS</v>
      </c>
      <c r="C27" s="11"/>
      <c r="D27" s="2">
        <f t="shared" si="4"/>
        <v>0</v>
      </c>
      <c r="E27" s="2"/>
      <c r="F27" s="19"/>
      <c r="G27" s="2"/>
      <c r="H27" s="2">
        <f>--12313.27</f>
        <v>12313.27</v>
      </c>
      <c r="I27" s="2"/>
      <c r="J27" s="19"/>
      <c r="K27" s="2"/>
      <c r="L27" s="2">
        <f t="shared" si="0"/>
        <v>-12313.27</v>
      </c>
      <c r="M27" s="2"/>
      <c r="N27" s="19">
        <f t="shared" si="1"/>
        <v>-1</v>
      </c>
      <c r="O27" s="11"/>
      <c r="P27" s="2">
        <f t="shared" si="5"/>
        <v>0</v>
      </c>
      <c r="Q27" s="2"/>
      <c r="R27" s="19"/>
      <c r="S27" s="2"/>
      <c r="T27" s="2">
        <f>--165400.49</f>
        <v>165400.49</v>
      </c>
      <c r="U27" s="2"/>
      <c r="V27" s="19"/>
      <c r="W27" s="2"/>
      <c r="X27" s="2">
        <f t="shared" si="2"/>
        <v>-165400.49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"4042", " - ", "TAXABLE SALES-EVERYDAY GIFTS")</f>
        <v xml:space="preserve">          4042 - TAXABLE SALES-EVERYDAY GIFTS</v>
      </c>
      <c r="C28" s="11"/>
      <c r="D28" s="2">
        <f t="shared" si="4"/>
        <v>0</v>
      </c>
      <c r="E28" s="2"/>
      <c r="F28" s="19"/>
      <c r="G28" s="2"/>
      <c r="H28" s="2">
        <f>--2095.44</f>
        <v>2095.44</v>
      </c>
      <c r="I28" s="2"/>
      <c r="J28" s="19"/>
      <c r="K28" s="2"/>
      <c r="L28" s="2">
        <f t="shared" si="0"/>
        <v>-2095.44</v>
      </c>
      <c r="M28" s="2"/>
      <c r="N28" s="19">
        <f t="shared" si="1"/>
        <v>-1</v>
      </c>
      <c r="O28" s="11"/>
      <c r="P28" s="2">
        <f t="shared" si="5"/>
        <v>0</v>
      </c>
      <c r="Q28" s="2"/>
      <c r="R28" s="19"/>
      <c r="S28" s="2"/>
      <c r="T28" s="2">
        <f>--56879.12</f>
        <v>56879.12</v>
      </c>
      <c r="U28" s="2"/>
      <c r="V28" s="19"/>
      <c r="W28" s="2"/>
      <c r="X28" s="2">
        <f t="shared" si="2"/>
        <v>-56879.12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"4043", " - ", "TAXABLE SALES-CARDS")</f>
        <v xml:space="preserve">          4043 - TAXABLE SALES-CARDS</v>
      </c>
      <c r="C29" s="11"/>
      <c r="D29" s="2">
        <f t="shared" si="4"/>
        <v>0</v>
      </c>
      <c r="E29" s="2"/>
      <c r="F29" s="19"/>
      <c r="G29" s="2"/>
      <c r="H29" s="2">
        <f>--16932.18</f>
        <v>16932.18</v>
      </c>
      <c r="I29" s="2"/>
      <c r="J29" s="19"/>
      <c r="K29" s="2"/>
      <c r="L29" s="2">
        <f t="shared" si="0"/>
        <v>-16932.18</v>
      </c>
      <c r="M29" s="2"/>
      <c r="N29" s="19">
        <f t="shared" si="1"/>
        <v>-1</v>
      </c>
      <c r="O29" s="11"/>
      <c r="P29" s="2">
        <f t="shared" si="5"/>
        <v>0</v>
      </c>
      <c r="Q29" s="2"/>
      <c r="R29" s="19"/>
      <c r="S29" s="2"/>
      <c r="T29" s="2">
        <f>--57178.22</f>
        <v>57178.22</v>
      </c>
      <c r="U29" s="2"/>
      <c r="V29" s="19"/>
      <c r="W29" s="2"/>
      <c r="X29" s="2">
        <f t="shared" si="2"/>
        <v>-57178.22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"4044", " - ", "TAXABLE SALES-ACCESSORIES")</f>
        <v xml:space="preserve">          4044 - TAXABLE SALES-ACCESSORIES</v>
      </c>
      <c r="C30" s="11"/>
      <c r="D30" s="2">
        <f t="shared" si="4"/>
        <v>0</v>
      </c>
      <c r="E30" s="2"/>
      <c r="F30" s="19"/>
      <c r="G30" s="2"/>
      <c r="H30" s="2">
        <f>--2517.35</f>
        <v>2517.35</v>
      </c>
      <c r="I30" s="2"/>
      <c r="J30" s="19"/>
      <c r="K30" s="2"/>
      <c r="L30" s="2">
        <f t="shared" si="0"/>
        <v>-2517.35</v>
      </c>
      <c r="M30" s="2"/>
      <c r="N30" s="19">
        <f t="shared" si="1"/>
        <v>-1</v>
      </c>
      <c r="O30" s="11"/>
      <c r="P30" s="2">
        <f t="shared" si="5"/>
        <v>0</v>
      </c>
      <c r="Q30" s="2"/>
      <c r="R30" s="19"/>
      <c r="S30" s="2"/>
      <c r="T30" s="2">
        <f>--15006.51</f>
        <v>15006.51</v>
      </c>
      <c r="U30" s="2"/>
      <c r="V30" s="19"/>
      <c r="W30" s="2"/>
      <c r="X30" s="2">
        <f t="shared" si="2"/>
        <v>-15006.51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"4045", " - ", "TAXABLE SALES-SPECIAL ORDERS")</f>
        <v xml:space="preserve">          4045 - TAXABLE SALES-SPECIAL ORDERS</v>
      </c>
      <c r="C31" s="11"/>
      <c r="D31" s="2">
        <f t="shared" si="4"/>
        <v>0</v>
      </c>
      <c r="E31" s="2"/>
      <c r="F31" s="19"/>
      <c r="G31" s="2"/>
      <c r="H31" s="2">
        <f>--11255.56</f>
        <v>11255.56</v>
      </c>
      <c r="I31" s="2"/>
      <c r="J31" s="19"/>
      <c r="K31" s="2"/>
      <c r="L31" s="2">
        <f t="shared" si="0"/>
        <v>-11255.56</v>
      </c>
      <c r="M31" s="2"/>
      <c r="N31" s="19">
        <f t="shared" si="1"/>
        <v>-1</v>
      </c>
      <c r="O31" s="11"/>
      <c r="P31" s="2">
        <f t="shared" si="5"/>
        <v>0</v>
      </c>
      <c r="Q31" s="2"/>
      <c r="R31" s="19"/>
      <c r="S31" s="2"/>
      <c r="T31" s="2">
        <f>--108212.17</f>
        <v>108212.17</v>
      </c>
      <c r="U31" s="2"/>
      <c r="V31" s="19"/>
      <c r="W31" s="2"/>
      <c r="X31" s="2">
        <f t="shared" si="2"/>
        <v>-108212.17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"4081", " - ", "TAXABLE SALES-ELECTRONICS")</f>
        <v xml:space="preserve">          4081 - TAXABLE SALES-ELECTRONICS</v>
      </c>
      <c r="C32" s="11"/>
      <c r="D32" s="2">
        <f t="shared" si="4"/>
        <v>0</v>
      </c>
      <c r="E32" s="2"/>
      <c r="F32" s="19"/>
      <c r="G32" s="2"/>
      <c r="H32" s="2">
        <f>--973.93</f>
        <v>973.93</v>
      </c>
      <c r="I32" s="2"/>
      <c r="J32" s="19"/>
      <c r="K32" s="2"/>
      <c r="L32" s="2">
        <f t="shared" si="0"/>
        <v>-973.93</v>
      </c>
      <c r="M32" s="2"/>
      <c r="N32" s="19">
        <f t="shared" si="1"/>
        <v>-1</v>
      </c>
      <c r="O32" s="11"/>
      <c r="P32" s="2">
        <f t="shared" si="5"/>
        <v>0</v>
      </c>
      <c r="Q32" s="2"/>
      <c r="R32" s="19"/>
      <c r="S32" s="2"/>
      <c r="T32" s="2">
        <f>--56091.22</f>
        <v>56091.22</v>
      </c>
      <c r="U32" s="2"/>
      <c r="V32" s="19"/>
      <c r="W32" s="2"/>
      <c r="X32" s="2">
        <f t="shared" si="2"/>
        <v>-56091.22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"4082", " - ", "TAXABLE SALES-COMPUTER HARDWAR")</f>
        <v xml:space="preserve">          4082 - TAXABLE SALES-COMPUTER HARDWAR</v>
      </c>
      <c r="C33" s="11"/>
      <c r="D33" s="2">
        <f t="shared" si="4"/>
        <v>0</v>
      </c>
      <c r="E33" s="2"/>
      <c r="F33" s="19"/>
      <c r="G33" s="2"/>
      <c r="H33" s="2">
        <f>--57494.9</f>
        <v>57494.9</v>
      </c>
      <c r="I33" s="2"/>
      <c r="J33" s="19"/>
      <c r="K33" s="2"/>
      <c r="L33" s="2">
        <f t="shared" si="0"/>
        <v>-57494.9</v>
      </c>
      <c r="M33" s="2"/>
      <c r="N33" s="19">
        <f t="shared" si="1"/>
        <v>-1</v>
      </c>
      <c r="O33" s="11"/>
      <c r="P33" s="2">
        <f t="shared" si="5"/>
        <v>0</v>
      </c>
      <c r="Q33" s="2"/>
      <c r="R33" s="19"/>
      <c r="S33" s="2"/>
      <c r="T33" s="2">
        <f>--949594.89</f>
        <v>949594.89</v>
      </c>
      <c r="U33" s="2"/>
      <c r="V33" s="19"/>
      <c r="W33" s="2"/>
      <c r="X33" s="2">
        <f t="shared" si="2"/>
        <v>-949594.89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"4083", " - ", "TAXABLE SALES-COMPUTER EQUIPME")</f>
        <v xml:space="preserve">          4083 - TAXABLE SALES-COMPUTER EQUIPME</v>
      </c>
      <c r="C34" s="11"/>
      <c r="D34" s="2">
        <f t="shared" si="4"/>
        <v>0</v>
      </c>
      <c r="E34" s="2"/>
      <c r="F34" s="19"/>
      <c r="G34" s="2"/>
      <c r="H34" s="2">
        <f>--4805.85</f>
        <v>4805.8500000000004</v>
      </c>
      <c r="I34" s="2"/>
      <c r="J34" s="19"/>
      <c r="K34" s="2"/>
      <c r="L34" s="2">
        <f t="shared" si="0"/>
        <v>-4805.8500000000004</v>
      </c>
      <c r="M34" s="2"/>
      <c r="N34" s="19">
        <f t="shared" si="1"/>
        <v>-1</v>
      </c>
      <c r="O34" s="11"/>
      <c r="P34" s="2">
        <f t="shared" si="5"/>
        <v>0</v>
      </c>
      <c r="Q34" s="2"/>
      <c r="R34" s="19"/>
      <c r="S34" s="2"/>
      <c r="T34" s="2">
        <f>--76860.94</f>
        <v>76860.94</v>
      </c>
      <c r="U34" s="2"/>
      <c r="V34" s="19"/>
      <c r="W34" s="2"/>
      <c r="X34" s="2">
        <f t="shared" si="2"/>
        <v>-76860.94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"4085", " - ", "TAXABLE SALES-SOFTWARE")</f>
        <v xml:space="preserve">          4085 - TAXABLE SALES-SOFTWARE</v>
      </c>
      <c r="C35" s="11"/>
      <c r="D35" s="2">
        <f t="shared" si="4"/>
        <v>0</v>
      </c>
      <c r="E35" s="2"/>
      <c r="F35" s="19"/>
      <c r="G35" s="2"/>
      <c r="H35" s="2">
        <f>--378.99</f>
        <v>378.99</v>
      </c>
      <c r="I35" s="2"/>
      <c r="J35" s="19"/>
      <c r="K35" s="2"/>
      <c r="L35" s="2">
        <f t="shared" si="0"/>
        <v>-378.99</v>
      </c>
      <c r="M35" s="2"/>
      <c r="N35" s="19">
        <f t="shared" si="1"/>
        <v>-1</v>
      </c>
      <c r="O35" s="11"/>
      <c r="P35" s="2">
        <f t="shared" si="5"/>
        <v>0</v>
      </c>
      <c r="Q35" s="2"/>
      <c r="R35" s="19"/>
      <c r="S35" s="2"/>
      <c r="T35" s="2">
        <f>--1499.95</f>
        <v>1499.95</v>
      </c>
      <c r="U35" s="2"/>
      <c r="V35" s="19"/>
      <c r="W35" s="2"/>
      <c r="X35" s="2">
        <f t="shared" si="2"/>
        <v>-1499.95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"4086", " - ", "TAXABLE SALES-COMPUTER SUPPLIE")</f>
        <v xml:space="preserve">          4086 - TAXABLE SALES-COMPUTER SUPPLIE</v>
      </c>
      <c r="C36" s="11"/>
      <c r="D36" s="2">
        <f t="shared" si="4"/>
        <v>0</v>
      </c>
      <c r="E36" s="2"/>
      <c r="F36" s="19"/>
      <c r="G36" s="2"/>
      <c r="H36" s="2">
        <f>--260.94</f>
        <v>260.94</v>
      </c>
      <c r="I36" s="2"/>
      <c r="J36" s="19"/>
      <c r="K36" s="2"/>
      <c r="L36" s="2">
        <f t="shared" si="0"/>
        <v>-260.94</v>
      </c>
      <c r="M36" s="2"/>
      <c r="N36" s="19">
        <f t="shared" si="1"/>
        <v>-1</v>
      </c>
      <c r="O36" s="11"/>
      <c r="P36" s="2">
        <f t="shared" si="5"/>
        <v>0</v>
      </c>
      <c r="Q36" s="2"/>
      <c r="R36" s="19"/>
      <c r="S36" s="2"/>
      <c r="T36" s="2">
        <f>--29627.6</f>
        <v>29627.599999999999</v>
      </c>
      <c r="U36" s="2"/>
      <c r="V36" s="19"/>
      <c r="W36" s="2"/>
      <c r="X36" s="2">
        <f t="shared" si="2"/>
        <v>-29627.599999999999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"4100", " - ", "NON-TAXABLE SALES")</f>
        <v xml:space="preserve">          4100 - NON-TAXABLE SALES</v>
      </c>
      <c r="C37" s="11"/>
      <c r="D37" s="2">
        <f>--84057.97</f>
        <v>84057.97</v>
      </c>
      <c r="E37" s="2"/>
      <c r="F37" s="19"/>
      <c r="G37" s="2"/>
      <c r="H37" s="2">
        <f>--1333.61</f>
        <v>1333.61</v>
      </c>
      <c r="I37" s="2"/>
      <c r="J37" s="19"/>
      <c r="K37" s="2"/>
      <c r="L37" s="2">
        <f t="shared" si="0"/>
        <v>82724.36</v>
      </c>
      <c r="M37" s="2"/>
      <c r="N37" s="19">
        <f t="shared" si="1"/>
        <v>62.030398692271362</v>
      </c>
      <c r="O37" s="11"/>
      <c r="P37" s="2">
        <f>--945694.72</f>
        <v>945694.71999999997</v>
      </c>
      <c r="Q37" s="2"/>
      <c r="R37" s="19"/>
      <c r="S37" s="2"/>
      <c r="T37" s="2">
        <f>--165813.42</f>
        <v>165813.42000000001</v>
      </c>
      <c r="U37" s="2"/>
      <c r="V37" s="19"/>
      <c r="W37" s="2"/>
      <c r="X37" s="2">
        <f t="shared" si="2"/>
        <v>779881.29999999993</v>
      </c>
      <c r="Y37" s="2"/>
      <c r="Z37" s="19">
        <f t="shared" si="3"/>
        <v>4.7033665911962972</v>
      </c>
    </row>
    <row r="38" spans="1:26" s="24" customFormat="1" hidden="1" outlineLevel="1" x14ac:dyDescent="0.3">
      <c r="A38" s="44"/>
      <c r="B38" s="11" t="str">
        <f>CONCATENATE("          ", "4101", " - ", "NON-TAXABLE SALES-NEW TEXT")</f>
        <v xml:space="preserve">          4101 - NON-TAXABLE SALES-NEW TEXT</v>
      </c>
      <c r="C38" s="11"/>
      <c r="D38" s="2">
        <f t="shared" ref="D38:D64" si="8">0</f>
        <v>0</v>
      </c>
      <c r="E38" s="2"/>
      <c r="F38" s="19"/>
      <c r="G38" s="2"/>
      <c r="H38" s="2">
        <f>--1270.83</f>
        <v>1270.83</v>
      </c>
      <c r="I38" s="2"/>
      <c r="J38" s="19"/>
      <c r="K38" s="2"/>
      <c r="L38" s="2">
        <f t="shared" si="0"/>
        <v>-1270.83</v>
      </c>
      <c r="M38" s="2"/>
      <c r="N38" s="19">
        <f t="shared" si="1"/>
        <v>-1</v>
      </c>
      <c r="O38" s="11"/>
      <c r="P38" s="2">
        <f t="shared" ref="P38:P64" si="9">0</f>
        <v>0</v>
      </c>
      <c r="Q38" s="2"/>
      <c r="R38" s="19"/>
      <c r="S38" s="2"/>
      <c r="T38" s="2">
        <f>--78935.72</f>
        <v>78935.72</v>
      </c>
      <c r="U38" s="2"/>
      <c r="V38" s="19"/>
      <c r="W38" s="2"/>
      <c r="X38" s="2">
        <f t="shared" si="2"/>
        <v>-78935.72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"4102", " - ", "NON-TAXABLE SALES-USED TEXT")</f>
        <v xml:space="preserve">          4102 - NON-TAXABLE SALES-USED TEXT</v>
      </c>
      <c r="C39" s="11"/>
      <c r="D39" s="2">
        <f t="shared" si="8"/>
        <v>0</v>
      </c>
      <c r="E39" s="2"/>
      <c r="F39" s="19"/>
      <c r="G39" s="2"/>
      <c r="H39" s="2">
        <f>--320.72</f>
        <v>320.72000000000003</v>
      </c>
      <c r="I39" s="2"/>
      <c r="J39" s="19"/>
      <c r="K39" s="2"/>
      <c r="L39" s="2">
        <f t="shared" si="0"/>
        <v>-320.72000000000003</v>
      </c>
      <c r="M39" s="2"/>
      <c r="N39" s="19">
        <f t="shared" si="1"/>
        <v>-1</v>
      </c>
      <c r="O39" s="11"/>
      <c r="P39" s="2">
        <f t="shared" si="9"/>
        <v>0</v>
      </c>
      <c r="Q39" s="2"/>
      <c r="R39" s="19"/>
      <c r="S39" s="2"/>
      <c r="T39" s="2">
        <f>--33033.19</f>
        <v>33033.19</v>
      </c>
      <c r="U39" s="2"/>
      <c r="V39" s="19"/>
      <c r="W39" s="2"/>
      <c r="X39" s="2">
        <f t="shared" si="2"/>
        <v>-33033.19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"4103", " - ", "NON-TAXABLE SALES-RENTAL TEXT")</f>
        <v xml:space="preserve">          4103 - NON-TAXABLE SALES-RENTAL TEXT</v>
      </c>
      <c r="C40" s="11"/>
      <c r="D40" s="2">
        <f t="shared" si="8"/>
        <v>0</v>
      </c>
      <c r="E40" s="2"/>
      <c r="F40" s="19"/>
      <c r="G40" s="2"/>
      <c r="H40" s="2">
        <f>0</f>
        <v>0</v>
      </c>
      <c r="I40" s="2"/>
      <c r="J40" s="19"/>
      <c r="K40" s="2"/>
      <c r="L40" s="2">
        <f t="shared" si="0"/>
        <v>0</v>
      </c>
      <c r="M40" s="2"/>
      <c r="N40" s="19">
        <f t="shared" si="1"/>
        <v>0</v>
      </c>
      <c r="O40" s="11"/>
      <c r="P40" s="2">
        <f t="shared" si="9"/>
        <v>0</v>
      </c>
      <c r="Q40" s="2"/>
      <c r="R40" s="19"/>
      <c r="S40" s="2"/>
      <c r="T40" s="2">
        <f>--284.97</f>
        <v>284.97000000000003</v>
      </c>
      <c r="U40" s="2"/>
      <c r="V40" s="19"/>
      <c r="W40" s="2"/>
      <c r="X40" s="2">
        <f t="shared" si="2"/>
        <v>-284.97000000000003</v>
      </c>
      <c r="Y40" s="2"/>
      <c r="Z40" s="19">
        <f t="shared" si="3"/>
        <v>-1</v>
      </c>
    </row>
    <row r="41" spans="1:26" s="24" customFormat="1" hidden="1" outlineLevel="1" x14ac:dyDescent="0.3">
      <c r="A41" s="44"/>
      <c r="B41" s="11" t="str">
        <f>CONCATENATE("          ", "4104", " - ", "NON-TAXABLE SALES-DIGITAL TEXT")</f>
        <v xml:space="preserve">          4104 - NON-TAXABLE SALES-DIGITAL TEXT</v>
      </c>
      <c r="C41" s="11"/>
      <c r="D41" s="2">
        <f t="shared" si="8"/>
        <v>0</v>
      </c>
      <c r="E41" s="2"/>
      <c r="F41" s="19"/>
      <c r="G41" s="2"/>
      <c r="H41" s="2">
        <f>--1414.19</f>
        <v>1414.19</v>
      </c>
      <c r="I41" s="2"/>
      <c r="J41" s="19"/>
      <c r="K41" s="2"/>
      <c r="L41" s="2">
        <f t="shared" si="0"/>
        <v>-1414.19</v>
      </c>
      <c r="M41" s="2"/>
      <c r="N41" s="19">
        <f t="shared" si="1"/>
        <v>-1</v>
      </c>
      <c r="O41" s="11"/>
      <c r="P41" s="2">
        <f t="shared" si="9"/>
        <v>0</v>
      </c>
      <c r="Q41" s="2"/>
      <c r="R41" s="19"/>
      <c r="S41" s="2"/>
      <c r="T41" s="2">
        <f>--294889.71</f>
        <v>294889.71000000002</v>
      </c>
      <c r="U41" s="2"/>
      <c r="V41" s="19"/>
      <c r="W41" s="2"/>
      <c r="X41" s="2">
        <f t="shared" si="2"/>
        <v>-294889.71000000002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"4113", " - ", "NON-TAXABLE SALES-TRADE BOOKS")</f>
        <v xml:space="preserve">          4113 - NON-TAXABLE SALES-TRADE BOOKS</v>
      </c>
      <c r="C42" s="11"/>
      <c r="D42" s="2">
        <f t="shared" si="8"/>
        <v>0</v>
      </c>
      <c r="E42" s="2"/>
      <c r="F42" s="19"/>
      <c r="G42" s="2"/>
      <c r="H42" s="2">
        <f>--630</f>
        <v>630</v>
      </c>
      <c r="I42" s="2"/>
      <c r="J42" s="19"/>
      <c r="K42" s="2"/>
      <c r="L42" s="2">
        <f t="shared" si="0"/>
        <v>-630</v>
      </c>
      <c r="M42" s="2"/>
      <c r="N42" s="19">
        <f t="shared" si="1"/>
        <v>-1</v>
      </c>
      <c r="O42" s="11"/>
      <c r="P42" s="2">
        <f t="shared" si="9"/>
        <v>0</v>
      </c>
      <c r="Q42" s="2"/>
      <c r="R42" s="19"/>
      <c r="S42" s="2"/>
      <c r="T42" s="2">
        <f>--2285.95</f>
        <v>2285.9499999999998</v>
      </c>
      <c r="U42" s="2"/>
      <c r="V42" s="19"/>
      <c r="W42" s="2"/>
      <c r="X42" s="2">
        <f t="shared" si="2"/>
        <v>-2285.9499999999998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"4118", " - ", "NON-TAXABLE SALES-STUDY GUIDES")</f>
        <v xml:space="preserve">          4118 - NON-TAXABLE SALES-STUDY GUIDES</v>
      </c>
      <c r="C43" s="11"/>
      <c r="D43" s="2">
        <f t="shared" si="8"/>
        <v>0</v>
      </c>
      <c r="E43" s="2"/>
      <c r="F43" s="19"/>
      <c r="G43" s="2"/>
      <c r="H43" s="2">
        <f>--27.8</f>
        <v>27.8</v>
      </c>
      <c r="I43" s="2"/>
      <c r="J43" s="19"/>
      <c r="K43" s="2"/>
      <c r="L43" s="2">
        <f t="shared" si="0"/>
        <v>-27.8</v>
      </c>
      <c r="M43" s="2"/>
      <c r="N43" s="19">
        <f t="shared" si="1"/>
        <v>-1</v>
      </c>
      <c r="O43" s="11"/>
      <c r="P43" s="2">
        <f t="shared" si="9"/>
        <v>0</v>
      </c>
      <c r="Q43" s="2"/>
      <c r="R43" s="19"/>
      <c r="S43" s="2"/>
      <c r="T43" s="2">
        <f>--233.43</f>
        <v>233.43</v>
      </c>
      <c r="U43" s="2"/>
      <c r="V43" s="19"/>
      <c r="W43" s="2"/>
      <c r="X43" s="2">
        <f t="shared" si="2"/>
        <v>-233.43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"4126", " - ", "NON-TAXABLE SALES-WRITING INST")</f>
        <v xml:space="preserve">          4126 - NON-TAXABLE SALES-WRITING INST</v>
      </c>
      <c r="C44" s="11"/>
      <c r="D44" s="2">
        <f t="shared" si="8"/>
        <v>0</v>
      </c>
      <c r="E44" s="2"/>
      <c r="F44" s="19"/>
      <c r="G44" s="2"/>
      <c r="H44" s="2">
        <f>0</f>
        <v>0</v>
      </c>
      <c r="I44" s="2"/>
      <c r="J44" s="19"/>
      <c r="K44" s="2"/>
      <c r="L44" s="2">
        <f t="shared" si="0"/>
        <v>0</v>
      </c>
      <c r="M44" s="2"/>
      <c r="N44" s="19">
        <f t="shared" si="1"/>
        <v>0</v>
      </c>
      <c r="O44" s="11"/>
      <c r="P44" s="2">
        <f t="shared" si="9"/>
        <v>0</v>
      </c>
      <c r="Q44" s="2"/>
      <c r="R44" s="19"/>
      <c r="S44" s="2"/>
      <c r="T44" s="2">
        <f>--52.68</f>
        <v>52.68</v>
      </c>
      <c r="U44" s="2"/>
      <c r="V44" s="19"/>
      <c r="W44" s="2"/>
      <c r="X44" s="2">
        <f t="shared" si="2"/>
        <v>-52.68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"4127", " - ", "NON-TAXABLE SALES-SCHOOL SUPPL")</f>
        <v xml:space="preserve">          4127 - NON-TAXABLE SALES-SCHOOL SUPPL</v>
      </c>
      <c r="C45" s="11"/>
      <c r="D45" s="2">
        <f t="shared" si="8"/>
        <v>0</v>
      </c>
      <c r="E45" s="2"/>
      <c r="F45" s="19"/>
      <c r="G45" s="2"/>
      <c r="H45" s="2">
        <f>--114.89</f>
        <v>114.89</v>
      </c>
      <c r="I45" s="2"/>
      <c r="J45" s="19"/>
      <c r="K45" s="2"/>
      <c r="L45" s="2">
        <f t="shared" si="0"/>
        <v>-114.89</v>
      </c>
      <c r="M45" s="2"/>
      <c r="N45" s="19">
        <f t="shared" si="1"/>
        <v>-1</v>
      </c>
      <c r="O45" s="11"/>
      <c r="P45" s="2">
        <f t="shared" si="9"/>
        <v>0</v>
      </c>
      <c r="Q45" s="2"/>
      <c r="R45" s="19"/>
      <c r="S45" s="2"/>
      <c r="T45" s="2">
        <f>--2946.58</f>
        <v>2946.58</v>
      </c>
      <c r="U45" s="2"/>
      <c r="V45" s="19"/>
      <c r="W45" s="2"/>
      <c r="X45" s="2">
        <f t="shared" si="2"/>
        <v>-2946.58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"4128", " - ", "NON-TAXABLE SALES-ART/TECH")</f>
        <v xml:space="preserve">          4128 - NON-TAXABLE SALES-ART/TECH</v>
      </c>
      <c r="C46" s="11"/>
      <c r="D46" s="2">
        <f t="shared" si="8"/>
        <v>0</v>
      </c>
      <c r="E46" s="2"/>
      <c r="F46" s="19"/>
      <c r="G46" s="2"/>
      <c r="H46" s="2">
        <f>--24.78</f>
        <v>24.78</v>
      </c>
      <c r="I46" s="2"/>
      <c r="J46" s="19"/>
      <c r="K46" s="2"/>
      <c r="L46" s="2">
        <f t="shared" si="0"/>
        <v>-24.78</v>
      </c>
      <c r="M46" s="2"/>
      <c r="N46" s="19">
        <f t="shared" si="1"/>
        <v>-1</v>
      </c>
      <c r="O46" s="11"/>
      <c r="P46" s="2">
        <f t="shared" si="9"/>
        <v>0</v>
      </c>
      <c r="Q46" s="2"/>
      <c r="R46" s="19"/>
      <c r="S46" s="2"/>
      <c r="T46" s="2">
        <f>--24.78</f>
        <v>24.78</v>
      </c>
      <c r="U46" s="2"/>
      <c r="V46" s="19"/>
      <c r="W46" s="2"/>
      <c r="X46" s="2">
        <f t="shared" si="2"/>
        <v>-24.78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"4131", " - ", "NON-TAXABLE SALES-FOOD")</f>
        <v xml:space="preserve">          4131 - NON-TAXABLE SALES-FOOD</v>
      </c>
      <c r="C47" s="11"/>
      <c r="D47" s="2">
        <f t="shared" si="8"/>
        <v>0</v>
      </c>
      <c r="E47" s="2"/>
      <c r="F47" s="19"/>
      <c r="G47" s="2"/>
      <c r="H47" s="2">
        <f>--983.89</f>
        <v>983.89</v>
      </c>
      <c r="I47" s="2"/>
      <c r="J47" s="19"/>
      <c r="K47" s="2"/>
      <c r="L47" s="2">
        <f t="shared" si="0"/>
        <v>-983.89</v>
      </c>
      <c r="M47" s="2"/>
      <c r="N47" s="19">
        <f t="shared" si="1"/>
        <v>-1</v>
      </c>
      <c r="O47" s="11"/>
      <c r="P47" s="2">
        <f t="shared" si="9"/>
        <v>0</v>
      </c>
      <c r="Q47" s="2"/>
      <c r="R47" s="19"/>
      <c r="S47" s="2"/>
      <c r="T47" s="2">
        <f>--6509.33</f>
        <v>6509.33</v>
      </c>
      <c r="U47" s="2"/>
      <c r="V47" s="19"/>
      <c r="W47" s="2"/>
      <c r="X47" s="2">
        <f t="shared" si="2"/>
        <v>-6509.33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"4132", " - ", "NON-TAXABLE SALES-JUICE")</f>
        <v xml:space="preserve">          4132 - NON-TAXABLE SALES-JUICE</v>
      </c>
      <c r="C48" s="11"/>
      <c r="D48" s="2">
        <f t="shared" si="8"/>
        <v>0</v>
      </c>
      <c r="E48" s="2"/>
      <c r="F48" s="19"/>
      <c r="G48" s="2"/>
      <c r="H48" s="2">
        <f t="shared" ref="H48:H51" si="10">0</f>
        <v>0</v>
      </c>
      <c r="I48" s="2"/>
      <c r="J48" s="19"/>
      <c r="K48" s="2"/>
      <c r="L48" s="2">
        <f t="shared" si="0"/>
        <v>0</v>
      </c>
      <c r="M48" s="2"/>
      <c r="N48" s="19">
        <f t="shared" si="1"/>
        <v>0</v>
      </c>
      <c r="O48" s="11"/>
      <c r="P48" s="2">
        <f t="shared" si="9"/>
        <v>0</v>
      </c>
      <c r="Q48" s="2"/>
      <c r="R48" s="19"/>
      <c r="S48" s="2"/>
      <c r="T48" s="2">
        <f>--22.49</f>
        <v>22.49</v>
      </c>
      <c r="U48" s="2"/>
      <c r="V48" s="19"/>
      <c r="W48" s="2"/>
      <c r="X48" s="2">
        <f t="shared" si="2"/>
        <v>-22.49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"4133", " - ", "NON-TAXABLE SALES-CANDY")</f>
        <v xml:space="preserve">          4133 - NON-TAXABLE SALES-CANDY</v>
      </c>
      <c r="C49" s="11"/>
      <c r="D49" s="2">
        <f t="shared" si="8"/>
        <v>0</v>
      </c>
      <c r="E49" s="2"/>
      <c r="F49" s="19"/>
      <c r="G49" s="2"/>
      <c r="H49" s="2">
        <f t="shared" si="10"/>
        <v>0</v>
      </c>
      <c r="I49" s="2"/>
      <c r="J49" s="19"/>
      <c r="K49" s="2"/>
      <c r="L49" s="2">
        <f t="shared" si="0"/>
        <v>0</v>
      </c>
      <c r="M49" s="2"/>
      <c r="N49" s="19">
        <f t="shared" si="1"/>
        <v>0</v>
      </c>
      <c r="O49" s="11"/>
      <c r="P49" s="2">
        <f t="shared" si="9"/>
        <v>0</v>
      </c>
      <c r="Q49" s="2"/>
      <c r="R49" s="19"/>
      <c r="S49" s="2"/>
      <c r="T49" s="2">
        <f>--80.71</f>
        <v>80.709999999999994</v>
      </c>
      <c r="U49" s="2"/>
      <c r="V49" s="19"/>
      <c r="W49" s="2"/>
      <c r="X49" s="2">
        <f t="shared" si="2"/>
        <v>-80.709999999999994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"4134", " - ", "NON-TAXABLE SALES-SODA")</f>
        <v xml:space="preserve">          4134 - NON-TAXABLE SALES-SODA</v>
      </c>
      <c r="C50" s="11"/>
      <c r="D50" s="2">
        <f t="shared" si="8"/>
        <v>0</v>
      </c>
      <c r="E50" s="2"/>
      <c r="F50" s="19"/>
      <c r="G50" s="2"/>
      <c r="H50" s="2">
        <f t="shared" si="10"/>
        <v>0</v>
      </c>
      <c r="I50" s="2"/>
      <c r="J50" s="19"/>
      <c r="K50" s="2"/>
      <c r="L50" s="2">
        <f t="shared" si="0"/>
        <v>0</v>
      </c>
      <c r="M50" s="2"/>
      <c r="N50" s="19">
        <f t="shared" si="1"/>
        <v>0</v>
      </c>
      <c r="O50" s="11"/>
      <c r="P50" s="2">
        <f t="shared" si="9"/>
        <v>0</v>
      </c>
      <c r="Q50" s="2"/>
      <c r="R50" s="19"/>
      <c r="S50" s="2"/>
      <c r="T50" s="2">
        <f>--45.53</f>
        <v>45.53</v>
      </c>
      <c r="U50" s="2"/>
      <c r="V50" s="19"/>
      <c r="W50" s="2"/>
      <c r="X50" s="2">
        <f t="shared" si="2"/>
        <v>-45.53</v>
      </c>
      <c r="Y50" s="2"/>
      <c r="Z50" s="19">
        <f t="shared" si="3"/>
        <v>-1</v>
      </c>
    </row>
    <row r="51" spans="1:26" s="24" customFormat="1" hidden="1" outlineLevel="1" x14ac:dyDescent="0.3">
      <c r="A51" s="44"/>
      <c r="B51" s="11" t="str">
        <f>CONCATENATE("          ", "4137", " - ", "NON-TAXABLE SALES-WATER")</f>
        <v xml:space="preserve">          4137 - NON-TAXABLE SALES-WATER</v>
      </c>
      <c r="C51" s="11"/>
      <c r="D51" s="2">
        <f t="shared" si="8"/>
        <v>0</v>
      </c>
      <c r="E51" s="2"/>
      <c r="F51" s="19"/>
      <c r="G51" s="2"/>
      <c r="H51" s="2">
        <f t="shared" si="10"/>
        <v>0</v>
      </c>
      <c r="I51" s="2"/>
      <c r="J51" s="19"/>
      <c r="K51" s="2"/>
      <c r="L51" s="2">
        <f t="shared" si="0"/>
        <v>0</v>
      </c>
      <c r="M51" s="2"/>
      <c r="N51" s="19">
        <f t="shared" si="1"/>
        <v>0</v>
      </c>
      <c r="O51" s="11"/>
      <c r="P51" s="2">
        <f t="shared" si="9"/>
        <v>0</v>
      </c>
      <c r="Q51" s="2"/>
      <c r="R51" s="19"/>
      <c r="S51" s="2"/>
      <c r="T51" s="2">
        <f>--68.25</f>
        <v>68.25</v>
      </c>
      <c r="U51" s="2"/>
      <c r="V51" s="19"/>
      <c r="W51" s="2"/>
      <c r="X51" s="2">
        <f t="shared" si="2"/>
        <v>-68.25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"4140", " - ", "NON-TAXABLE SALES-LOGO CLOTHIN")</f>
        <v xml:space="preserve">          4140 - NON-TAXABLE SALES-LOGO CLOTHIN</v>
      </c>
      <c r="C52" s="11"/>
      <c r="D52" s="2">
        <f t="shared" si="8"/>
        <v>0</v>
      </c>
      <c r="E52" s="2"/>
      <c r="F52" s="19"/>
      <c r="G52" s="2"/>
      <c r="H52" s="2">
        <f>--19704.79</f>
        <v>19704.79</v>
      </c>
      <c r="I52" s="2"/>
      <c r="J52" s="19"/>
      <c r="K52" s="2"/>
      <c r="L52" s="2">
        <f t="shared" si="0"/>
        <v>-19704.79</v>
      </c>
      <c r="M52" s="2"/>
      <c r="N52" s="19">
        <f t="shared" si="1"/>
        <v>-1</v>
      </c>
      <c r="O52" s="11"/>
      <c r="P52" s="2">
        <f t="shared" si="9"/>
        <v>0</v>
      </c>
      <c r="Q52" s="2"/>
      <c r="R52" s="19"/>
      <c r="S52" s="2"/>
      <c r="T52" s="2">
        <f>--50320.27</f>
        <v>50320.27</v>
      </c>
      <c r="U52" s="2"/>
      <c r="V52" s="19"/>
      <c r="W52" s="2"/>
      <c r="X52" s="2">
        <f t="shared" si="2"/>
        <v>-50320.27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"4141", " - ", "NON-TAXABLE SALES-LOGO GIFTS")</f>
        <v xml:space="preserve">          4141 - NON-TAXABLE SALES-LOGO GIFTS</v>
      </c>
      <c r="C53" s="11"/>
      <c r="D53" s="2">
        <f t="shared" si="8"/>
        <v>0</v>
      </c>
      <c r="E53" s="2"/>
      <c r="F53" s="19"/>
      <c r="G53" s="2"/>
      <c r="H53" s="2">
        <f>--806.32</f>
        <v>806.32</v>
      </c>
      <c r="I53" s="2"/>
      <c r="J53" s="19"/>
      <c r="K53" s="2"/>
      <c r="L53" s="2">
        <f t="shared" si="0"/>
        <v>-806.32</v>
      </c>
      <c r="M53" s="2"/>
      <c r="N53" s="19">
        <f t="shared" si="1"/>
        <v>-1</v>
      </c>
      <c r="O53" s="11"/>
      <c r="P53" s="2">
        <f t="shared" si="9"/>
        <v>0</v>
      </c>
      <c r="Q53" s="2"/>
      <c r="R53" s="19"/>
      <c r="S53" s="2"/>
      <c r="T53" s="2">
        <f>--4189.02</f>
        <v>4189.0200000000004</v>
      </c>
      <c r="U53" s="2"/>
      <c r="V53" s="19"/>
      <c r="W53" s="2"/>
      <c r="X53" s="2">
        <f t="shared" si="2"/>
        <v>-4189.0200000000004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"4142", " - ", "NON-TAXABLE SALES-EVERYDAY GIF")</f>
        <v xml:space="preserve">          4142 - NON-TAXABLE SALES-EVERYDAY GIF</v>
      </c>
      <c r="C54" s="11"/>
      <c r="D54" s="2">
        <f t="shared" si="8"/>
        <v>0</v>
      </c>
      <c r="E54" s="2"/>
      <c r="F54" s="19"/>
      <c r="G54" s="2"/>
      <c r="H54" s="2">
        <f>--887.78</f>
        <v>887.78</v>
      </c>
      <c r="I54" s="2"/>
      <c r="J54" s="19"/>
      <c r="K54" s="2"/>
      <c r="L54" s="2">
        <f t="shared" si="0"/>
        <v>-887.78</v>
      </c>
      <c r="M54" s="2"/>
      <c r="N54" s="19">
        <f t="shared" si="1"/>
        <v>-1</v>
      </c>
      <c r="O54" s="11"/>
      <c r="P54" s="2">
        <f t="shared" si="9"/>
        <v>0</v>
      </c>
      <c r="Q54" s="2"/>
      <c r="R54" s="19"/>
      <c r="S54" s="2"/>
      <c r="T54" s="2">
        <f>--2208.19</f>
        <v>2208.19</v>
      </c>
      <c r="U54" s="2"/>
      <c r="V54" s="19"/>
      <c r="W54" s="2"/>
      <c r="X54" s="2">
        <f t="shared" si="2"/>
        <v>-2208.19</v>
      </c>
      <c r="Y54" s="2"/>
      <c r="Z54" s="19">
        <f t="shared" si="3"/>
        <v>-1</v>
      </c>
    </row>
    <row r="55" spans="1:26" s="24" customFormat="1" hidden="1" outlineLevel="1" x14ac:dyDescent="0.3">
      <c r="A55" s="44"/>
      <c r="B55" s="11" t="str">
        <f>CONCATENATE("          ", "4143", " - ", "NON-TAXABLE SALES-CARDS")</f>
        <v xml:space="preserve">          4143 - NON-TAXABLE SALES-CARDS</v>
      </c>
      <c r="C55" s="11"/>
      <c r="D55" s="2">
        <f t="shared" si="8"/>
        <v>0</v>
      </c>
      <c r="E55" s="2"/>
      <c r="F55" s="19"/>
      <c r="G55" s="2"/>
      <c r="H55" s="2">
        <f>--9.99</f>
        <v>9.99</v>
      </c>
      <c r="I55" s="2"/>
      <c r="J55" s="19"/>
      <c r="K55" s="2"/>
      <c r="L55" s="2">
        <f t="shared" si="0"/>
        <v>-9.99</v>
      </c>
      <c r="M55" s="2"/>
      <c r="N55" s="19">
        <f t="shared" si="1"/>
        <v>-1</v>
      </c>
      <c r="O55" s="11"/>
      <c r="P55" s="2">
        <f t="shared" si="9"/>
        <v>0</v>
      </c>
      <c r="Q55" s="2"/>
      <c r="R55" s="19"/>
      <c r="S55" s="2"/>
      <c r="T55" s="2">
        <f>--39.96</f>
        <v>39.96</v>
      </c>
      <c r="U55" s="2"/>
      <c r="V55" s="19"/>
      <c r="W55" s="2"/>
      <c r="X55" s="2">
        <f t="shared" si="2"/>
        <v>-39.96</v>
      </c>
      <c r="Y55" s="2"/>
      <c r="Z55" s="19">
        <f t="shared" si="3"/>
        <v>-1</v>
      </c>
    </row>
    <row r="56" spans="1:26" s="24" customFormat="1" hidden="1" outlineLevel="1" x14ac:dyDescent="0.3">
      <c r="A56" s="44"/>
      <c r="B56" s="11" t="str">
        <f>CONCATENATE("          ", "4144", " - ", "NON-TAXABLE SALES-ACCESSORIES")</f>
        <v xml:space="preserve">          4144 - NON-TAXABLE SALES-ACCESSORIES</v>
      </c>
      <c r="C56" s="11"/>
      <c r="D56" s="2">
        <f t="shared" si="8"/>
        <v>0</v>
      </c>
      <c r="E56" s="2"/>
      <c r="F56" s="19"/>
      <c r="G56" s="2"/>
      <c r="H56" s="2">
        <f>--19.95</f>
        <v>19.95</v>
      </c>
      <c r="I56" s="2"/>
      <c r="J56" s="19"/>
      <c r="K56" s="2"/>
      <c r="L56" s="2">
        <f t="shared" si="0"/>
        <v>-19.95</v>
      </c>
      <c r="M56" s="2"/>
      <c r="N56" s="19">
        <f t="shared" si="1"/>
        <v>-1</v>
      </c>
      <c r="O56" s="11"/>
      <c r="P56" s="2">
        <f t="shared" si="9"/>
        <v>0</v>
      </c>
      <c r="Q56" s="2"/>
      <c r="R56" s="19"/>
      <c r="S56" s="2"/>
      <c r="T56" s="2">
        <f>--389.7</f>
        <v>389.7</v>
      </c>
      <c r="U56" s="2"/>
      <c r="V56" s="19"/>
      <c r="W56" s="2"/>
      <c r="X56" s="2">
        <f t="shared" si="2"/>
        <v>-389.7</v>
      </c>
      <c r="Y56" s="2"/>
      <c r="Z56" s="19">
        <f t="shared" si="3"/>
        <v>-1</v>
      </c>
    </row>
    <row r="57" spans="1:26" s="24" customFormat="1" hidden="1" outlineLevel="1" x14ac:dyDescent="0.3">
      <c r="A57" s="44"/>
      <c r="B57" s="11" t="str">
        <f>CONCATENATE("          ", "4145", " - ", "NON-TAXABLE SALES-SPECIAL ORDE")</f>
        <v xml:space="preserve">          4145 - NON-TAXABLE SALES-SPECIAL ORDE</v>
      </c>
      <c r="C57" s="11"/>
      <c r="D57" s="2">
        <f t="shared" si="8"/>
        <v>0</v>
      </c>
      <c r="E57" s="2"/>
      <c r="F57" s="19"/>
      <c r="G57" s="2"/>
      <c r="H57" s="2">
        <f>--2800</f>
        <v>2800</v>
      </c>
      <c r="I57" s="2"/>
      <c r="J57" s="19"/>
      <c r="K57" s="2"/>
      <c r="L57" s="2">
        <f t="shared" si="0"/>
        <v>-2800</v>
      </c>
      <c r="M57" s="2"/>
      <c r="N57" s="19">
        <f t="shared" si="1"/>
        <v>-1</v>
      </c>
      <c r="O57" s="11"/>
      <c r="P57" s="2">
        <f t="shared" si="9"/>
        <v>0</v>
      </c>
      <c r="Q57" s="2"/>
      <c r="R57" s="19"/>
      <c r="S57" s="2"/>
      <c r="T57" s="2">
        <f>--38646</f>
        <v>38646</v>
      </c>
      <c r="U57" s="2"/>
      <c r="V57" s="19"/>
      <c r="W57" s="2"/>
      <c r="X57" s="2">
        <f t="shared" si="2"/>
        <v>-38646</v>
      </c>
      <c r="Y57" s="2"/>
      <c r="Z57" s="19">
        <f t="shared" si="3"/>
        <v>-1</v>
      </c>
    </row>
    <row r="58" spans="1:26" s="24" customFormat="1" hidden="1" outlineLevel="1" x14ac:dyDescent="0.3">
      <c r="A58" s="44"/>
      <c r="B58" s="11" t="str">
        <f>CONCATENATE("          ", "4146", " - ", "NON-TAXABLE SALES-COIN OP MACH")</f>
        <v xml:space="preserve">          4146 - NON-TAXABLE SALES-COIN OP MACH</v>
      </c>
      <c r="C58" s="11"/>
      <c r="D58" s="2">
        <f t="shared" si="8"/>
        <v>0</v>
      </c>
      <c r="E58" s="2"/>
      <c r="F58" s="19"/>
      <c r="G58" s="2"/>
      <c r="H58" s="2">
        <f>--21.5</f>
        <v>21.5</v>
      </c>
      <c r="I58" s="2"/>
      <c r="J58" s="19"/>
      <c r="K58" s="2"/>
      <c r="L58" s="2">
        <f t="shared" si="0"/>
        <v>-21.5</v>
      </c>
      <c r="M58" s="2"/>
      <c r="N58" s="19">
        <f t="shared" si="1"/>
        <v>-1</v>
      </c>
      <c r="O58" s="11"/>
      <c r="P58" s="2">
        <f t="shared" si="9"/>
        <v>0</v>
      </c>
      <c r="Q58" s="2"/>
      <c r="R58" s="19"/>
      <c r="S58" s="2"/>
      <c r="T58" s="2">
        <f>--108</f>
        <v>108</v>
      </c>
      <c r="U58" s="2"/>
      <c r="V58" s="19"/>
      <c r="W58" s="2"/>
      <c r="X58" s="2">
        <f t="shared" si="2"/>
        <v>-108</v>
      </c>
      <c r="Y58" s="2"/>
      <c r="Z58" s="19">
        <f t="shared" si="3"/>
        <v>-1</v>
      </c>
    </row>
    <row r="59" spans="1:26" s="24" customFormat="1" hidden="1" outlineLevel="1" x14ac:dyDescent="0.3">
      <c r="A59" s="44"/>
      <c r="B59" s="11" t="str">
        <f>CONCATENATE("          ", "4147", " - ", "NON-TAXABLE SALES-MISC")</f>
        <v xml:space="preserve">          4147 - NON-TAXABLE SALES-MISC</v>
      </c>
      <c r="C59" s="11"/>
      <c r="D59" s="2">
        <f t="shared" si="8"/>
        <v>0</v>
      </c>
      <c r="E59" s="2"/>
      <c r="F59" s="19"/>
      <c r="G59" s="2"/>
      <c r="H59" s="2">
        <f>--5</f>
        <v>5</v>
      </c>
      <c r="I59" s="2"/>
      <c r="J59" s="19"/>
      <c r="K59" s="2"/>
      <c r="L59" s="2">
        <f t="shared" si="0"/>
        <v>-5</v>
      </c>
      <c r="M59" s="2"/>
      <c r="N59" s="19">
        <f t="shared" si="1"/>
        <v>-1</v>
      </c>
      <c r="O59" s="11"/>
      <c r="P59" s="2">
        <f t="shared" si="9"/>
        <v>0</v>
      </c>
      <c r="Q59" s="2"/>
      <c r="R59" s="19"/>
      <c r="S59" s="2"/>
      <c r="T59" s="2">
        <f>--91.5</f>
        <v>91.5</v>
      </c>
      <c r="U59" s="2"/>
      <c r="V59" s="19"/>
      <c r="W59" s="2"/>
      <c r="X59" s="2">
        <f t="shared" si="2"/>
        <v>-91.5</v>
      </c>
      <c r="Y59" s="2"/>
      <c r="Z59" s="19">
        <f t="shared" si="3"/>
        <v>-1</v>
      </c>
    </row>
    <row r="60" spans="1:26" s="24" customFormat="1" hidden="1" outlineLevel="1" x14ac:dyDescent="0.3">
      <c r="A60" s="44"/>
      <c r="B60" s="11" t="str">
        <f>CONCATENATE("          ", "4181", " - ", "NON-TAXABLE SALES-ELECTRONICS")</f>
        <v xml:space="preserve">          4181 - NON-TAXABLE SALES-ELECTRONICS</v>
      </c>
      <c r="C60" s="11"/>
      <c r="D60" s="2">
        <f t="shared" si="8"/>
        <v>0</v>
      </c>
      <c r="E60" s="2"/>
      <c r="F60" s="19"/>
      <c r="G60" s="2"/>
      <c r="H60" s="2">
        <f>--29.99</f>
        <v>29.99</v>
      </c>
      <c r="I60" s="2"/>
      <c r="J60" s="19"/>
      <c r="K60" s="2"/>
      <c r="L60" s="2">
        <f t="shared" si="0"/>
        <v>-29.99</v>
      </c>
      <c r="M60" s="2"/>
      <c r="N60" s="19">
        <f t="shared" si="1"/>
        <v>-1</v>
      </c>
      <c r="O60" s="11"/>
      <c r="P60" s="2">
        <f t="shared" si="9"/>
        <v>0</v>
      </c>
      <c r="Q60" s="2"/>
      <c r="R60" s="19"/>
      <c r="S60" s="2"/>
      <c r="T60" s="2">
        <f>--3534.12</f>
        <v>3534.12</v>
      </c>
      <c r="U60" s="2"/>
      <c r="V60" s="19"/>
      <c r="W60" s="2"/>
      <c r="X60" s="2">
        <f t="shared" si="2"/>
        <v>-3534.12</v>
      </c>
      <c r="Y60" s="2"/>
      <c r="Z60" s="19">
        <f t="shared" si="3"/>
        <v>-1</v>
      </c>
    </row>
    <row r="61" spans="1:26" s="24" customFormat="1" hidden="1" outlineLevel="1" x14ac:dyDescent="0.3">
      <c r="A61" s="44"/>
      <c r="B61" s="11" t="str">
        <f>CONCATENATE("          ", "4182", " - ", "NON-TAXABLE SALES-COMPUTER HAR")</f>
        <v xml:space="preserve">          4182 - NON-TAXABLE SALES-COMPUTER HAR</v>
      </c>
      <c r="C61" s="11"/>
      <c r="D61" s="2">
        <f t="shared" si="8"/>
        <v>0</v>
      </c>
      <c r="E61" s="2"/>
      <c r="F61" s="19"/>
      <c r="G61" s="2"/>
      <c r="H61" s="2">
        <f>--9499.97</f>
        <v>9499.9699999999993</v>
      </c>
      <c r="I61" s="2"/>
      <c r="J61" s="19"/>
      <c r="K61" s="2"/>
      <c r="L61" s="2">
        <f t="shared" si="0"/>
        <v>-9499.9699999999993</v>
      </c>
      <c r="M61" s="2"/>
      <c r="N61" s="19">
        <f t="shared" si="1"/>
        <v>-1</v>
      </c>
      <c r="O61" s="11"/>
      <c r="P61" s="2">
        <f t="shared" si="9"/>
        <v>0</v>
      </c>
      <c r="Q61" s="2"/>
      <c r="R61" s="19"/>
      <c r="S61" s="2"/>
      <c r="T61" s="2">
        <f>--154794.35</f>
        <v>154794.35</v>
      </c>
      <c r="U61" s="2"/>
      <c r="V61" s="19"/>
      <c r="W61" s="2"/>
      <c r="X61" s="2">
        <f t="shared" si="2"/>
        <v>-154794.35</v>
      </c>
      <c r="Y61" s="2"/>
      <c r="Z61" s="19">
        <f t="shared" si="3"/>
        <v>-1</v>
      </c>
    </row>
    <row r="62" spans="1:26" s="24" customFormat="1" hidden="1" outlineLevel="1" x14ac:dyDescent="0.3">
      <c r="A62" s="44"/>
      <c r="B62" s="11" t="str">
        <f>CONCATENATE("          ", "4183", " - ", "NON-TAXABLE SALES-COMPUTER EQU")</f>
        <v xml:space="preserve">          4183 - NON-TAXABLE SALES-COMPUTER EQU</v>
      </c>
      <c r="C62" s="11"/>
      <c r="D62" s="2">
        <f t="shared" si="8"/>
        <v>0</v>
      </c>
      <c r="E62" s="2"/>
      <c r="F62" s="19"/>
      <c r="G62" s="2"/>
      <c r="H62" s="2">
        <f>--1033.89</f>
        <v>1033.8900000000001</v>
      </c>
      <c r="I62" s="2"/>
      <c r="J62" s="19"/>
      <c r="K62" s="2"/>
      <c r="L62" s="2">
        <f t="shared" si="0"/>
        <v>-1033.8900000000001</v>
      </c>
      <c r="M62" s="2"/>
      <c r="N62" s="19">
        <f t="shared" si="1"/>
        <v>-1</v>
      </c>
      <c r="O62" s="11"/>
      <c r="P62" s="2">
        <f t="shared" si="9"/>
        <v>0</v>
      </c>
      <c r="Q62" s="2"/>
      <c r="R62" s="19"/>
      <c r="S62" s="2"/>
      <c r="T62" s="2">
        <f>--7370.28</f>
        <v>7370.28</v>
      </c>
      <c r="U62" s="2"/>
      <c r="V62" s="19"/>
      <c r="W62" s="2"/>
      <c r="X62" s="2">
        <f t="shared" si="2"/>
        <v>-7370.28</v>
      </c>
      <c r="Y62" s="2"/>
      <c r="Z62" s="19">
        <f t="shared" si="3"/>
        <v>-1</v>
      </c>
    </row>
    <row r="63" spans="1:26" s="24" customFormat="1" hidden="1" outlineLevel="1" x14ac:dyDescent="0.3">
      <c r="A63" s="44"/>
      <c r="B63" s="11" t="str">
        <f>CONCATENATE("          ", "4185", " - ", "NON-TAXABLE SALES-SOFTWARE")</f>
        <v xml:space="preserve">          4185 - NON-TAXABLE SALES-SOFTWARE</v>
      </c>
      <c r="C63" s="11"/>
      <c r="D63" s="2">
        <f t="shared" si="8"/>
        <v>0</v>
      </c>
      <c r="E63" s="2"/>
      <c r="F63" s="19"/>
      <c r="G63" s="2"/>
      <c r="H63" s="2">
        <f>--1989.89</f>
        <v>1989.89</v>
      </c>
      <c r="I63" s="2"/>
      <c r="J63" s="19"/>
      <c r="K63" s="2"/>
      <c r="L63" s="2">
        <f t="shared" si="0"/>
        <v>-1989.89</v>
      </c>
      <c r="M63" s="2"/>
      <c r="N63" s="19">
        <f t="shared" si="1"/>
        <v>-1</v>
      </c>
      <c r="O63" s="11"/>
      <c r="P63" s="2">
        <f t="shared" si="9"/>
        <v>0</v>
      </c>
      <c r="Q63" s="2"/>
      <c r="R63" s="19"/>
      <c r="S63" s="2"/>
      <c r="T63" s="2">
        <f>--25806.74</f>
        <v>25806.74</v>
      </c>
      <c r="U63" s="2"/>
      <c r="V63" s="19"/>
      <c r="W63" s="2"/>
      <c r="X63" s="2">
        <f t="shared" si="2"/>
        <v>-25806.74</v>
      </c>
      <c r="Y63" s="2"/>
      <c r="Z63" s="19">
        <f t="shared" si="3"/>
        <v>-1</v>
      </c>
    </row>
    <row r="64" spans="1:26" s="24" customFormat="1" hidden="1" outlineLevel="1" x14ac:dyDescent="0.3">
      <c r="A64" s="44"/>
      <c r="B64" s="11" t="str">
        <f>CONCATENATE("          ", "4186", " - ", "NON-TAXABLE SALES-COMPUTER SUP")</f>
        <v xml:space="preserve">          4186 - NON-TAXABLE SALES-COMPUTER SUP</v>
      </c>
      <c r="C64" s="11"/>
      <c r="D64" s="2">
        <f t="shared" si="8"/>
        <v>0</v>
      </c>
      <c r="E64" s="2"/>
      <c r="F64" s="19"/>
      <c r="G64" s="2"/>
      <c r="H64" s="2">
        <f>--44</f>
        <v>44</v>
      </c>
      <c r="I64" s="2"/>
      <c r="J64" s="19"/>
      <c r="K64" s="2"/>
      <c r="L64" s="2">
        <f t="shared" si="0"/>
        <v>-44</v>
      </c>
      <c r="M64" s="2"/>
      <c r="N64" s="19">
        <f t="shared" si="1"/>
        <v>-1</v>
      </c>
      <c r="O64" s="11"/>
      <c r="P64" s="2">
        <f t="shared" si="9"/>
        <v>0</v>
      </c>
      <c r="Q64" s="2"/>
      <c r="R64" s="19"/>
      <c r="S64" s="2"/>
      <c r="T64" s="2">
        <f>--1773.77</f>
        <v>1773.77</v>
      </c>
      <c r="U64" s="2"/>
      <c r="V64" s="19"/>
      <c r="W64" s="2"/>
      <c r="X64" s="2">
        <f t="shared" si="2"/>
        <v>-1773.77</v>
      </c>
      <c r="Y64" s="2"/>
      <c r="Z64" s="19">
        <f t="shared" si="3"/>
        <v>-1</v>
      </c>
    </row>
    <row r="65" spans="1:26" s="24" customFormat="1" hidden="1" outlineLevel="1" x14ac:dyDescent="0.3">
      <c r="A65" s="44"/>
      <c r="B65" s="11" t="str">
        <f>CONCATENATE("          ", "4200", " - ", "TAXABLE RETURNS")</f>
        <v xml:space="preserve">          4200 - TAXABLE RETURNS</v>
      </c>
      <c r="C65" s="11"/>
      <c r="D65" s="2">
        <f>-53747.52</f>
        <v>-53747.519999999997</v>
      </c>
      <c r="E65" s="2"/>
      <c r="F65" s="19"/>
      <c r="G65" s="2"/>
      <c r="H65" s="2">
        <f>0</f>
        <v>0</v>
      </c>
      <c r="I65" s="2"/>
      <c r="J65" s="19"/>
      <c r="K65" s="2"/>
      <c r="L65" s="2">
        <f t="shared" si="0"/>
        <v>-53747.519999999997</v>
      </c>
      <c r="M65" s="2"/>
      <c r="N65" s="19">
        <f t="shared" si="1"/>
        <v>0</v>
      </c>
      <c r="O65" s="11"/>
      <c r="P65" s="2">
        <f>-224507.84</f>
        <v>-224507.84</v>
      </c>
      <c r="Q65" s="2"/>
      <c r="R65" s="19"/>
      <c r="S65" s="2"/>
      <c r="T65" s="2">
        <f>0</f>
        <v>0</v>
      </c>
      <c r="U65" s="2"/>
      <c r="V65" s="19"/>
      <c r="W65" s="2"/>
      <c r="X65" s="2">
        <f t="shared" si="2"/>
        <v>-224507.84</v>
      </c>
      <c r="Y65" s="2"/>
      <c r="Z65" s="19">
        <f t="shared" si="3"/>
        <v>0</v>
      </c>
    </row>
    <row r="66" spans="1:26" s="24" customFormat="1" hidden="1" outlineLevel="1" x14ac:dyDescent="0.3">
      <c r="A66" s="44"/>
      <c r="B66" s="11" t="str">
        <f>CONCATENATE("          ", "4201", " - ", "SALES RETURN TAXABLE-NEW TEXT")</f>
        <v xml:space="preserve">          4201 - SALES RETURN TAXABLE-NEW TEXT</v>
      </c>
      <c r="C66" s="11"/>
      <c r="D66" s="2">
        <f t="shared" ref="D66:D82" si="11">0</f>
        <v>0</v>
      </c>
      <c r="E66" s="2"/>
      <c r="F66" s="19"/>
      <c r="G66" s="2"/>
      <c r="H66" s="2">
        <f>-1333.42</f>
        <v>-1333.42</v>
      </c>
      <c r="I66" s="2"/>
      <c r="J66" s="19"/>
      <c r="K66" s="2"/>
      <c r="L66" s="2">
        <f t="shared" si="0"/>
        <v>1333.42</v>
      </c>
      <c r="M66" s="2"/>
      <c r="N66" s="19">
        <f t="shared" si="1"/>
        <v>-1</v>
      </c>
      <c r="O66" s="11"/>
      <c r="P66" s="2">
        <f t="shared" ref="P66:P82" si="12">0</f>
        <v>0</v>
      </c>
      <c r="Q66" s="2"/>
      <c r="R66" s="19"/>
      <c r="S66" s="2"/>
      <c r="T66" s="2">
        <f>-35094.66</f>
        <v>-35094.660000000003</v>
      </c>
      <c r="U66" s="2"/>
      <c r="V66" s="19"/>
      <c r="W66" s="2"/>
      <c r="X66" s="2">
        <f t="shared" si="2"/>
        <v>35094.660000000003</v>
      </c>
      <c r="Y66" s="2"/>
      <c r="Z66" s="19">
        <f t="shared" si="3"/>
        <v>-1</v>
      </c>
    </row>
    <row r="67" spans="1:26" s="24" customFormat="1" hidden="1" outlineLevel="1" x14ac:dyDescent="0.3">
      <c r="A67" s="44"/>
      <c r="B67" s="11" t="str">
        <f>CONCATENATE("          ", "4202", " - ", "SALES RETURN TAXABLE-USED TEXT")</f>
        <v xml:space="preserve">          4202 - SALES RETURN TAXABLE-USED TEXT</v>
      </c>
      <c r="C67" s="11"/>
      <c r="D67" s="2">
        <f t="shared" si="11"/>
        <v>0</v>
      </c>
      <c r="E67" s="2"/>
      <c r="F67" s="19"/>
      <c r="G67" s="2"/>
      <c r="H67" s="2">
        <f>-3274.35</f>
        <v>-3274.35</v>
      </c>
      <c r="I67" s="2"/>
      <c r="J67" s="19"/>
      <c r="K67" s="2"/>
      <c r="L67" s="2">
        <f t="shared" si="0"/>
        <v>3274.35</v>
      </c>
      <c r="M67" s="2"/>
      <c r="N67" s="19">
        <f t="shared" si="1"/>
        <v>-1</v>
      </c>
      <c r="O67" s="11"/>
      <c r="P67" s="2">
        <f t="shared" si="12"/>
        <v>0</v>
      </c>
      <c r="Q67" s="2"/>
      <c r="R67" s="19"/>
      <c r="S67" s="2"/>
      <c r="T67" s="2">
        <f>-13803.35</f>
        <v>-13803.35</v>
      </c>
      <c r="U67" s="2"/>
      <c r="V67" s="19"/>
      <c r="W67" s="2"/>
      <c r="X67" s="2">
        <f t="shared" si="2"/>
        <v>13803.35</v>
      </c>
      <c r="Y67" s="2"/>
      <c r="Z67" s="19">
        <f t="shared" si="3"/>
        <v>-1</v>
      </c>
    </row>
    <row r="68" spans="1:26" s="24" customFormat="1" hidden="1" outlineLevel="1" x14ac:dyDescent="0.3">
      <c r="A68" s="44"/>
      <c r="B68" s="11" t="str">
        <f>CONCATENATE("          ", "4204", " - ", "SALES RETURN TAXABLE-DIGITAL T")</f>
        <v xml:space="preserve">          4204 - SALES RETURN TAXABLE-DIGITAL T</v>
      </c>
      <c r="C68" s="11"/>
      <c r="D68" s="2">
        <f t="shared" si="11"/>
        <v>0</v>
      </c>
      <c r="E68" s="2"/>
      <c r="F68" s="19"/>
      <c r="G68" s="2"/>
      <c r="H68" s="2">
        <f t="shared" ref="H68:H69" si="13">0</f>
        <v>0</v>
      </c>
      <c r="I68" s="2"/>
      <c r="J68" s="19"/>
      <c r="K68" s="2"/>
      <c r="L68" s="2">
        <f t="shared" si="0"/>
        <v>0</v>
      </c>
      <c r="M68" s="2"/>
      <c r="N68" s="19">
        <f t="shared" si="1"/>
        <v>0</v>
      </c>
      <c r="O68" s="11"/>
      <c r="P68" s="2">
        <f t="shared" si="12"/>
        <v>0</v>
      </c>
      <c r="Q68" s="2"/>
      <c r="R68" s="19"/>
      <c r="S68" s="2"/>
      <c r="T68" s="2">
        <f>-1630.85</f>
        <v>-1630.85</v>
      </c>
      <c r="U68" s="2"/>
      <c r="V68" s="19"/>
      <c r="W68" s="2"/>
      <c r="X68" s="2">
        <f t="shared" si="2"/>
        <v>1630.85</v>
      </c>
      <c r="Y68" s="2"/>
      <c r="Z68" s="19">
        <f t="shared" si="3"/>
        <v>-1</v>
      </c>
    </row>
    <row r="69" spans="1:26" s="24" customFormat="1" hidden="1" outlineLevel="1" x14ac:dyDescent="0.3">
      <c r="A69" s="44"/>
      <c r="B69" s="11" t="str">
        <f>CONCATENATE("          ", "4226", " - ", "SALES RETURN TAXABLE-WRITING I")</f>
        <v xml:space="preserve">          4226 - SALES RETURN TAXABLE-WRITING I</v>
      </c>
      <c r="C69" s="11"/>
      <c r="D69" s="2">
        <f t="shared" si="11"/>
        <v>0</v>
      </c>
      <c r="E69" s="2"/>
      <c r="F69" s="19"/>
      <c r="G69" s="2"/>
      <c r="H69" s="2">
        <f t="shared" si="13"/>
        <v>0</v>
      </c>
      <c r="I69" s="2"/>
      <c r="J69" s="19"/>
      <c r="K69" s="2"/>
      <c r="L69" s="2">
        <f t="shared" si="0"/>
        <v>0</v>
      </c>
      <c r="M69" s="2"/>
      <c r="N69" s="19">
        <f t="shared" si="1"/>
        <v>0</v>
      </c>
      <c r="O69" s="11"/>
      <c r="P69" s="2">
        <f t="shared" si="12"/>
        <v>0</v>
      </c>
      <c r="Q69" s="2"/>
      <c r="R69" s="19"/>
      <c r="S69" s="2"/>
      <c r="T69" s="2">
        <f>-34.23</f>
        <v>-34.229999999999997</v>
      </c>
      <c r="U69" s="2"/>
      <c r="V69" s="19"/>
      <c r="W69" s="2"/>
      <c r="X69" s="2">
        <f t="shared" si="2"/>
        <v>34.229999999999997</v>
      </c>
      <c r="Y69" s="2"/>
      <c r="Z69" s="19">
        <f t="shared" si="3"/>
        <v>-1</v>
      </c>
    </row>
    <row r="70" spans="1:26" s="24" customFormat="1" hidden="1" outlineLevel="1" x14ac:dyDescent="0.3">
      <c r="A70" s="44"/>
      <c r="B70" s="11" t="str">
        <f>CONCATENATE("          ", "4227", " - ", "SALES RETURN TAXABLE-SCHOOL SU")</f>
        <v xml:space="preserve">          4227 - SALES RETURN TAXABLE-SCHOOL SU</v>
      </c>
      <c r="C70" s="11"/>
      <c r="D70" s="2">
        <f t="shared" si="11"/>
        <v>0</v>
      </c>
      <c r="E70" s="2"/>
      <c r="F70" s="19"/>
      <c r="G70" s="2"/>
      <c r="H70" s="2">
        <f>-31.98</f>
        <v>-31.98</v>
      </c>
      <c r="I70" s="2"/>
      <c r="J70" s="19"/>
      <c r="K70" s="2"/>
      <c r="L70" s="2">
        <f t="shared" si="0"/>
        <v>31.98</v>
      </c>
      <c r="M70" s="2"/>
      <c r="N70" s="19">
        <f t="shared" si="1"/>
        <v>-1</v>
      </c>
      <c r="O70" s="11"/>
      <c r="P70" s="2">
        <f t="shared" si="12"/>
        <v>0</v>
      </c>
      <c r="Q70" s="2"/>
      <c r="R70" s="19"/>
      <c r="S70" s="2"/>
      <c r="T70" s="2">
        <f>-610.64</f>
        <v>-610.64</v>
      </c>
      <c r="U70" s="2"/>
      <c r="V70" s="19"/>
      <c r="W70" s="2"/>
      <c r="X70" s="2">
        <f t="shared" si="2"/>
        <v>610.64</v>
      </c>
      <c r="Y70" s="2"/>
      <c r="Z70" s="19">
        <f t="shared" si="3"/>
        <v>-1</v>
      </c>
    </row>
    <row r="71" spans="1:26" s="24" customFormat="1" hidden="1" outlineLevel="1" x14ac:dyDescent="0.3">
      <c r="A71" s="44"/>
      <c r="B71" s="11" t="str">
        <f>CONCATENATE("          ", "4228", " - ", "SALES RETURN TAXABLE-ART/TECH")</f>
        <v xml:space="preserve">          4228 - SALES RETURN TAXABLE-ART/TECH</v>
      </c>
      <c r="C71" s="11"/>
      <c r="D71" s="2">
        <f t="shared" si="11"/>
        <v>0</v>
      </c>
      <c r="E71" s="2"/>
      <c r="F71" s="19"/>
      <c r="G71" s="2"/>
      <c r="H71" s="2">
        <f>-32.49</f>
        <v>-32.49</v>
      </c>
      <c r="I71" s="2"/>
      <c r="J71" s="19"/>
      <c r="K71" s="2"/>
      <c r="L71" s="2">
        <f t="shared" si="0"/>
        <v>32.49</v>
      </c>
      <c r="M71" s="2"/>
      <c r="N71" s="19">
        <f t="shared" si="1"/>
        <v>-1</v>
      </c>
      <c r="O71" s="11"/>
      <c r="P71" s="2">
        <f t="shared" si="12"/>
        <v>0</v>
      </c>
      <c r="Q71" s="2"/>
      <c r="R71" s="19"/>
      <c r="S71" s="2"/>
      <c r="T71" s="2">
        <f>-254.69</f>
        <v>-254.69</v>
      </c>
      <c r="U71" s="2"/>
      <c r="V71" s="19"/>
      <c r="W71" s="2"/>
      <c r="X71" s="2">
        <f t="shared" si="2"/>
        <v>254.69</v>
      </c>
      <c r="Y71" s="2"/>
      <c r="Z71" s="19">
        <f t="shared" si="3"/>
        <v>-1</v>
      </c>
    </row>
    <row r="72" spans="1:26" s="24" customFormat="1" hidden="1" outlineLevel="1" x14ac:dyDescent="0.3">
      <c r="A72" s="44"/>
      <c r="B72" s="11" t="str">
        <f>CONCATENATE("          ", "4240", " - ", "SALES RETURN TAXABLE-LOGO CLOT")</f>
        <v xml:space="preserve">          4240 - SALES RETURN TAXABLE-LOGO CLOT</v>
      </c>
      <c r="C72" s="11"/>
      <c r="D72" s="2">
        <f t="shared" si="11"/>
        <v>0</v>
      </c>
      <c r="E72" s="2"/>
      <c r="F72" s="19"/>
      <c r="G72" s="2"/>
      <c r="H72" s="2">
        <f>-1729.15</f>
        <v>-1729.15</v>
      </c>
      <c r="I72" s="2"/>
      <c r="J72" s="19"/>
      <c r="K72" s="2"/>
      <c r="L72" s="2">
        <f t="shared" si="0"/>
        <v>1729.15</v>
      </c>
      <c r="M72" s="2"/>
      <c r="N72" s="19">
        <f t="shared" si="1"/>
        <v>-1</v>
      </c>
      <c r="O72" s="11"/>
      <c r="P72" s="2">
        <f t="shared" si="12"/>
        <v>0</v>
      </c>
      <c r="Q72" s="2"/>
      <c r="R72" s="19"/>
      <c r="S72" s="2"/>
      <c r="T72" s="2">
        <f>-15578.67</f>
        <v>-15578.67</v>
      </c>
      <c r="U72" s="2"/>
      <c r="V72" s="19"/>
      <c r="W72" s="2"/>
      <c r="X72" s="2">
        <f t="shared" si="2"/>
        <v>15578.67</v>
      </c>
      <c r="Y72" s="2"/>
      <c r="Z72" s="19">
        <f t="shared" si="3"/>
        <v>-1</v>
      </c>
    </row>
    <row r="73" spans="1:26" s="24" customFormat="1" hidden="1" outlineLevel="1" x14ac:dyDescent="0.3">
      <c r="A73" s="44"/>
      <c r="B73" s="11" t="str">
        <f>CONCATENATE("          ", "4241", " - ", "SALES RETURN TAXABLE-LOGO GIFT")</f>
        <v xml:space="preserve">          4241 - SALES RETURN TAXABLE-LOGO GIFT</v>
      </c>
      <c r="C73" s="11"/>
      <c r="D73" s="2">
        <f t="shared" si="11"/>
        <v>0</v>
      </c>
      <c r="E73" s="2"/>
      <c r="F73" s="19"/>
      <c r="G73" s="2"/>
      <c r="H73" s="2">
        <f>-108.29</f>
        <v>-108.29</v>
      </c>
      <c r="I73" s="2"/>
      <c r="J73" s="19"/>
      <c r="K73" s="2"/>
      <c r="L73" s="2">
        <f t="shared" si="0"/>
        <v>108.29</v>
      </c>
      <c r="M73" s="2"/>
      <c r="N73" s="19">
        <f t="shared" si="1"/>
        <v>-1</v>
      </c>
      <c r="O73" s="11"/>
      <c r="P73" s="2">
        <f t="shared" si="12"/>
        <v>0</v>
      </c>
      <c r="Q73" s="2"/>
      <c r="R73" s="19"/>
      <c r="S73" s="2"/>
      <c r="T73" s="2">
        <f>-2804.85</f>
        <v>-2804.85</v>
      </c>
      <c r="U73" s="2"/>
      <c r="V73" s="19"/>
      <c r="W73" s="2"/>
      <c r="X73" s="2">
        <f t="shared" si="2"/>
        <v>2804.85</v>
      </c>
      <c r="Y73" s="2"/>
      <c r="Z73" s="19">
        <f t="shared" si="3"/>
        <v>-1</v>
      </c>
    </row>
    <row r="74" spans="1:26" s="24" customFormat="1" hidden="1" outlineLevel="1" x14ac:dyDescent="0.3">
      <c r="A74" s="44"/>
      <c r="B74" s="11" t="str">
        <f>CONCATENATE("          ", "4242", " - ", "SALES RETURN TAXABLE-EVERYDAY")</f>
        <v xml:space="preserve">          4242 - SALES RETURN TAXABLE-EVERYDAY</v>
      </c>
      <c r="C74" s="11"/>
      <c r="D74" s="2">
        <f t="shared" si="11"/>
        <v>0</v>
      </c>
      <c r="E74" s="2"/>
      <c r="F74" s="19"/>
      <c r="G74" s="2"/>
      <c r="H74" s="2">
        <f>-7.48</f>
        <v>-7.48</v>
      </c>
      <c r="I74" s="2"/>
      <c r="J74" s="19"/>
      <c r="K74" s="2"/>
      <c r="L74" s="2">
        <f t="shared" si="0"/>
        <v>7.48</v>
      </c>
      <c r="M74" s="2"/>
      <c r="N74" s="19">
        <f t="shared" si="1"/>
        <v>-1</v>
      </c>
      <c r="O74" s="11"/>
      <c r="P74" s="2">
        <f t="shared" si="12"/>
        <v>0</v>
      </c>
      <c r="Q74" s="2"/>
      <c r="R74" s="19"/>
      <c r="S74" s="2"/>
      <c r="T74" s="2">
        <f>-1328.99</f>
        <v>-1328.99</v>
      </c>
      <c r="U74" s="2"/>
      <c r="V74" s="19"/>
      <c r="W74" s="2"/>
      <c r="X74" s="2">
        <f t="shared" si="2"/>
        <v>1328.99</v>
      </c>
      <c r="Y74" s="2"/>
      <c r="Z74" s="19">
        <f t="shared" si="3"/>
        <v>-1</v>
      </c>
    </row>
    <row r="75" spans="1:26" s="24" customFormat="1" hidden="1" outlineLevel="1" x14ac:dyDescent="0.3">
      <c r="A75" s="44"/>
      <c r="B75" s="11" t="str">
        <f>CONCATENATE("          ", "4243", " - ", "SALES RETURN TAXABLE-CARDS")</f>
        <v xml:space="preserve">          4243 - SALES RETURN TAXABLE-CARDS</v>
      </c>
      <c r="C75" s="11"/>
      <c r="D75" s="2">
        <f t="shared" si="11"/>
        <v>0</v>
      </c>
      <c r="E75" s="2"/>
      <c r="F75" s="19"/>
      <c r="G75" s="2"/>
      <c r="H75" s="2">
        <f>-829.54</f>
        <v>-829.54</v>
      </c>
      <c r="I75" s="2"/>
      <c r="J75" s="19"/>
      <c r="K75" s="2"/>
      <c r="L75" s="2">
        <f t="shared" si="0"/>
        <v>829.54</v>
      </c>
      <c r="M75" s="2"/>
      <c r="N75" s="19">
        <f t="shared" si="1"/>
        <v>-1</v>
      </c>
      <c r="O75" s="11"/>
      <c r="P75" s="2">
        <f t="shared" si="12"/>
        <v>0</v>
      </c>
      <c r="Q75" s="2"/>
      <c r="R75" s="19"/>
      <c r="S75" s="2"/>
      <c r="T75" s="2">
        <f>-1812.46</f>
        <v>-1812.46</v>
      </c>
      <c r="U75" s="2"/>
      <c r="V75" s="19"/>
      <c r="W75" s="2"/>
      <c r="X75" s="2">
        <f t="shared" si="2"/>
        <v>1812.46</v>
      </c>
      <c r="Y75" s="2"/>
      <c r="Z75" s="19">
        <f t="shared" si="3"/>
        <v>-1</v>
      </c>
    </row>
    <row r="76" spans="1:26" s="24" customFormat="1" hidden="1" outlineLevel="1" x14ac:dyDescent="0.3">
      <c r="A76" s="44"/>
      <c r="B76" s="11" t="str">
        <f>CONCATENATE("          ", "4244", " - ", "SALES RETURN TAXABLE-ACCESSORI")</f>
        <v xml:space="preserve">          4244 - SALES RETURN TAXABLE-ACCESSORI</v>
      </c>
      <c r="C76" s="11"/>
      <c r="D76" s="2">
        <f t="shared" si="11"/>
        <v>0</v>
      </c>
      <c r="E76" s="2"/>
      <c r="F76" s="19"/>
      <c r="G76" s="2"/>
      <c r="H76" s="2">
        <f>-179.95</f>
        <v>-179.95</v>
      </c>
      <c r="I76" s="2"/>
      <c r="J76" s="19"/>
      <c r="K76" s="2"/>
      <c r="L76" s="2">
        <f t="shared" si="0"/>
        <v>179.95</v>
      </c>
      <c r="M76" s="2"/>
      <c r="N76" s="19">
        <f t="shared" si="1"/>
        <v>-1</v>
      </c>
      <c r="O76" s="11"/>
      <c r="P76" s="2">
        <f t="shared" si="12"/>
        <v>0</v>
      </c>
      <c r="Q76" s="2"/>
      <c r="R76" s="19"/>
      <c r="S76" s="2"/>
      <c r="T76" s="2">
        <f>-590.94</f>
        <v>-590.94000000000005</v>
      </c>
      <c r="U76" s="2"/>
      <c r="V76" s="19"/>
      <c r="W76" s="2"/>
      <c r="X76" s="2">
        <f t="shared" si="2"/>
        <v>590.94000000000005</v>
      </c>
      <c r="Y76" s="2"/>
      <c r="Z76" s="19">
        <f t="shared" si="3"/>
        <v>-1</v>
      </c>
    </row>
    <row r="77" spans="1:26" s="24" customFormat="1" hidden="1" outlineLevel="1" x14ac:dyDescent="0.3">
      <c r="A77" s="44"/>
      <c r="B77" s="11" t="str">
        <f>CONCATENATE("          ", "4245", " - ", "SALES RETURN TAXABLE-SPECIAL O")</f>
        <v xml:space="preserve">          4245 - SALES RETURN TAXABLE-SPECIAL O</v>
      </c>
      <c r="C77" s="11"/>
      <c r="D77" s="2">
        <f t="shared" si="11"/>
        <v>0</v>
      </c>
      <c r="E77" s="2"/>
      <c r="F77" s="19"/>
      <c r="G77" s="2"/>
      <c r="H77" s="2">
        <f>-45.89</f>
        <v>-45.89</v>
      </c>
      <c r="I77" s="2"/>
      <c r="J77" s="19"/>
      <c r="K77" s="2"/>
      <c r="L77" s="2">
        <f t="shared" si="0"/>
        <v>45.89</v>
      </c>
      <c r="M77" s="2"/>
      <c r="N77" s="19">
        <f t="shared" si="1"/>
        <v>-1</v>
      </c>
      <c r="O77" s="11"/>
      <c r="P77" s="2">
        <f t="shared" si="12"/>
        <v>0</v>
      </c>
      <c r="Q77" s="2"/>
      <c r="R77" s="19"/>
      <c r="S77" s="2"/>
      <c r="T77" s="2">
        <f>-1592.82</f>
        <v>-1592.82</v>
      </c>
      <c r="U77" s="2"/>
      <c r="V77" s="19"/>
      <c r="W77" s="2"/>
      <c r="X77" s="2">
        <f t="shared" si="2"/>
        <v>1592.82</v>
      </c>
      <c r="Y77" s="2"/>
      <c r="Z77" s="19">
        <f t="shared" si="3"/>
        <v>-1</v>
      </c>
    </row>
    <row r="78" spans="1:26" s="24" customFormat="1" hidden="1" outlineLevel="1" x14ac:dyDescent="0.3">
      <c r="A78" s="44"/>
      <c r="B78" s="11" t="str">
        <f>CONCATENATE("          ", "4281", " - ", "SALES RETURN TAXABLE-ELECTRONI")</f>
        <v xml:space="preserve">          4281 - SALES RETURN TAXABLE-ELECTRONI</v>
      </c>
      <c r="C78" s="11"/>
      <c r="D78" s="2">
        <f t="shared" si="11"/>
        <v>0</v>
      </c>
      <c r="E78" s="2"/>
      <c r="F78" s="19"/>
      <c r="G78" s="2"/>
      <c r="H78" s="2">
        <f>0</f>
        <v>0</v>
      </c>
      <c r="I78" s="2"/>
      <c r="J78" s="19"/>
      <c r="K78" s="2"/>
      <c r="L78" s="2">
        <f t="shared" si="0"/>
        <v>0</v>
      </c>
      <c r="M78" s="2"/>
      <c r="N78" s="19">
        <f t="shared" si="1"/>
        <v>0</v>
      </c>
      <c r="O78" s="11"/>
      <c r="P78" s="2">
        <f t="shared" si="12"/>
        <v>0</v>
      </c>
      <c r="Q78" s="2"/>
      <c r="R78" s="19"/>
      <c r="S78" s="2"/>
      <c r="T78" s="2">
        <f>-14632.15</f>
        <v>-14632.15</v>
      </c>
      <c r="U78" s="2"/>
      <c r="V78" s="19"/>
      <c r="W78" s="2"/>
      <c r="X78" s="2">
        <f t="shared" si="2"/>
        <v>14632.15</v>
      </c>
      <c r="Y78" s="2"/>
      <c r="Z78" s="19">
        <f t="shared" si="3"/>
        <v>-1</v>
      </c>
    </row>
    <row r="79" spans="1:26" s="24" customFormat="1" hidden="1" outlineLevel="1" x14ac:dyDescent="0.3">
      <c r="A79" s="44"/>
      <c r="B79" s="11" t="str">
        <f>CONCATENATE("          ", "4282", " - ", "SALES RETURN TAXABLE-COMPUTER")</f>
        <v xml:space="preserve">          4282 - SALES RETURN TAXABLE-COMPUTER</v>
      </c>
      <c r="C79" s="11"/>
      <c r="D79" s="2">
        <f t="shared" si="11"/>
        <v>0</v>
      </c>
      <c r="E79" s="2"/>
      <c r="F79" s="19"/>
      <c r="G79" s="2"/>
      <c r="H79" s="2">
        <f>-15761.01</f>
        <v>-15761.01</v>
      </c>
      <c r="I79" s="2"/>
      <c r="J79" s="19"/>
      <c r="K79" s="2"/>
      <c r="L79" s="2">
        <f t="shared" si="0"/>
        <v>15761.01</v>
      </c>
      <c r="M79" s="2"/>
      <c r="N79" s="19">
        <f t="shared" si="1"/>
        <v>-1</v>
      </c>
      <c r="O79" s="11"/>
      <c r="P79" s="2">
        <f t="shared" si="12"/>
        <v>0</v>
      </c>
      <c r="Q79" s="2"/>
      <c r="R79" s="19"/>
      <c r="S79" s="2"/>
      <c r="T79" s="2">
        <f>-84084.01</f>
        <v>-84084.01</v>
      </c>
      <c r="U79" s="2"/>
      <c r="V79" s="19"/>
      <c r="W79" s="2"/>
      <c r="X79" s="2">
        <f t="shared" si="2"/>
        <v>84084.01</v>
      </c>
      <c r="Y79" s="2"/>
      <c r="Z79" s="19">
        <f t="shared" si="3"/>
        <v>-1</v>
      </c>
    </row>
    <row r="80" spans="1:26" s="24" customFormat="1" hidden="1" outlineLevel="1" x14ac:dyDescent="0.3">
      <c r="A80" s="44"/>
      <c r="B80" s="11" t="str">
        <f>CONCATENATE("          ", "4283", " - ", "SALES RETURN TAXABLE-COMPUTER")</f>
        <v xml:space="preserve">          4283 - SALES RETURN TAXABLE-COMPUTER</v>
      </c>
      <c r="C80" s="11"/>
      <c r="D80" s="2">
        <f t="shared" si="11"/>
        <v>0</v>
      </c>
      <c r="E80" s="2"/>
      <c r="F80" s="19"/>
      <c r="G80" s="2"/>
      <c r="H80" s="2">
        <f>-678.96</f>
        <v>-678.96</v>
      </c>
      <c r="I80" s="2"/>
      <c r="J80" s="19"/>
      <c r="K80" s="2"/>
      <c r="L80" s="2">
        <f t="shared" si="0"/>
        <v>678.96</v>
      </c>
      <c r="M80" s="2"/>
      <c r="N80" s="19">
        <f t="shared" si="1"/>
        <v>-1</v>
      </c>
      <c r="O80" s="11"/>
      <c r="P80" s="2">
        <f t="shared" si="12"/>
        <v>0</v>
      </c>
      <c r="Q80" s="2"/>
      <c r="R80" s="19"/>
      <c r="S80" s="2"/>
      <c r="T80" s="2">
        <f>-3311.27</f>
        <v>-3311.27</v>
      </c>
      <c r="U80" s="2"/>
      <c r="V80" s="19"/>
      <c r="W80" s="2"/>
      <c r="X80" s="2">
        <f t="shared" si="2"/>
        <v>3311.27</v>
      </c>
      <c r="Y80" s="2"/>
      <c r="Z80" s="19">
        <f t="shared" si="3"/>
        <v>-1</v>
      </c>
    </row>
    <row r="81" spans="1:26" s="24" customFormat="1" hidden="1" outlineLevel="1" x14ac:dyDescent="0.3">
      <c r="A81" s="44"/>
      <c r="B81" s="11" t="str">
        <f>CONCATENATE("          ", "4285", " - ", "SALES RETURN TAXABLE-SOFTWARE")</f>
        <v xml:space="preserve">          4285 - SALES RETURN TAXABLE-SOFTWARE</v>
      </c>
      <c r="C81" s="11"/>
      <c r="D81" s="2">
        <f t="shared" si="11"/>
        <v>0</v>
      </c>
      <c r="E81" s="2"/>
      <c r="F81" s="19"/>
      <c r="G81" s="2"/>
      <c r="H81" s="2">
        <f>-139</f>
        <v>-139</v>
      </c>
      <c r="I81" s="2"/>
      <c r="J81" s="19"/>
      <c r="K81" s="2"/>
      <c r="L81" s="2">
        <f t="shared" si="0"/>
        <v>139</v>
      </c>
      <c r="M81" s="2"/>
      <c r="N81" s="19">
        <f t="shared" si="1"/>
        <v>-1</v>
      </c>
      <c r="O81" s="11"/>
      <c r="P81" s="2">
        <f t="shared" si="12"/>
        <v>0</v>
      </c>
      <c r="Q81" s="2"/>
      <c r="R81" s="19"/>
      <c r="S81" s="2"/>
      <c r="T81" s="2">
        <f>-691.98</f>
        <v>-691.98</v>
      </c>
      <c r="U81" s="2"/>
      <c r="V81" s="19"/>
      <c r="W81" s="2"/>
      <c r="X81" s="2">
        <f t="shared" si="2"/>
        <v>691.98</v>
      </c>
      <c r="Y81" s="2"/>
      <c r="Z81" s="19">
        <f t="shared" si="3"/>
        <v>-1</v>
      </c>
    </row>
    <row r="82" spans="1:26" s="24" customFormat="1" hidden="1" outlineLevel="1" x14ac:dyDescent="0.3">
      <c r="A82" s="44"/>
      <c r="B82" s="11" t="str">
        <f>CONCATENATE("          ", "4286", " - ", "SALES RETURN TAXABLE-COMPUTER")</f>
        <v xml:space="preserve">          4286 - SALES RETURN TAXABLE-COMPUTER</v>
      </c>
      <c r="C82" s="11"/>
      <c r="D82" s="2">
        <f t="shared" si="11"/>
        <v>0</v>
      </c>
      <c r="E82" s="2"/>
      <c r="F82" s="19"/>
      <c r="G82" s="2"/>
      <c r="H82" s="2">
        <f>-9.99</f>
        <v>-9.99</v>
      </c>
      <c r="I82" s="2"/>
      <c r="J82" s="19"/>
      <c r="K82" s="2"/>
      <c r="L82" s="2">
        <f t="shared" si="0"/>
        <v>9.99</v>
      </c>
      <c r="M82" s="2"/>
      <c r="N82" s="19">
        <f t="shared" si="1"/>
        <v>-1</v>
      </c>
      <c r="O82" s="11"/>
      <c r="P82" s="2">
        <f t="shared" si="12"/>
        <v>0</v>
      </c>
      <c r="Q82" s="2"/>
      <c r="R82" s="19"/>
      <c r="S82" s="2"/>
      <c r="T82" s="2">
        <f>-581.35</f>
        <v>-581.35</v>
      </c>
      <c r="U82" s="2"/>
      <c r="V82" s="19"/>
      <c r="W82" s="2"/>
      <c r="X82" s="2">
        <f t="shared" si="2"/>
        <v>581.35</v>
      </c>
      <c r="Y82" s="2"/>
      <c r="Z82" s="19">
        <f t="shared" si="3"/>
        <v>-1</v>
      </c>
    </row>
    <row r="83" spans="1:26" s="24" customFormat="1" hidden="1" outlineLevel="1" x14ac:dyDescent="0.3">
      <c r="A83" s="44"/>
      <c r="B83" s="11" t="str">
        <f>CONCATENATE("          ", "4300", " - ", "NON-TAX RETURNS")</f>
        <v xml:space="preserve">          4300 - NON-TAX RETURNS</v>
      </c>
      <c r="C83" s="11"/>
      <c r="D83" s="2">
        <f>-715.91</f>
        <v>-715.91</v>
      </c>
      <c r="E83" s="2"/>
      <c r="F83" s="19"/>
      <c r="G83" s="2"/>
      <c r="H83" s="2">
        <f t="shared" ref="H83:H84" si="14">0</f>
        <v>0</v>
      </c>
      <c r="I83" s="2"/>
      <c r="J83" s="19"/>
      <c r="K83" s="2"/>
      <c r="L83" s="2">
        <f t="shared" si="0"/>
        <v>-715.91</v>
      </c>
      <c r="M83" s="2"/>
      <c r="N83" s="19">
        <f t="shared" si="1"/>
        <v>0</v>
      </c>
      <c r="O83" s="11"/>
      <c r="P83" s="2">
        <f>-27205.18</f>
        <v>-27205.18</v>
      </c>
      <c r="Q83" s="2"/>
      <c r="R83" s="19"/>
      <c r="S83" s="2"/>
      <c r="T83" s="2">
        <f>0</f>
        <v>0</v>
      </c>
      <c r="U83" s="2"/>
      <c r="V83" s="19"/>
      <c r="W83" s="2"/>
      <c r="X83" s="2">
        <f t="shared" si="2"/>
        <v>-27205.18</v>
      </c>
      <c r="Y83" s="2"/>
      <c r="Z83" s="19">
        <f t="shared" si="3"/>
        <v>0</v>
      </c>
    </row>
    <row r="84" spans="1:26" s="24" customFormat="1" hidden="1" outlineLevel="1" x14ac:dyDescent="0.3">
      <c r="A84" s="44"/>
      <c r="B84" s="11" t="str">
        <f>CONCATENATE("          ", "4301", " - ", "SALES RETURN NON TAXABLE-NEW T")</f>
        <v xml:space="preserve">          4301 - SALES RETURN NON TAXABLE-NEW T</v>
      </c>
      <c r="C84" s="11"/>
      <c r="D84" s="2">
        <f t="shared" ref="D84:D90" si="15">0</f>
        <v>0</v>
      </c>
      <c r="E84" s="2"/>
      <c r="F84" s="19"/>
      <c r="G84" s="2"/>
      <c r="H84" s="2">
        <f t="shared" si="14"/>
        <v>0</v>
      </c>
      <c r="I84" s="2"/>
      <c r="J84" s="19"/>
      <c r="K84" s="2"/>
      <c r="L84" s="2">
        <f t="shared" si="0"/>
        <v>0</v>
      </c>
      <c r="M84" s="2"/>
      <c r="N84" s="19">
        <f t="shared" si="1"/>
        <v>0</v>
      </c>
      <c r="O84" s="11"/>
      <c r="P84" s="2">
        <f t="shared" ref="P84:P90" si="16">0</f>
        <v>0</v>
      </c>
      <c r="Q84" s="2"/>
      <c r="R84" s="19"/>
      <c r="S84" s="2"/>
      <c r="T84" s="2">
        <f>-2376.17</f>
        <v>-2376.17</v>
      </c>
      <c r="U84" s="2"/>
      <c r="V84" s="19"/>
      <c r="W84" s="2"/>
      <c r="X84" s="2">
        <f t="shared" si="2"/>
        <v>2376.17</v>
      </c>
      <c r="Y84" s="2"/>
      <c r="Z84" s="19">
        <f t="shared" si="3"/>
        <v>-1</v>
      </c>
    </row>
    <row r="85" spans="1:26" s="24" customFormat="1" hidden="1" outlineLevel="1" x14ac:dyDescent="0.3">
      <c r="A85" s="44"/>
      <c r="B85" s="11" t="str">
        <f>CONCATENATE("          ", "4302", " - ", "SALES RETURN NON TAXABLE-TEXT")</f>
        <v xml:space="preserve">          4302 - SALES RETURN NON TAXABLE-TEXT</v>
      </c>
      <c r="C85" s="11"/>
      <c r="D85" s="2">
        <f t="shared" si="15"/>
        <v>0</v>
      </c>
      <c r="E85" s="2"/>
      <c r="F85" s="19"/>
      <c r="G85" s="2"/>
      <c r="H85" s="2">
        <f>-76.05</f>
        <v>-76.05</v>
      </c>
      <c r="I85" s="2"/>
      <c r="J85" s="19"/>
      <c r="K85" s="2"/>
      <c r="L85" s="2">
        <f t="shared" si="0"/>
        <v>76.05</v>
      </c>
      <c r="M85" s="2"/>
      <c r="N85" s="19">
        <f t="shared" si="1"/>
        <v>-1</v>
      </c>
      <c r="O85" s="11"/>
      <c r="P85" s="2">
        <f t="shared" si="16"/>
        <v>0</v>
      </c>
      <c r="Q85" s="2"/>
      <c r="R85" s="19"/>
      <c r="S85" s="2"/>
      <c r="T85" s="2">
        <f>-1392.85</f>
        <v>-1392.85</v>
      </c>
      <c r="U85" s="2"/>
      <c r="V85" s="19"/>
      <c r="W85" s="2"/>
      <c r="X85" s="2">
        <f t="shared" si="2"/>
        <v>1392.85</v>
      </c>
      <c r="Y85" s="2"/>
      <c r="Z85" s="19">
        <f t="shared" si="3"/>
        <v>-1</v>
      </c>
    </row>
    <row r="86" spans="1:26" s="24" customFormat="1" hidden="1" outlineLevel="1" x14ac:dyDescent="0.3">
      <c r="A86" s="44"/>
      <c r="B86" s="11" t="str">
        <f>CONCATENATE("          ", "4304", " - ", "SALES RETURN NON TAXABLE-DIGIT")</f>
        <v xml:space="preserve">          4304 - SALES RETURN NON TAXABLE-DIGIT</v>
      </c>
      <c r="C86" s="11"/>
      <c r="D86" s="2">
        <f t="shared" si="15"/>
        <v>0</v>
      </c>
      <c r="E86" s="2"/>
      <c r="F86" s="19"/>
      <c r="G86" s="2"/>
      <c r="H86" s="2">
        <f>-176.43</f>
        <v>-176.43</v>
      </c>
      <c r="I86" s="2"/>
      <c r="J86" s="19"/>
      <c r="K86" s="2"/>
      <c r="L86" s="2">
        <f t="shared" si="0"/>
        <v>176.43</v>
      </c>
      <c r="M86" s="2"/>
      <c r="N86" s="19">
        <f t="shared" si="1"/>
        <v>-1</v>
      </c>
      <c r="O86" s="11"/>
      <c r="P86" s="2">
        <f t="shared" si="16"/>
        <v>0</v>
      </c>
      <c r="Q86" s="2"/>
      <c r="R86" s="19"/>
      <c r="S86" s="2"/>
      <c r="T86" s="2">
        <f>-14278.54</f>
        <v>-14278.54</v>
      </c>
      <c r="U86" s="2"/>
      <c r="V86" s="19"/>
      <c r="W86" s="2"/>
      <c r="X86" s="2">
        <f t="shared" si="2"/>
        <v>14278.54</v>
      </c>
      <c r="Y86" s="2"/>
      <c r="Z86" s="19">
        <f t="shared" si="3"/>
        <v>-1</v>
      </c>
    </row>
    <row r="87" spans="1:26" s="24" customFormat="1" hidden="1" outlineLevel="1" x14ac:dyDescent="0.3">
      <c r="A87" s="44"/>
      <c r="B87" s="11" t="str">
        <f>CONCATENATE("          ", "4340", " - ", "SALES RETURN NON TAXABLE-LOGO")</f>
        <v xml:space="preserve">          4340 - SALES RETURN NON TAXABLE-LOGO</v>
      </c>
      <c r="C87" s="11"/>
      <c r="D87" s="2">
        <f t="shared" si="15"/>
        <v>0</v>
      </c>
      <c r="E87" s="2"/>
      <c r="F87" s="19"/>
      <c r="G87" s="2"/>
      <c r="H87" s="2">
        <f>-203.75</f>
        <v>-203.75</v>
      </c>
      <c r="I87" s="2"/>
      <c r="J87" s="19"/>
      <c r="K87" s="2"/>
      <c r="L87" s="2">
        <f t="shared" si="0"/>
        <v>203.75</v>
      </c>
      <c r="M87" s="2"/>
      <c r="N87" s="19">
        <f t="shared" si="1"/>
        <v>-1</v>
      </c>
      <c r="O87" s="11"/>
      <c r="P87" s="2">
        <f t="shared" si="16"/>
        <v>0</v>
      </c>
      <c r="Q87" s="2"/>
      <c r="R87" s="19"/>
      <c r="S87" s="2"/>
      <c r="T87" s="2">
        <f>-940.48</f>
        <v>-940.48</v>
      </c>
      <c r="U87" s="2"/>
      <c r="V87" s="19"/>
      <c r="W87" s="2"/>
      <c r="X87" s="2">
        <f t="shared" si="2"/>
        <v>940.48</v>
      </c>
      <c r="Y87" s="2"/>
      <c r="Z87" s="19">
        <f t="shared" si="3"/>
        <v>-1</v>
      </c>
    </row>
    <row r="88" spans="1:26" s="24" customFormat="1" hidden="1" outlineLevel="1" x14ac:dyDescent="0.3">
      <c r="A88" s="44"/>
      <c r="B88" s="11" t="str">
        <f>CONCATENATE("          ", "4341", " - ", "SALES RETURN NON TAXABLE-LOGO")</f>
        <v xml:space="preserve">          4341 - SALES RETURN NON TAXABLE-LOGO</v>
      </c>
      <c r="C88" s="11"/>
      <c r="D88" s="2">
        <f t="shared" si="15"/>
        <v>0</v>
      </c>
      <c r="E88" s="2"/>
      <c r="F88" s="19"/>
      <c r="G88" s="2"/>
      <c r="H88" s="2">
        <f>-154.89</f>
        <v>-154.88999999999999</v>
      </c>
      <c r="I88" s="2"/>
      <c r="J88" s="19"/>
      <c r="K88" s="2"/>
      <c r="L88" s="2">
        <f t="shared" si="0"/>
        <v>154.88999999999999</v>
      </c>
      <c r="M88" s="2"/>
      <c r="N88" s="19">
        <f t="shared" si="1"/>
        <v>-1</v>
      </c>
      <c r="O88" s="11"/>
      <c r="P88" s="2">
        <f t="shared" si="16"/>
        <v>0</v>
      </c>
      <c r="Q88" s="2"/>
      <c r="R88" s="19"/>
      <c r="S88" s="2"/>
      <c r="T88" s="2">
        <f>-301.79</f>
        <v>-301.79000000000002</v>
      </c>
      <c r="U88" s="2"/>
      <c r="V88" s="19"/>
      <c r="W88" s="2"/>
      <c r="X88" s="2">
        <f t="shared" si="2"/>
        <v>301.79000000000002</v>
      </c>
      <c r="Y88" s="2"/>
      <c r="Z88" s="19">
        <f t="shared" si="3"/>
        <v>-1</v>
      </c>
    </row>
    <row r="89" spans="1:26" s="24" customFormat="1" hidden="1" outlineLevel="1" x14ac:dyDescent="0.3">
      <c r="A89" s="44"/>
      <c r="B89" s="11" t="str">
        <f>CONCATENATE("          ", "4342", " - ", "SALES RETURN NON TAXABLE-EVERY")</f>
        <v xml:space="preserve">          4342 - SALES RETURN NON TAXABLE-EVERY</v>
      </c>
      <c r="C89" s="11"/>
      <c r="D89" s="2">
        <f t="shared" si="15"/>
        <v>0</v>
      </c>
      <c r="E89" s="2"/>
      <c r="F89" s="19"/>
      <c r="G89" s="2"/>
      <c r="H89" s="2">
        <f t="shared" ref="H89:H91" si="17">0</f>
        <v>0</v>
      </c>
      <c r="I89" s="2"/>
      <c r="J89" s="19"/>
      <c r="K89" s="2"/>
      <c r="L89" s="2">
        <f t="shared" si="0"/>
        <v>0</v>
      </c>
      <c r="M89" s="2"/>
      <c r="N89" s="19">
        <f t="shared" si="1"/>
        <v>0</v>
      </c>
      <c r="O89" s="11"/>
      <c r="P89" s="2">
        <f t="shared" si="16"/>
        <v>0</v>
      </c>
      <c r="Q89" s="2"/>
      <c r="R89" s="19"/>
      <c r="S89" s="2"/>
      <c r="T89" s="2">
        <f>-118.7</f>
        <v>-118.7</v>
      </c>
      <c r="U89" s="2"/>
      <c r="V89" s="19"/>
      <c r="W89" s="2"/>
      <c r="X89" s="2">
        <f t="shared" si="2"/>
        <v>118.7</v>
      </c>
      <c r="Y89" s="2"/>
      <c r="Z89" s="19">
        <f t="shared" si="3"/>
        <v>-1</v>
      </c>
    </row>
    <row r="90" spans="1:26" s="24" customFormat="1" hidden="1" outlineLevel="1" x14ac:dyDescent="0.3">
      <c r="A90" s="44"/>
      <c r="B90" s="11" t="str">
        <f>CONCATENATE("          ", "4381", " - ", "SALES RETURN NON TAXABLE-ELECT")</f>
        <v xml:space="preserve">          4381 - SALES RETURN NON TAXABLE-ELECT</v>
      </c>
      <c r="C90" s="11"/>
      <c r="D90" s="2">
        <f t="shared" si="15"/>
        <v>0</v>
      </c>
      <c r="E90" s="2"/>
      <c r="F90" s="19"/>
      <c r="G90" s="2"/>
      <c r="H90" s="2">
        <f t="shared" si="17"/>
        <v>0</v>
      </c>
      <c r="I90" s="2"/>
      <c r="J90" s="19"/>
      <c r="K90" s="2"/>
      <c r="L90" s="2">
        <f t="shared" si="0"/>
        <v>0</v>
      </c>
      <c r="M90" s="2"/>
      <c r="N90" s="19">
        <f t="shared" si="1"/>
        <v>0</v>
      </c>
      <c r="O90" s="11"/>
      <c r="P90" s="2">
        <f t="shared" si="16"/>
        <v>0</v>
      </c>
      <c r="Q90" s="2"/>
      <c r="R90" s="19"/>
      <c r="S90" s="2"/>
      <c r="T90" s="2">
        <f>-5624.15</f>
        <v>-5624.15</v>
      </c>
      <c r="U90" s="2"/>
      <c r="V90" s="19"/>
      <c r="W90" s="2"/>
      <c r="X90" s="2">
        <f t="shared" si="2"/>
        <v>5624.15</v>
      </c>
      <c r="Y90" s="2"/>
      <c r="Z90" s="19">
        <f t="shared" si="3"/>
        <v>-1</v>
      </c>
    </row>
    <row r="91" spans="1:26" s="24" customFormat="1" hidden="1" outlineLevel="1" x14ac:dyDescent="0.3">
      <c r="A91" s="44"/>
      <c r="B91" s="11" t="str">
        <f>CONCATENATE("          ", "4500", " - ", "SALES DISCOUNT")</f>
        <v xml:space="preserve">          4500 - SALES DISCOUNT</v>
      </c>
      <c r="C91" s="11"/>
      <c r="D91" s="2">
        <f>-6518.33</f>
        <v>-6518.33</v>
      </c>
      <c r="E91" s="2"/>
      <c r="F91" s="19"/>
      <c r="G91" s="2"/>
      <c r="H91" s="2">
        <f t="shared" si="17"/>
        <v>0</v>
      </c>
      <c r="I91" s="2"/>
      <c r="J91" s="19"/>
      <c r="K91" s="2"/>
      <c r="L91" s="2">
        <f t="shared" si="0"/>
        <v>-6518.33</v>
      </c>
      <c r="M91" s="2"/>
      <c r="N91" s="19">
        <f t="shared" si="1"/>
        <v>0</v>
      </c>
      <c r="O91" s="11"/>
      <c r="P91" s="2">
        <f>-14181.42</f>
        <v>-14181.42</v>
      </c>
      <c r="Q91" s="2"/>
      <c r="R91" s="19"/>
      <c r="S91" s="2"/>
      <c r="T91" s="2">
        <f>0</f>
        <v>0</v>
      </c>
      <c r="U91" s="2"/>
      <c r="V91" s="19"/>
      <c r="W91" s="2"/>
      <c r="X91" s="2">
        <f t="shared" si="2"/>
        <v>-14181.42</v>
      </c>
      <c r="Y91" s="2"/>
      <c r="Z91" s="19">
        <f t="shared" si="3"/>
        <v>0</v>
      </c>
    </row>
    <row r="92" spans="1:26" x14ac:dyDescent="0.3">
      <c r="A92" s="9"/>
      <c r="B92" s="10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collapsed="1" x14ac:dyDescent="0.3">
      <c r="A93" s="10"/>
      <c r="B93" s="26" t="s">
        <v>256</v>
      </c>
      <c r="C93" s="10"/>
      <c r="D93" s="4">
        <f>SUM(OSRRefD16x_0)</f>
        <v>221001.48</v>
      </c>
      <c r="E93" s="4"/>
      <c r="F93" s="12">
        <f t="shared" ref="F93:F140" si="18">IF(D$12=0,0,D93/D$12)</f>
        <v>0.57067065799487204</v>
      </c>
      <c r="G93" s="4"/>
      <c r="H93" s="4">
        <f>SUM(OSRRefH16x_0)</f>
        <v>121707.94</v>
      </c>
      <c r="I93" s="4"/>
      <c r="J93" s="12">
        <f t="shared" ref="J93:J140" si="19">IF(H$12=0,0,H93/H$12)</f>
        <v>0.71276759910146792</v>
      </c>
      <c r="K93" s="4"/>
      <c r="L93" s="4">
        <f t="shared" ref="L93:L140" si="20">+D93-H93</f>
        <v>99293.540000000008</v>
      </c>
      <c r="M93" s="4"/>
      <c r="N93" s="12">
        <f t="shared" ref="N93:N140" si="21">IF(H93=0,0,L93/H93)</f>
        <v>0.81583452977677551</v>
      </c>
      <c r="O93" s="10"/>
      <c r="P93" s="4">
        <f>SUM(OSRRefP16x_0)</f>
        <v>2656486.7199999997</v>
      </c>
      <c r="Q93" s="4"/>
      <c r="R93" s="12">
        <f t="shared" ref="R93:R140" si="22">IF(P$12=0,0,P93/P$12)</f>
        <v>0.66478396770390513</v>
      </c>
      <c r="S93" s="4"/>
      <c r="T93" s="4">
        <f>SUM(OSRRefT16x_0)</f>
        <v>2743412.87</v>
      </c>
      <c r="U93" s="4"/>
      <c r="V93" s="12">
        <f t="shared" ref="V93:V140" si="23">IF(T$12=0,0,T93/T$12)</f>
        <v>0.74938498628181727</v>
      </c>
      <c r="W93" s="4"/>
      <c r="X93" s="4">
        <f t="shared" ref="X93:X140" si="24">+P93-T93</f>
        <v>-86926.150000000373</v>
      </c>
      <c r="Y93" s="4"/>
      <c r="Z93" s="12">
        <f t="shared" ref="Z93:Z140" si="25">IF(T93=0,0,X93/T93)</f>
        <v>-3.1685405777075168E-2</v>
      </c>
    </row>
    <row r="94" spans="1:26" s="24" customFormat="1" hidden="1" outlineLevel="1" x14ac:dyDescent="0.3">
      <c r="A94" s="44"/>
      <c r="B94" s="11" t="str">
        <f>CONCATENATE("          ", "5000", " - ", "PURCHASES @ COST")</f>
        <v xml:space="preserve">          5000 - PURCHASES @ COST</v>
      </c>
      <c r="C94" s="11"/>
      <c r="D94" s="2">
        <v>-11220.02</v>
      </c>
      <c r="E94" s="2"/>
      <c r="F94" s="19">
        <f t="shared" si="18"/>
        <v>-2.8972367950276277E-2</v>
      </c>
      <c r="G94" s="2"/>
      <c r="H94" s="2"/>
      <c r="I94" s="2"/>
      <c r="J94" s="19">
        <f t="shared" si="19"/>
        <v>0</v>
      </c>
      <c r="K94" s="2"/>
      <c r="L94" s="2">
        <f t="shared" si="20"/>
        <v>-11220.02</v>
      </c>
      <c r="M94" s="2"/>
      <c r="N94" s="19">
        <f t="shared" si="21"/>
        <v>0</v>
      </c>
      <c r="O94" s="11"/>
      <c r="P94" s="2">
        <v>2991769.29</v>
      </c>
      <c r="Q94" s="2"/>
      <c r="R94" s="19">
        <f t="shared" si="22"/>
        <v>0.74868819937518649</v>
      </c>
      <c r="S94" s="2"/>
      <c r="T94" s="2">
        <v>0</v>
      </c>
      <c r="U94" s="2"/>
      <c r="V94" s="19">
        <f t="shared" si="23"/>
        <v>0</v>
      </c>
      <c r="W94" s="2"/>
      <c r="X94" s="2">
        <f t="shared" si="24"/>
        <v>2991769.29</v>
      </c>
      <c r="Y94" s="2"/>
      <c r="Z94" s="19">
        <f t="shared" si="25"/>
        <v>0</v>
      </c>
    </row>
    <row r="95" spans="1:26" s="24" customFormat="1" hidden="1" outlineLevel="1" x14ac:dyDescent="0.3">
      <c r="A95" s="44"/>
      <c r="B95" s="11" t="str">
        <f>CONCATENATE("          ", "5001", " - ", "PURCHASES @ COST-NEW TEXT")</f>
        <v xml:space="preserve">          5001 - PURCHASES @ COST-NEW TEXT</v>
      </c>
      <c r="C95" s="11"/>
      <c r="D95" s="2"/>
      <c r="E95" s="2"/>
      <c r="F95" s="19">
        <f t="shared" si="18"/>
        <v>0</v>
      </c>
      <c r="G95" s="2"/>
      <c r="H95" s="2">
        <v>-108601.35</v>
      </c>
      <c r="I95" s="2"/>
      <c r="J95" s="19">
        <f t="shared" si="19"/>
        <v>-0.6360104648774616</v>
      </c>
      <c r="K95" s="2"/>
      <c r="L95" s="2">
        <f t="shared" si="20"/>
        <v>108601.35</v>
      </c>
      <c r="M95" s="2"/>
      <c r="N95" s="19">
        <f t="shared" si="21"/>
        <v>-1</v>
      </c>
      <c r="O95" s="11"/>
      <c r="P95" s="2">
        <v>0</v>
      </c>
      <c r="Q95" s="2"/>
      <c r="R95" s="19">
        <f t="shared" si="22"/>
        <v>0</v>
      </c>
      <c r="S95" s="2"/>
      <c r="T95" s="2">
        <v>1240595.48</v>
      </c>
      <c r="U95" s="2"/>
      <c r="V95" s="19">
        <f t="shared" si="23"/>
        <v>0.33887849580624169</v>
      </c>
      <c r="W95" s="2"/>
      <c r="X95" s="2">
        <f t="shared" si="24"/>
        <v>-1240595.48</v>
      </c>
      <c r="Y95" s="2"/>
      <c r="Z95" s="19">
        <f t="shared" si="25"/>
        <v>-1</v>
      </c>
    </row>
    <row r="96" spans="1:26" s="24" customFormat="1" hidden="1" outlineLevel="1" x14ac:dyDescent="0.3">
      <c r="A96" s="44"/>
      <c r="B96" s="11" t="str">
        <f>CONCATENATE("          ", "5002", " - ", "PURCHASES @ COST-USED TEXT")</f>
        <v xml:space="preserve">          5002 - PURCHASES @ COST-USED TEXT</v>
      </c>
      <c r="C96" s="11"/>
      <c r="D96" s="2"/>
      <c r="E96" s="2"/>
      <c r="F96" s="19">
        <f t="shared" si="18"/>
        <v>0</v>
      </c>
      <c r="G96" s="2"/>
      <c r="H96" s="2">
        <v>-208829.28</v>
      </c>
      <c r="I96" s="2"/>
      <c r="J96" s="19">
        <f t="shared" si="19"/>
        <v>-1.2229830241781119</v>
      </c>
      <c r="K96" s="2"/>
      <c r="L96" s="2">
        <f t="shared" si="20"/>
        <v>208829.28</v>
      </c>
      <c r="M96" s="2"/>
      <c r="N96" s="19">
        <f t="shared" si="21"/>
        <v>-1</v>
      </c>
      <c r="O96" s="11"/>
      <c r="P96" s="2">
        <v>0</v>
      </c>
      <c r="Q96" s="2"/>
      <c r="R96" s="19">
        <f t="shared" si="22"/>
        <v>0</v>
      </c>
      <c r="S96" s="2"/>
      <c r="T96" s="2">
        <v>94234.05</v>
      </c>
      <c r="U96" s="2"/>
      <c r="V96" s="19">
        <f t="shared" si="23"/>
        <v>2.5740778225090882E-2</v>
      </c>
      <c r="W96" s="2"/>
      <c r="X96" s="2">
        <f t="shared" si="24"/>
        <v>-94234.05</v>
      </c>
      <c r="Y96" s="2"/>
      <c r="Z96" s="19">
        <f t="shared" si="25"/>
        <v>-1</v>
      </c>
    </row>
    <row r="97" spans="1:26" s="24" customFormat="1" hidden="1" outlineLevel="1" x14ac:dyDescent="0.3">
      <c r="A97" s="44"/>
      <c r="B97" s="11" t="str">
        <f>CONCATENATE("          ", "5003", " - ", "PURCHASES @ COST-RENTAL TEXT")</f>
        <v xml:space="preserve">          5003 - PURCHASES @ COST-RENTAL TEXT</v>
      </c>
      <c r="C97" s="11"/>
      <c r="D97" s="2"/>
      <c r="E97" s="2"/>
      <c r="F97" s="19">
        <f t="shared" si="18"/>
        <v>0</v>
      </c>
      <c r="G97" s="2"/>
      <c r="H97" s="2">
        <v>517.92999999999995</v>
      </c>
      <c r="I97" s="2"/>
      <c r="J97" s="19">
        <f t="shared" si="19"/>
        <v>3.0331934186267817E-3</v>
      </c>
      <c r="K97" s="2"/>
      <c r="L97" s="2">
        <f t="shared" si="20"/>
        <v>-517.92999999999995</v>
      </c>
      <c r="M97" s="2"/>
      <c r="N97" s="19">
        <f t="shared" si="21"/>
        <v>-1</v>
      </c>
      <c r="O97" s="11"/>
      <c r="P97" s="2"/>
      <c r="Q97" s="2"/>
      <c r="R97" s="19">
        <f t="shared" si="22"/>
        <v>0</v>
      </c>
      <c r="S97" s="2"/>
      <c r="T97" s="2">
        <v>32.520000000000003</v>
      </c>
      <c r="U97" s="2"/>
      <c r="V97" s="19">
        <f t="shared" si="23"/>
        <v>8.8830959497119728E-6</v>
      </c>
      <c r="W97" s="2"/>
      <c r="X97" s="2">
        <f t="shared" si="24"/>
        <v>-32.520000000000003</v>
      </c>
      <c r="Y97" s="2"/>
      <c r="Z97" s="19">
        <f t="shared" si="25"/>
        <v>-1</v>
      </c>
    </row>
    <row r="98" spans="1:26" s="24" customFormat="1" hidden="1" outlineLevel="1" x14ac:dyDescent="0.3">
      <c r="A98" s="44"/>
      <c r="B98" s="11" t="str">
        <f>CONCATENATE("          ", "5004", " - ", "PURCHASES @ COST-DIGITAL TEXT")</f>
        <v xml:space="preserve">          5004 - PURCHASES @ COST-DIGITAL TEXT</v>
      </c>
      <c r="C98" s="11"/>
      <c r="D98" s="2"/>
      <c r="E98" s="2"/>
      <c r="F98" s="19">
        <f t="shared" si="18"/>
        <v>0</v>
      </c>
      <c r="G98" s="2"/>
      <c r="H98" s="2">
        <v>1418.58</v>
      </c>
      <c r="I98" s="2"/>
      <c r="J98" s="19">
        <f t="shared" si="19"/>
        <v>8.3077395010823472E-3</v>
      </c>
      <c r="K98" s="2"/>
      <c r="L98" s="2">
        <f t="shared" si="20"/>
        <v>-1418.58</v>
      </c>
      <c r="M98" s="2"/>
      <c r="N98" s="19">
        <f t="shared" si="21"/>
        <v>-1</v>
      </c>
      <c r="O98" s="11"/>
      <c r="P98" s="2">
        <v>0</v>
      </c>
      <c r="Q98" s="2"/>
      <c r="R98" s="19">
        <f t="shared" si="22"/>
        <v>0</v>
      </c>
      <c r="S98" s="2"/>
      <c r="T98" s="2">
        <v>196938.11</v>
      </c>
      <c r="U98" s="2"/>
      <c r="V98" s="19">
        <f t="shared" si="23"/>
        <v>5.3795206866080282E-2</v>
      </c>
      <c r="W98" s="2"/>
      <c r="X98" s="2">
        <f t="shared" si="24"/>
        <v>-196938.11</v>
      </c>
      <c r="Y98" s="2"/>
      <c r="Z98" s="19">
        <f t="shared" si="25"/>
        <v>-1</v>
      </c>
    </row>
    <row r="99" spans="1:26" s="24" customFormat="1" hidden="1" outlineLevel="1" x14ac:dyDescent="0.3">
      <c r="A99" s="44"/>
      <c r="B99" s="11" t="str">
        <f>CONCATENATE("          ", "5011", " - ", "PURCHASES @ COST-NO VALUE TEXT")</f>
        <v xml:space="preserve">          5011 - PURCHASES @ COST-NO VALUE TEXT</v>
      </c>
      <c r="C99" s="11"/>
      <c r="D99" s="2"/>
      <c r="E99" s="2"/>
      <c r="F99" s="19">
        <f t="shared" si="18"/>
        <v>0</v>
      </c>
      <c r="G99" s="2"/>
      <c r="H99" s="2"/>
      <c r="I99" s="2"/>
      <c r="J99" s="19">
        <f t="shared" si="19"/>
        <v>0</v>
      </c>
      <c r="K99" s="2"/>
      <c r="L99" s="2">
        <f t="shared" si="20"/>
        <v>0</v>
      </c>
      <c r="M99" s="2"/>
      <c r="N99" s="19">
        <f t="shared" si="21"/>
        <v>0</v>
      </c>
      <c r="O99" s="11"/>
      <c r="P99" s="2"/>
      <c r="Q99" s="2"/>
      <c r="R99" s="19">
        <f t="shared" si="22"/>
        <v>0</v>
      </c>
      <c r="S99" s="2"/>
      <c r="T99" s="2">
        <v>67.17</v>
      </c>
      <c r="U99" s="2"/>
      <c r="V99" s="19">
        <f t="shared" si="23"/>
        <v>1.8348018294654157E-5</v>
      </c>
      <c r="W99" s="2"/>
      <c r="X99" s="2">
        <f t="shared" si="24"/>
        <v>-67.17</v>
      </c>
      <c r="Y99" s="2"/>
      <c r="Z99" s="19">
        <f t="shared" si="25"/>
        <v>-1</v>
      </c>
    </row>
    <row r="100" spans="1:26" s="24" customFormat="1" hidden="1" outlineLevel="1" x14ac:dyDescent="0.3">
      <c r="A100" s="44"/>
      <c r="B100" s="11" t="str">
        <f>CONCATENATE("          ", "5013", " - ", "PURCHASES @ COST-TRADE BOOKS")</f>
        <v xml:space="preserve">          5013 - PURCHASES @ COST-TRADE BOOKS</v>
      </c>
      <c r="C100" s="11"/>
      <c r="D100" s="2"/>
      <c r="E100" s="2"/>
      <c r="F100" s="19">
        <f t="shared" si="18"/>
        <v>0</v>
      </c>
      <c r="G100" s="2"/>
      <c r="H100" s="2">
        <v>611.1</v>
      </c>
      <c r="I100" s="2"/>
      <c r="J100" s="19">
        <f t="shared" si="19"/>
        <v>3.5788320779310458E-3</v>
      </c>
      <c r="K100" s="2"/>
      <c r="L100" s="2">
        <f t="shared" si="20"/>
        <v>-611.1</v>
      </c>
      <c r="M100" s="2"/>
      <c r="N100" s="19">
        <f t="shared" si="21"/>
        <v>-1</v>
      </c>
      <c r="O100" s="11"/>
      <c r="P100" s="2"/>
      <c r="Q100" s="2"/>
      <c r="R100" s="19">
        <f t="shared" si="22"/>
        <v>0</v>
      </c>
      <c r="S100" s="2"/>
      <c r="T100" s="2">
        <v>2094.7399999999998</v>
      </c>
      <c r="U100" s="2"/>
      <c r="V100" s="19">
        <f t="shared" si="23"/>
        <v>5.721948465467299E-4</v>
      </c>
      <c r="W100" s="2"/>
      <c r="X100" s="2">
        <f t="shared" si="24"/>
        <v>-2094.7399999999998</v>
      </c>
      <c r="Y100" s="2"/>
      <c r="Z100" s="19">
        <f t="shared" si="25"/>
        <v>-1</v>
      </c>
    </row>
    <row r="101" spans="1:26" s="24" customFormat="1" hidden="1" outlineLevel="1" x14ac:dyDescent="0.3">
      <c r="A101" s="44"/>
      <c r="B101" s="11" t="str">
        <f>CONCATENATE("          ", "5014", " - ", "PURCHASES @ COST-REMAINDERS")</f>
        <v xml:space="preserve">          5014 - PURCHASES @ COST-REMAINDERS</v>
      </c>
      <c r="C101" s="11"/>
      <c r="D101" s="2"/>
      <c r="E101" s="2"/>
      <c r="F101" s="19">
        <f t="shared" si="18"/>
        <v>0</v>
      </c>
      <c r="G101" s="2"/>
      <c r="H101" s="2"/>
      <c r="I101" s="2"/>
      <c r="J101" s="19">
        <f t="shared" si="19"/>
        <v>0</v>
      </c>
      <c r="K101" s="2"/>
      <c r="L101" s="2">
        <f t="shared" si="20"/>
        <v>0</v>
      </c>
      <c r="M101" s="2"/>
      <c r="N101" s="19">
        <f t="shared" si="21"/>
        <v>0</v>
      </c>
      <c r="O101" s="11"/>
      <c r="P101" s="2"/>
      <c r="Q101" s="2"/>
      <c r="R101" s="19">
        <f t="shared" si="22"/>
        <v>0</v>
      </c>
      <c r="S101" s="2"/>
      <c r="T101" s="2">
        <v>90.41</v>
      </c>
      <c r="U101" s="2"/>
      <c r="V101" s="19">
        <f t="shared" si="23"/>
        <v>2.4696208635100226E-5</v>
      </c>
      <c r="W101" s="2"/>
      <c r="X101" s="2">
        <f t="shared" si="24"/>
        <v>-90.41</v>
      </c>
      <c r="Y101" s="2"/>
      <c r="Z101" s="19">
        <f t="shared" si="25"/>
        <v>-1</v>
      </c>
    </row>
    <row r="102" spans="1:26" s="24" customFormat="1" hidden="1" outlineLevel="1" x14ac:dyDescent="0.3">
      <c r="A102" s="44"/>
      <c r="B102" s="11" t="str">
        <f>CONCATENATE("          ", "5018", " - ", "PURCHASES @ COST-STUDY GUIDES")</f>
        <v xml:space="preserve">          5018 - PURCHASES @ COST-STUDY GUIDES</v>
      </c>
      <c r="C102" s="11"/>
      <c r="D102" s="2"/>
      <c r="E102" s="2"/>
      <c r="F102" s="19">
        <f t="shared" si="18"/>
        <v>0</v>
      </c>
      <c r="G102" s="2"/>
      <c r="H102" s="2">
        <v>106.34</v>
      </c>
      <c r="I102" s="2"/>
      <c r="J102" s="19">
        <f t="shared" si="19"/>
        <v>6.2276714640351397E-4</v>
      </c>
      <c r="K102" s="2"/>
      <c r="L102" s="2">
        <f t="shared" si="20"/>
        <v>-106.34</v>
      </c>
      <c r="M102" s="2"/>
      <c r="N102" s="19">
        <f t="shared" si="21"/>
        <v>-1</v>
      </c>
      <c r="O102" s="11"/>
      <c r="P102" s="2"/>
      <c r="Q102" s="2"/>
      <c r="R102" s="19">
        <f t="shared" si="22"/>
        <v>0</v>
      </c>
      <c r="S102" s="2"/>
      <c r="T102" s="2">
        <v>106.34</v>
      </c>
      <c r="U102" s="2"/>
      <c r="V102" s="19">
        <f t="shared" si="23"/>
        <v>2.9047614492385339E-5</v>
      </c>
      <c r="W102" s="2"/>
      <c r="X102" s="2">
        <f t="shared" si="24"/>
        <v>-106.34</v>
      </c>
      <c r="Y102" s="2"/>
      <c r="Z102" s="19">
        <f t="shared" si="25"/>
        <v>-1</v>
      </c>
    </row>
    <row r="103" spans="1:26" s="24" customFormat="1" hidden="1" outlineLevel="1" x14ac:dyDescent="0.3">
      <c r="A103" s="44"/>
      <c r="B103" s="11" t="str">
        <f>CONCATENATE("          ", "5025", " - ", "PURCHASES @ COST-TEST FORMS")</f>
        <v xml:space="preserve">          5025 - PURCHASES @ COST-TEST FORMS</v>
      </c>
      <c r="C103" s="11"/>
      <c r="D103" s="2"/>
      <c r="E103" s="2"/>
      <c r="F103" s="19">
        <f t="shared" si="18"/>
        <v>0</v>
      </c>
      <c r="G103" s="2"/>
      <c r="H103" s="2"/>
      <c r="I103" s="2"/>
      <c r="J103" s="19">
        <f t="shared" si="19"/>
        <v>0</v>
      </c>
      <c r="K103" s="2"/>
      <c r="L103" s="2">
        <f t="shared" si="20"/>
        <v>0</v>
      </c>
      <c r="M103" s="2"/>
      <c r="N103" s="19">
        <f t="shared" si="21"/>
        <v>0</v>
      </c>
      <c r="O103" s="11"/>
      <c r="P103" s="2"/>
      <c r="Q103" s="2"/>
      <c r="R103" s="19">
        <f t="shared" si="22"/>
        <v>0</v>
      </c>
      <c r="S103" s="2"/>
      <c r="T103" s="2">
        <v>599.29</v>
      </c>
      <c r="U103" s="2"/>
      <c r="V103" s="19">
        <f t="shared" si="23"/>
        <v>1.6370081708803468E-4</v>
      </c>
      <c r="W103" s="2"/>
      <c r="X103" s="2">
        <f t="shared" si="24"/>
        <v>-599.29</v>
      </c>
      <c r="Y103" s="2"/>
      <c r="Z103" s="19">
        <f t="shared" si="25"/>
        <v>-1</v>
      </c>
    </row>
    <row r="104" spans="1:26" s="24" customFormat="1" hidden="1" outlineLevel="1" x14ac:dyDescent="0.3">
      <c r="A104" s="44"/>
      <c r="B104" s="11" t="str">
        <f>CONCATENATE("          ", "5026", " - ", "PURCHASES @ COST-WRITING INSTR")</f>
        <v xml:space="preserve">          5026 - PURCHASES @ COST-WRITING INSTR</v>
      </c>
      <c r="C104" s="11"/>
      <c r="D104" s="2"/>
      <c r="E104" s="2"/>
      <c r="F104" s="19">
        <f t="shared" si="18"/>
        <v>0</v>
      </c>
      <c r="G104" s="2"/>
      <c r="H104" s="2"/>
      <c r="I104" s="2"/>
      <c r="J104" s="19">
        <f t="shared" si="19"/>
        <v>0</v>
      </c>
      <c r="K104" s="2"/>
      <c r="L104" s="2">
        <f t="shared" si="20"/>
        <v>0</v>
      </c>
      <c r="M104" s="2"/>
      <c r="N104" s="19">
        <f t="shared" si="21"/>
        <v>0</v>
      </c>
      <c r="O104" s="11"/>
      <c r="P104" s="2">
        <v>0</v>
      </c>
      <c r="Q104" s="2"/>
      <c r="R104" s="19">
        <f t="shared" si="22"/>
        <v>0</v>
      </c>
      <c r="S104" s="2"/>
      <c r="T104" s="2">
        <v>380.02</v>
      </c>
      <c r="U104" s="2"/>
      <c r="V104" s="19">
        <f t="shared" si="23"/>
        <v>1.0380547733116678E-4</v>
      </c>
      <c r="W104" s="2"/>
      <c r="X104" s="2">
        <f t="shared" si="24"/>
        <v>-380.02</v>
      </c>
      <c r="Y104" s="2"/>
      <c r="Z104" s="19">
        <f t="shared" si="25"/>
        <v>-1</v>
      </c>
    </row>
    <row r="105" spans="1:26" s="24" customFormat="1" hidden="1" outlineLevel="1" x14ac:dyDescent="0.3">
      <c r="A105" s="44"/>
      <c r="B105" s="11" t="str">
        <f>CONCATENATE("          ", "5027", " - ", "PURCHASES @ COST-SCHOOL SUPPLI")</f>
        <v xml:space="preserve">          5027 - PURCHASES @ COST-SCHOOL SUPPLI</v>
      </c>
      <c r="C105" s="11"/>
      <c r="D105" s="2"/>
      <c r="E105" s="2"/>
      <c r="F105" s="19">
        <f t="shared" si="18"/>
        <v>0</v>
      </c>
      <c r="G105" s="2"/>
      <c r="H105" s="2"/>
      <c r="I105" s="2"/>
      <c r="J105" s="19">
        <f t="shared" si="19"/>
        <v>0</v>
      </c>
      <c r="K105" s="2"/>
      <c r="L105" s="2">
        <f t="shared" si="20"/>
        <v>0</v>
      </c>
      <c r="M105" s="2"/>
      <c r="N105" s="19">
        <f t="shared" si="21"/>
        <v>0</v>
      </c>
      <c r="O105" s="11"/>
      <c r="P105" s="2">
        <v>0</v>
      </c>
      <c r="Q105" s="2"/>
      <c r="R105" s="19">
        <f t="shared" si="22"/>
        <v>0</v>
      </c>
      <c r="S105" s="2"/>
      <c r="T105" s="2">
        <v>19071.349999999999</v>
      </c>
      <c r="U105" s="2"/>
      <c r="V105" s="19">
        <f t="shared" si="23"/>
        <v>5.2094905270768576E-3</v>
      </c>
      <c r="W105" s="2"/>
      <c r="X105" s="2">
        <f t="shared" si="24"/>
        <v>-19071.349999999999</v>
      </c>
      <c r="Y105" s="2"/>
      <c r="Z105" s="19">
        <f t="shared" si="25"/>
        <v>-1</v>
      </c>
    </row>
    <row r="106" spans="1:26" s="24" customFormat="1" hidden="1" outlineLevel="1" x14ac:dyDescent="0.3">
      <c r="A106" s="44"/>
      <c r="B106" s="11" t="str">
        <f>CONCATENATE("          ", "5028", " - ", "PURCHASES @ COST-ART/TECH")</f>
        <v xml:space="preserve">          5028 - PURCHASES @ COST-ART/TECH</v>
      </c>
      <c r="C106" s="11"/>
      <c r="D106" s="2"/>
      <c r="E106" s="2"/>
      <c r="F106" s="19">
        <f t="shared" si="18"/>
        <v>0</v>
      </c>
      <c r="G106" s="2"/>
      <c r="H106" s="2">
        <v>15.89</v>
      </c>
      <c r="I106" s="2"/>
      <c r="J106" s="19">
        <f t="shared" si="19"/>
        <v>9.3057832954220775E-5</v>
      </c>
      <c r="K106" s="2"/>
      <c r="L106" s="2">
        <f t="shared" si="20"/>
        <v>-15.89</v>
      </c>
      <c r="M106" s="2"/>
      <c r="N106" s="19">
        <f t="shared" si="21"/>
        <v>-1</v>
      </c>
      <c r="O106" s="11"/>
      <c r="P106" s="2">
        <v>0</v>
      </c>
      <c r="Q106" s="2"/>
      <c r="R106" s="19">
        <f t="shared" si="22"/>
        <v>0</v>
      </c>
      <c r="S106" s="2"/>
      <c r="T106" s="2">
        <v>41358.449999999997</v>
      </c>
      <c r="U106" s="2"/>
      <c r="V106" s="19">
        <f t="shared" si="23"/>
        <v>1.1297388674088717E-2</v>
      </c>
      <c r="W106" s="2"/>
      <c r="X106" s="2">
        <f t="shared" si="24"/>
        <v>-41358.449999999997</v>
      </c>
      <c r="Y106" s="2"/>
      <c r="Z106" s="19">
        <f t="shared" si="25"/>
        <v>-1</v>
      </c>
    </row>
    <row r="107" spans="1:26" s="24" customFormat="1" hidden="1" outlineLevel="1" x14ac:dyDescent="0.3">
      <c r="A107" s="44"/>
      <c r="B107" s="11" t="str">
        <f>CONCATENATE("          ", "5031", " - ", "PURCHASES @ COST-FOOD")</f>
        <v xml:space="preserve">          5031 - PURCHASES @ COST-FOOD</v>
      </c>
      <c r="C107" s="11"/>
      <c r="D107" s="2"/>
      <c r="E107" s="2"/>
      <c r="F107" s="19">
        <f t="shared" si="18"/>
        <v>0</v>
      </c>
      <c r="G107" s="2"/>
      <c r="H107" s="2"/>
      <c r="I107" s="2"/>
      <c r="J107" s="19">
        <f t="shared" si="19"/>
        <v>0</v>
      </c>
      <c r="K107" s="2"/>
      <c r="L107" s="2">
        <f t="shared" si="20"/>
        <v>0</v>
      </c>
      <c r="M107" s="2"/>
      <c r="N107" s="19">
        <f t="shared" si="21"/>
        <v>0</v>
      </c>
      <c r="O107" s="11"/>
      <c r="P107" s="2">
        <v>0</v>
      </c>
      <c r="Q107" s="2"/>
      <c r="R107" s="19">
        <f t="shared" si="22"/>
        <v>0</v>
      </c>
      <c r="S107" s="2"/>
      <c r="T107" s="2">
        <v>8535.1</v>
      </c>
      <c r="U107" s="2"/>
      <c r="V107" s="19">
        <f t="shared" si="23"/>
        <v>2.3314302656945469E-3</v>
      </c>
      <c r="W107" s="2"/>
      <c r="X107" s="2">
        <f t="shared" si="24"/>
        <v>-8535.1</v>
      </c>
      <c r="Y107" s="2"/>
      <c r="Z107" s="19">
        <f t="shared" si="25"/>
        <v>-1</v>
      </c>
    </row>
    <row r="108" spans="1:26" s="24" customFormat="1" hidden="1" outlineLevel="1" x14ac:dyDescent="0.3">
      <c r="A108" s="44"/>
      <c r="B108" s="11" t="str">
        <f>CONCATENATE("          ", "5040", " - ", "PURCHASES @ COST-LOGO CLOTHING")</f>
        <v xml:space="preserve">          5040 - PURCHASES @ COST-LOGO CLOTHING</v>
      </c>
      <c r="C108" s="11"/>
      <c r="D108" s="2"/>
      <c r="E108" s="2"/>
      <c r="F108" s="19">
        <f t="shared" si="18"/>
        <v>0</v>
      </c>
      <c r="G108" s="2"/>
      <c r="H108" s="2">
        <v>55124.33</v>
      </c>
      <c r="I108" s="2"/>
      <c r="J108" s="19">
        <f t="shared" si="19"/>
        <v>0.32282886676232481</v>
      </c>
      <c r="K108" s="2"/>
      <c r="L108" s="2">
        <f t="shared" si="20"/>
        <v>-55124.33</v>
      </c>
      <c r="M108" s="2"/>
      <c r="N108" s="19">
        <f t="shared" si="21"/>
        <v>-1</v>
      </c>
      <c r="O108" s="11"/>
      <c r="P108" s="2">
        <v>0</v>
      </c>
      <c r="Q108" s="2"/>
      <c r="R108" s="19">
        <f t="shared" si="22"/>
        <v>0</v>
      </c>
      <c r="S108" s="2"/>
      <c r="T108" s="2">
        <v>94295.28</v>
      </c>
      <c r="U108" s="2"/>
      <c r="V108" s="19">
        <f t="shared" si="23"/>
        <v>2.5757503685269259E-2</v>
      </c>
      <c r="W108" s="2"/>
      <c r="X108" s="2">
        <f t="shared" si="24"/>
        <v>-94295.28</v>
      </c>
      <c r="Y108" s="2"/>
      <c r="Z108" s="19">
        <f t="shared" si="25"/>
        <v>-1</v>
      </c>
    </row>
    <row r="109" spans="1:26" s="24" customFormat="1" hidden="1" outlineLevel="1" x14ac:dyDescent="0.3">
      <c r="A109" s="44"/>
      <c r="B109" s="11" t="str">
        <f>CONCATENATE("          ", "5041", " - ", "PURCHASES @ COST-LOGO GIFTS")</f>
        <v xml:space="preserve">          5041 - PURCHASES @ COST-LOGO GIFTS</v>
      </c>
      <c r="C109" s="11"/>
      <c r="D109" s="2"/>
      <c r="E109" s="2"/>
      <c r="F109" s="19">
        <f t="shared" si="18"/>
        <v>0</v>
      </c>
      <c r="G109" s="2"/>
      <c r="H109" s="2">
        <v>9354.43</v>
      </c>
      <c r="I109" s="2"/>
      <c r="J109" s="19">
        <f t="shared" si="19"/>
        <v>5.4783070127246786E-2</v>
      </c>
      <c r="K109" s="2"/>
      <c r="L109" s="2">
        <f t="shared" si="20"/>
        <v>-9354.43</v>
      </c>
      <c r="M109" s="2"/>
      <c r="N109" s="19">
        <f t="shared" si="21"/>
        <v>-1</v>
      </c>
      <c r="O109" s="11"/>
      <c r="P109" s="2">
        <v>0</v>
      </c>
      <c r="Q109" s="2"/>
      <c r="R109" s="19">
        <f t="shared" si="22"/>
        <v>0</v>
      </c>
      <c r="S109" s="2"/>
      <c r="T109" s="2">
        <v>26641.77</v>
      </c>
      <c r="U109" s="2"/>
      <c r="V109" s="19">
        <f t="shared" si="23"/>
        <v>7.2774107988978461E-3</v>
      </c>
      <c r="W109" s="2"/>
      <c r="X109" s="2">
        <f t="shared" si="24"/>
        <v>-26641.77</v>
      </c>
      <c r="Y109" s="2"/>
      <c r="Z109" s="19">
        <f t="shared" si="25"/>
        <v>-1</v>
      </c>
    </row>
    <row r="110" spans="1:26" s="24" customFormat="1" hidden="1" outlineLevel="1" x14ac:dyDescent="0.3">
      <c r="A110" s="44"/>
      <c r="B110" s="11" t="str">
        <f>CONCATENATE("          ", "5042", " - ", "PURCHASES @ COST-EVERYDAY GIFT")</f>
        <v xml:space="preserve">          5042 - PURCHASES @ COST-EVERYDAY GIFT</v>
      </c>
      <c r="C110" s="11"/>
      <c r="D110" s="2"/>
      <c r="E110" s="2"/>
      <c r="F110" s="19">
        <f t="shared" si="18"/>
        <v>0</v>
      </c>
      <c r="G110" s="2"/>
      <c r="H110" s="2"/>
      <c r="I110" s="2"/>
      <c r="J110" s="19">
        <f t="shared" si="19"/>
        <v>0</v>
      </c>
      <c r="K110" s="2"/>
      <c r="L110" s="2">
        <f t="shared" si="20"/>
        <v>0</v>
      </c>
      <c r="M110" s="2"/>
      <c r="N110" s="19">
        <f t="shared" si="21"/>
        <v>0</v>
      </c>
      <c r="O110" s="11"/>
      <c r="P110" s="2">
        <v>0</v>
      </c>
      <c r="Q110" s="2"/>
      <c r="R110" s="19">
        <f t="shared" si="22"/>
        <v>0</v>
      </c>
      <c r="S110" s="2"/>
      <c r="T110" s="2">
        <v>10912.68</v>
      </c>
      <c r="U110" s="2"/>
      <c r="V110" s="19">
        <f t="shared" si="23"/>
        <v>2.9808851017374799E-3</v>
      </c>
      <c r="W110" s="2"/>
      <c r="X110" s="2">
        <f t="shared" si="24"/>
        <v>-10912.68</v>
      </c>
      <c r="Y110" s="2"/>
      <c r="Z110" s="19">
        <f t="shared" si="25"/>
        <v>-1</v>
      </c>
    </row>
    <row r="111" spans="1:26" s="24" customFormat="1" hidden="1" outlineLevel="1" x14ac:dyDescent="0.3">
      <c r="A111" s="44"/>
      <c r="B111" s="11" t="str">
        <f>CONCATENATE("          ", "5043", " - ", "PURCHASES @ COST-CARDS")</f>
        <v xml:space="preserve">          5043 - PURCHASES @ COST-CARDS</v>
      </c>
      <c r="C111" s="11"/>
      <c r="D111" s="2"/>
      <c r="E111" s="2"/>
      <c r="F111" s="19">
        <f t="shared" si="18"/>
        <v>0</v>
      </c>
      <c r="G111" s="2"/>
      <c r="H111" s="2">
        <v>38530.230000000003</v>
      </c>
      <c r="I111" s="2"/>
      <c r="J111" s="19">
        <f t="shared" si="19"/>
        <v>0.22564755865498465</v>
      </c>
      <c r="K111" s="2"/>
      <c r="L111" s="2">
        <f t="shared" si="20"/>
        <v>-38530.230000000003</v>
      </c>
      <c r="M111" s="2"/>
      <c r="N111" s="19">
        <f t="shared" si="21"/>
        <v>-1</v>
      </c>
      <c r="O111" s="11"/>
      <c r="P111" s="2">
        <v>0</v>
      </c>
      <c r="Q111" s="2"/>
      <c r="R111" s="19">
        <f t="shared" si="22"/>
        <v>0</v>
      </c>
      <c r="S111" s="2"/>
      <c r="T111" s="2">
        <v>44173.23</v>
      </c>
      <c r="U111" s="2"/>
      <c r="V111" s="19">
        <f t="shared" si="23"/>
        <v>1.2066268158016464E-2</v>
      </c>
      <c r="W111" s="2"/>
      <c r="X111" s="2">
        <f t="shared" si="24"/>
        <v>-44173.23</v>
      </c>
      <c r="Y111" s="2"/>
      <c r="Z111" s="19">
        <f t="shared" si="25"/>
        <v>-1</v>
      </c>
    </row>
    <row r="112" spans="1:26" s="24" customFormat="1" hidden="1" outlineLevel="1" x14ac:dyDescent="0.3">
      <c r="A112" s="44"/>
      <c r="B112" s="11" t="str">
        <f>CONCATENATE("          ", "5044", " - ", "PURCHASES @ COST-ACCESSORIES")</f>
        <v xml:space="preserve">          5044 - PURCHASES @ COST-ACCESSORIES</v>
      </c>
      <c r="C112" s="11"/>
      <c r="D112" s="2"/>
      <c r="E112" s="2"/>
      <c r="F112" s="19">
        <f t="shared" si="18"/>
        <v>0</v>
      </c>
      <c r="G112" s="2"/>
      <c r="H112" s="2">
        <v>282.33</v>
      </c>
      <c r="I112" s="2"/>
      <c r="J112" s="19">
        <f t="shared" si="19"/>
        <v>1.6534309614830176E-3</v>
      </c>
      <c r="K112" s="2"/>
      <c r="L112" s="2">
        <f t="shared" si="20"/>
        <v>-282.33</v>
      </c>
      <c r="M112" s="2"/>
      <c r="N112" s="19">
        <f t="shared" si="21"/>
        <v>-1</v>
      </c>
      <c r="O112" s="11"/>
      <c r="P112" s="2">
        <v>0</v>
      </c>
      <c r="Q112" s="2"/>
      <c r="R112" s="19">
        <f t="shared" si="22"/>
        <v>0</v>
      </c>
      <c r="S112" s="2"/>
      <c r="T112" s="2">
        <v>282.33</v>
      </c>
      <c r="U112" s="2"/>
      <c r="V112" s="19">
        <f t="shared" si="23"/>
        <v>7.7120678950866578E-5</v>
      </c>
      <c r="W112" s="2"/>
      <c r="X112" s="2">
        <f t="shared" si="24"/>
        <v>-282.33</v>
      </c>
      <c r="Y112" s="2"/>
      <c r="Z112" s="19">
        <f t="shared" si="25"/>
        <v>-1</v>
      </c>
    </row>
    <row r="113" spans="1:26" s="24" customFormat="1" hidden="1" outlineLevel="1" x14ac:dyDescent="0.3">
      <c r="A113" s="44"/>
      <c r="B113" s="11" t="str">
        <f>CONCATENATE("          ", "5045", " - ", "PURCHASES @ COST-SPECIAL ORDER")</f>
        <v xml:space="preserve">          5045 - PURCHASES @ COST-SPECIAL ORDER</v>
      </c>
      <c r="C113" s="11"/>
      <c r="D113" s="2"/>
      <c r="E113" s="2"/>
      <c r="F113" s="19">
        <f t="shared" si="18"/>
        <v>0</v>
      </c>
      <c r="G113" s="2"/>
      <c r="H113" s="2">
        <v>5678</v>
      </c>
      <c r="I113" s="2"/>
      <c r="J113" s="19">
        <f t="shared" si="19"/>
        <v>3.3252509472250821E-2</v>
      </c>
      <c r="K113" s="2"/>
      <c r="L113" s="2">
        <f t="shared" si="20"/>
        <v>-5678</v>
      </c>
      <c r="M113" s="2"/>
      <c r="N113" s="19">
        <f t="shared" si="21"/>
        <v>-1</v>
      </c>
      <c r="O113" s="11"/>
      <c r="P113" s="2">
        <v>0</v>
      </c>
      <c r="Q113" s="2"/>
      <c r="R113" s="19">
        <f t="shared" si="22"/>
        <v>0</v>
      </c>
      <c r="S113" s="2"/>
      <c r="T113" s="2">
        <v>76932.52</v>
      </c>
      <c r="U113" s="2"/>
      <c r="V113" s="19">
        <f t="shared" si="23"/>
        <v>2.1014728069284606E-2</v>
      </c>
      <c r="W113" s="2"/>
      <c r="X113" s="2">
        <f t="shared" si="24"/>
        <v>-76932.52</v>
      </c>
      <c r="Y113" s="2"/>
      <c r="Z113" s="19">
        <f t="shared" si="25"/>
        <v>-1</v>
      </c>
    </row>
    <row r="114" spans="1:26" s="24" customFormat="1" hidden="1" outlineLevel="1" x14ac:dyDescent="0.3">
      <c r="A114" s="44"/>
      <c r="B114" s="11" t="str">
        <f>CONCATENATE("          ", "5081", " - ", "PURCHASES @ COST-ELECTRONICS")</f>
        <v xml:space="preserve">          5081 - PURCHASES @ COST-ELECTRONICS</v>
      </c>
      <c r="C114" s="11"/>
      <c r="D114" s="2"/>
      <c r="E114" s="2"/>
      <c r="F114" s="19">
        <f t="shared" si="18"/>
        <v>0</v>
      </c>
      <c r="G114" s="2"/>
      <c r="H114" s="2">
        <v>2367.86</v>
      </c>
      <c r="I114" s="2"/>
      <c r="J114" s="19">
        <f t="shared" si="19"/>
        <v>1.3867081204467037E-2</v>
      </c>
      <c r="K114" s="2"/>
      <c r="L114" s="2">
        <f t="shared" si="20"/>
        <v>-2367.86</v>
      </c>
      <c r="M114" s="2"/>
      <c r="N114" s="19">
        <f t="shared" si="21"/>
        <v>-1</v>
      </c>
      <c r="O114" s="11"/>
      <c r="P114" s="2">
        <v>0</v>
      </c>
      <c r="Q114" s="2"/>
      <c r="R114" s="19">
        <f t="shared" si="22"/>
        <v>0</v>
      </c>
      <c r="S114" s="2"/>
      <c r="T114" s="2">
        <v>24315.07</v>
      </c>
      <c r="U114" s="2"/>
      <c r="V114" s="19">
        <f t="shared" si="23"/>
        <v>6.6418542384367495E-3</v>
      </c>
      <c r="W114" s="2"/>
      <c r="X114" s="2">
        <f t="shared" si="24"/>
        <v>-24315.07</v>
      </c>
      <c r="Y114" s="2"/>
      <c r="Z114" s="19">
        <f t="shared" si="25"/>
        <v>-1</v>
      </c>
    </row>
    <row r="115" spans="1:26" s="24" customFormat="1" hidden="1" outlineLevel="1" x14ac:dyDescent="0.3">
      <c r="A115" s="44"/>
      <c r="B115" s="11" t="str">
        <f>CONCATENATE("          ", "5082", " - ", "PURCHASES @ COST-COMPUTER HARD")</f>
        <v xml:space="preserve">          5082 - PURCHASES @ COST-COMPUTER HARD</v>
      </c>
      <c r="C115" s="11"/>
      <c r="D115" s="2">
        <v>-3384.72</v>
      </c>
      <c r="E115" s="2"/>
      <c r="F115" s="19">
        <f t="shared" si="18"/>
        <v>-8.7400337297668905E-3</v>
      </c>
      <c r="G115" s="2"/>
      <c r="H115" s="2">
        <v>71242.03</v>
      </c>
      <c r="I115" s="2"/>
      <c r="J115" s="19">
        <f t="shared" si="19"/>
        <v>0.41722019679418409</v>
      </c>
      <c r="K115" s="2"/>
      <c r="L115" s="2">
        <f t="shared" si="20"/>
        <v>-74626.75</v>
      </c>
      <c r="M115" s="2"/>
      <c r="N115" s="19">
        <f t="shared" si="21"/>
        <v>-1.0475101565747074</v>
      </c>
      <c r="O115" s="11"/>
      <c r="P115" s="2">
        <v>-80709.45</v>
      </c>
      <c r="Q115" s="2"/>
      <c r="R115" s="19">
        <f t="shared" si="22"/>
        <v>-2.0197484142589633E-2</v>
      </c>
      <c r="S115" s="2"/>
      <c r="T115" s="2">
        <v>960020.11</v>
      </c>
      <c r="U115" s="2"/>
      <c r="V115" s="19">
        <f t="shared" si="23"/>
        <v>0.26223710795765814</v>
      </c>
      <c r="W115" s="2"/>
      <c r="X115" s="2">
        <f t="shared" si="24"/>
        <v>-1040729.5599999999</v>
      </c>
      <c r="Y115" s="2"/>
      <c r="Z115" s="19">
        <f t="shared" si="25"/>
        <v>-1.0840705826464405</v>
      </c>
    </row>
    <row r="116" spans="1:26" s="24" customFormat="1" hidden="1" outlineLevel="1" x14ac:dyDescent="0.3">
      <c r="A116" s="44"/>
      <c r="B116" s="11" t="str">
        <f>CONCATENATE("          ", "5083", " - ", "PURCHASES @ COST-COMPUTER EQUI")</f>
        <v xml:space="preserve">          5083 - PURCHASES @ COST-COMPUTER EQUI</v>
      </c>
      <c r="C116" s="11"/>
      <c r="D116" s="2"/>
      <c r="E116" s="2"/>
      <c r="F116" s="19">
        <f t="shared" si="18"/>
        <v>0</v>
      </c>
      <c r="G116" s="2"/>
      <c r="H116" s="2">
        <v>2620.17</v>
      </c>
      <c r="I116" s="2"/>
      <c r="J116" s="19">
        <f t="shared" si="19"/>
        <v>1.5344703723830124E-2</v>
      </c>
      <c r="K116" s="2"/>
      <c r="L116" s="2">
        <f t="shared" si="20"/>
        <v>-2620.17</v>
      </c>
      <c r="M116" s="2"/>
      <c r="N116" s="19">
        <f t="shared" si="21"/>
        <v>-1</v>
      </c>
      <c r="O116" s="11"/>
      <c r="P116" s="2">
        <v>0</v>
      </c>
      <c r="Q116" s="2"/>
      <c r="R116" s="19">
        <f t="shared" si="22"/>
        <v>0</v>
      </c>
      <c r="S116" s="2"/>
      <c r="T116" s="2">
        <v>75893.119999999995</v>
      </c>
      <c r="U116" s="2"/>
      <c r="V116" s="19">
        <f t="shared" si="23"/>
        <v>2.073080771472954E-2</v>
      </c>
      <c r="W116" s="2"/>
      <c r="X116" s="2">
        <f t="shared" si="24"/>
        <v>-75893.119999999995</v>
      </c>
      <c r="Y116" s="2"/>
      <c r="Z116" s="19">
        <f t="shared" si="25"/>
        <v>-1</v>
      </c>
    </row>
    <row r="117" spans="1:26" s="24" customFormat="1" hidden="1" outlineLevel="1" x14ac:dyDescent="0.3">
      <c r="A117" s="44"/>
      <c r="B117" s="11" t="str">
        <f>CONCATENATE("          ", "5085", " - ", "PURCHASES @ COST-SOFTWARE")</f>
        <v xml:space="preserve">          5085 - PURCHASES @ COST-SOFTWARE</v>
      </c>
      <c r="C117" s="11"/>
      <c r="D117" s="2"/>
      <c r="E117" s="2"/>
      <c r="F117" s="19">
        <f t="shared" si="18"/>
        <v>0</v>
      </c>
      <c r="G117" s="2"/>
      <c r="H117" s="2">
        <v>3394.72</v>
      </c>
      <c r="I117" s="2"/>
      <c r="J117" s="19">
        <f t="shared" si="19"/>
        <v>1.9880760647347534E-2</v>
      </c>
      <c r="K117" s="2"/>
      <c r="L117" s="2">
        <f t="shared" si="20"/>
        <v>-3394.72</v>
      </c>
      <c r="M117" s="2"/>
      <c r="N117" s="19">
        <f t="shared" si="21"/>
        <v>-1</v>
      </c>
      <c r="O117" s="11"/>
      <c r="P117" s="2">
        <v>0</v>
      </c>
      <c r="Q117" s="2"/>
      <c r="R117" s="19">
        <f t="shared" si="22"/>
        <v>0</v>
      </c>
      <c r="S117" s="2"/>
      <c r="T117" s="2">
        <v>24075.919999999998</v>
      </c>
      <c r="U117" s="2"/>
      <c r="V117" s="19">
        <f t="shared" si="23"/>
        <v>6.5765285189910662E-3</v>
      </c>
      <c r="W117" s="2"/>
      <c r="X117" s="2">
        <f t="shared" si="24"/>
        <v>-24075.919999999998</v>
      </c>
      <c r="Y117" s="2"/>
      <c r="Z117" s="19">
        <f t="shared" si="25"/>
        <v>-1</v>
      </c>
    </row>
    <row r="118" spans="1:26" s="24" customFormat="1" hidden="1" outlineLevel="1" x14ac:dyDescent="0.3">
      <c r="A118" s="44"/>
      <c r="B118" s="11" t="str">
        <f>CONCATENATE("          ", "5086", " - ", "PURCHASES @ COST-COMPUTER SUPP")</f>
        <v xml:space="preserve">          5086 - PURCHASES @ COST-COMPUTER SUPP</v>
      </c>
      <c r="C118" s="11"/>
      <c r="D118" s="2"/>
      <c r="E118" s="2"/>
      <c r="F118" s="19">
        <f t="shared" si="18"/>
        <v>0</v>
      </c>
      <c r="G118" s="2"/>
      <c r="H118" s="2">
        <v>189.17</v>
      </c>
      <c r="I118" s="2"/>
      <c r="J118" s="19">
        <f t="shared" si="19"/>
        <v>1.1078508659502796E-3</v>
      </c>
      <c r="K118" s="2"/>
      <c r="L118" s="2">
        <f t="shared" si="20"/>
        <v>-189.17</v>
      </c>
      <c r="M118" s="2"/>
      <c r="N118" s="19">
        <f t="shared" si="21"/>
        <v>-1</v>
      </c>
      <c r="O118" s="11"/>
      <c r="P118" s="2">
        <v>0</v>
      </c>
      <c r="Q118" s="2"/>
      <c r="R118" s="19">
        <f t="shared" si="22"/>
        <v>0</v>
      </c>
      <c r="S118" s="2"/>
      <c r="T118" s="2">
        <v>22718.61</v>
      </c>
      <c r="U118" s="2"/>
      <c r="V118" s="19">
        <f t="shared" si="23"/>
        <v>6.2057685262634048E-3</v>
      </c>
      <c r="W118" s="2"/>
      <c r="X118" s="2">
        <f t="shared" si="24"/>
        <v>-22718.61</v>
      </c>
      <c r="Y118" s="2"/>
      <c r="Z118" s="19">
        <f t="shared" si="25"/>
        <v>-1</v>
      </c>
    </row>
    <row r="119" spans="1:26" s="24" customFormat="1" hidden="1" outlineLevel="1" x14ac:dyDescent="0.3">
      <c r="A119" s="44"/>
      <c r="B119" s="11" t="str">
        <f>CONCATENATE("          ", "5092", " - ", "PURCHASES @ COST-GRAD MERCH")</f>
        <v xml:space="preserve">          5092 - PURCHASES @ COST-GRAD MERCH</v>
      </c>
      <c r="C119" s="11"/>
      <c r="D119" s="2"/>
      <c r="E119" s="2"/>
      <c r="F119" s="19">
        <f t="shared" si="18"/>
        <v>0</v>
      </c>
      <c r="G119" s="2"/>
      <c r="H119" s="2"/>
      <c r="I119" s="2"/>
      <c r="J119" s="19">
        <f t="shared" si="19"/>
        <v>0</v>
      </c>
      <c r="K119" s="2"/>
      <c r="L119" s="2">
        <f t="shared" si="20"/>
        <v>0</v>
      </c>
      <c r="M119" s="2"/>
      <c r="N119" s="19">
        <f t="shared" si="21"/>
        <v>0</v>
      </c>
      <c r="O119" s="11"/>
      <c r="P119" s="2"/>
      <c r="Q119" s="2"/>
      <c r="R119" s="19">
        <f t="shared" si="22"/>
        <v>0</v>
      </c>
      <c r="S119" s="2"/>
      <c r="T119" s="2">
        <v>0</v>
      </c>
      <c r="U119" s="2"/>
      <c r="V119" s="19">
        <f t="shared" si="23"/>
        <v>0</v>
      </c>
      <c r="W119" s="2"/>
      <c r="X119" s="2">
        <f t="shared" si="24"/>
        <v>0</v>
      </c>
      <c r="Y119" s="2"/>
      <c r="Z119" s="19">
        <f t="shared" si="25"/>
        <v>0</v>
      </c>
    </row>
    <row r="120" spans="1:26" s="24" customFormat="1" hidden="1" outlineLevel="1" x14ac:dyDescent="0.3">
      <c r="A120" s="44"/>
      <c r="B120" s="11" t="str">
        <f>CONCATENATE("          ", "5200", " - ", "PURCHASES OFFSET")</f>
        <v xml:space="preserve">          5200 - PURCHASES OFFSET</v>
      </c>
      <c r="C120" s="11"/>
      <c r="D120" s="2">
        <v>427.46</v>
      </c>
      <c r="E120" s="2"/>
      <c r="F120" s="19">
        <f t="shared" si="18"/>
        <v>1.1037884428035864E-3</v>
      </c>
      <c r="G120" s="2"/>
      <c r="H120" s="2">
        <v>120893.8</v>
      </c>
      <c r="I120" s="2"/>
      <c r="J120" s="19">
        <f t="shared" si="19"/>
        <v>0.70799968820648052</v>
      </c>
      <c r="K120" s="2"/>
      <c r="L120" s="2">
        <f t="shared" si="20"/>
        <v>-120466.34</v>
      </c>
      <c r="M120" s="2"/>
      <c r="N120" s="19">
        <f t="shared" si="21"/>
        <v>-0.99646416937841309</v>
      </c>
      <c r="O120" s="11"/>
      <c r="P120" s="2">
        <v>-2798823.91</v>
      </c>
      <c r="Q120" s="2"/>
      <c r="R120" s="19">
        <f t="shared" si="22"/>
        <v>-0.70040375123514931</v>
      </c>
      <c r="S120" s="2"/>
      <c r="T120" s="2">
        <v>-2675815.56</v>
      </c>
      <c r="U120" s="2"/>
      <c r="V120" s="19">
        <f t="shared" si="23"/>
        <v>-0.73092024487122609</v>
      </c>
      <c r="W120" s="2"/>
      <c r="X120" s="2">
        <f t="shared" si="24"/>
        <v>-123008.35000000009</v>
      </c>
      <c r="Y120" s="2"/>
      <c r="Z120" s="19">
        <f t="shared" si="25"/>
        <v>4.5970414343505829E-2</v>
      </c>
    </row>
    <row r="121" spans="1:26" s="24" customFormat="1" hidden="1" outlineLevel="1" x14ac:dyDescent="0.3">
      <c r="A121" s="44"/>
      <c r="B121" s="11" t="str">
        <f>CONCATENATE("          ", "5300", " - ", "COG$ OFFSET")</f>
        <v xml:space="preserve">          5300 - COG$ OFFSET</v>
      </c>
      <c r="C121" s="11"/>
      <c r="D121" s="2">
        <v>224057.66</v>
      </c>
      <c r="E121" s="2"/>
      <c r="F121" s="19">
        <f t="shared" si="18"/>
        <v>0.57856233479065977</v>
      </c>
      <c r="G121" s="2"/>
      <c r="H121" s="2">
        <v>117369</v>
      </c>
      <c r="I121" s="2"/>
      <c r="J121" s="19">
        <f t="shared" si="19"/>
        <v>0.68735713001912768</v>
      </c>
      <c r="K121" s="2"/>
      <c r="L121" s="2">
        <f t="shared" si="20"/>
        <v>106688.66</v>
      </c>
      <c r="M121" s="2"/>
      <c r="N121" s="19">
        <f t="shared" si="21"/>
        <v>0.90900203631282539</v>
      </c>
      <c r="O121" s="11"/>
      <c r="P121" s="2">
        <v>2483449.54</v>
      </c>
      <c r="Q121" s="2"/>
      <c r="R121" s="19">
        <f t="shared" si="22"/>
        <v>0.62148153286971375</v>
      </c>
      <c r="S121" s="2"/>
      <c r="T121" s="2">
        <v>2394333</v>
      </c>
      <c r="U121" s="2"/>
      <c r="V121" s="19">
        <f t="shared" si="23"/>
        <v>0.65403105087828151</v>
      </c>
      <c r="W121" s="2"/>
      <c r="X121" s="2">
        <f t="shared" si="24"/>
        <v>89116.540000000037</v>
      </c>
      <c r="Y121" s="2"/>
      <c r="Z121" s="19">
        <f t="shared" si="25"/>
        <v>3.7219776864788667E-2</v>
      </c>
    </row>
    <row r="122" spans="1:26" s="24" customFormat="1" hidden="1" outlineLevel="1" x14ac:dyDescent="0.3">
      <c r="A122" s="44"/>
      <c r="B122" s="11" t="str">
        <f>CONCATENATE("          ", "5500", " - ", "FREIGHT-IN")</f>
        <v xml:space="preserve">          5500 - FREIGHT-IN</v>
      </c>
      <c r="C122" s="11"/>
      <c r="D122" s="2">
        <v>11121.1</v>
      </c>
      <c r="E122" s="2"/>
      <c r="F122" s="19">
        <f t="shared" si="18"/>
        <v>2.8716936441451752E-2</v>
      </c>
      <c r="G122" s="2"/>
      <c r="H122" s="2"/>
      <c r="I122" s="2"/>
      <c r="J122" s="19">
        <f t="shared" si="19"/>
        <v>0</v>
      </c>
      <c r="K122" s="2"/>
      <c r="L122" s="2">
        <f t="shared" si="20"/>
        <v>11121.1</v>
      </c>
      <c r="M122" s="2"/>
      <c r="N122" s="19">
        <f t="shared" si="21"/>
        <v>0</v>
      </c>
      <c r="O122" s="11"/>
      <c r="P122" s="2">
        <v>60801.25</v>
      </c>
      <c r="Q122" s="2"/>
      <c r="R122" s="19">
        <f t="shared" si="22"/>
        <v>1.5215470836743752E-2</v>
      </c>
      <c r="S122" s="2"/>
      <c r="T122" s="2">
        <v>0</v>
      </c>
      <c r="U122" s="2"/>
      <c r="V122" s="19">
        <f t="shared" si="23"/>
        <v>0</v>
      </c>
      <c r="W122" s="2"/>
      <c r="X122" s="2">
        <f t="shared" si="24"/>
        <v>60801.25</v>
      </c>
      <c r="Y122" s="2"/>
      <c r="Z122" s="19">
        <f t="shared" si="25"/>
        <v>0</v>
      </c>
    </row>
    <row r="123" spans="1:26" s="24" customFormat="1" hidden="1" outlineLevel="1" x14ac:dyDescent="0.3">
      <c r="A123" s="44"/>
      <c r="B123" s="11" t="str">
        <f>CONCATENATE("          ", "5501", " - ", "FREIGHT-IN-NEW TEXT")</f>
        <v xml:space="preserve">          5501 - FREIGHT-IN-NEW TEXT</v>
      </c>
      <c r="C123" s="11"/>
      <c r="D123" s="2"/>
      <c r="E123" s="2"/>
      <c r="F123" s="19">
        <f t="shared" si="18"/>
        <v>0</v>
      </c>
      <c r="G123" s="2"/>
      <c r="H123" s="2">
        <v>990.19</v>
      </c>
      <c r="I123" s="2"/>
      <c r="J123" s="19">
        <f t="shared" si="19"/>
        <v>5.7989260926960273E-3</v>
      </c>
      <c r="K123" s="2"/>
      <c r="L123" s="2">
        <f t="shared" si="20"/>
        <v>-990.19</v>
      </c>
      <c r="M123" s="2"/>
      <c r="N123" s="19">
        <f t="shared" si="21"/>
        <v>-1</v>
      </c>
      <c r="O123" s="11"/>
      <c r="P123" s="2">
        <v>0</v>
      </c>
      <c r="Q123" s="2"/>
      <c r="R123" s="19">
        <f t="shared" si="22"/>
        <v>0</v>
      </c>
      <c r="S123" s="2"/>
      <c r="T123" s="2">
        <v>35048.81</v>
      </c>
      <c r="U123" s="2"/>
      <c r="V123" s="19">
        <f t="shared" si="23"/>
        <v>9.5738604598162511E-3</v>
      </c>
      <c r="W123" s="2"/>
      <c r="X123" s="2">
        <f t="shared" si="24"/>
        <v>-35048.81</v>
      </c>
      <c r="Y123" s="2"/>
      <c r="Z123" s="19">
        <f t="shared" si="25"/>
        <v>-1</v>
      </c>
    </row>
    <row r="124" spans="1:26" s="24" customFormat="1" hidden="1" outlineLevel="1" x14ac:dyDescent="0.3">
      <c r="A124" s="44"/>
      <c r="B124" s="11" t="str">
        <f>CONCATENATE("          ", "5502", " - ", "FREIGHT-IN-USED TEXT")</f>
        <v xml:space="preserve">          5502 - FREIGHT-IN-USED TEXT</v>
      </c>
      <c r="C124" s="11"/>
      <c r="D124" s="2"/>
      <c r="E124" s="2"/>
      <c r="F124" s="19">
        <f t="shared" si="18"/>
        <v>0</v>
      </c>
      <c r="G124" s="2"/>
      <c r="H124" s="2">
        <v>388.37</v>
      </c>
      <c r="I124" s="2"/>
      <c r="J124" s="19">
        <f t="shared" si="19"/>
        <v>2.2744411947407629E-3</v>
      </c>
      <c r="K124" s="2"/>
      <c r="L124" s="2">
        <f t="shared" si="20"/>
        <v>-388.37</v>
      </c>
      <c r="M124" s="2"/>
      <c r="N124" s="19">
        <f t="shared" si="21"/>
        <v>-1</v>
      </c>
      <c r="O124" s="11"/>
      <c r="P124" s="2">
        <v>0</v>
      </c>
      <c r="Q124" s="2"/>
      <c r="R124" s="19">
        <f t="shared" si="22"/>
        <v>0</v>
      </c>
      <c r="S124" s="2"/>
      <c r="T124" s="2">
        <v>11133.09</v>
      </c>
      <c r="U124" s="2"/>
      <c r="V124" s="19">
        <f t="shared" si="23"/>
        <v>3.0410918415368655E-3</v>
      </c>
      <c r="W124" s="2"/>
      <c r="X124" s="2">
        <f t="shared" si="24"/>
        <v>-11133.09</v>
      </c>
      <c r="Y124" s="2"/>
      <c r="Z124" s="19">
        <f t="shared" si="25"/>
        <v>-1</v>
      </c>
    </row>
    <row r="125" spans="1:26" s="24" customFormat="1" hidden="1" outlineLevel="1" x14ac:dyDescent="0.3">
      <c r="A125" s="44"/>
      <c r="B125" s="11" t="str">
        <f>CONCATENATE("          ", "5504", " - ", "FREIGHT-IN-DIGITAL TEXT")</f>
        <v xml:space="preserve">          5504 - FREIGHT-IN-DIGITAL TEXT</v>
      </c>
      <c r="C125" s="11"/>
      <c r="D125" s="2"/>
      <c r="E125" s="2"/>
      <c r="F125" s="19">
        <f t="shared" si="18"/>
        <v>0</v>
      </c>
      <c r="G125" s="2"/>
      <c r="H125" s="2"/>
      <c r="I125" s="2"/>
      <c r="J125" s="19">
        <f t="shared" si="19"/>
        <v>0</v>
      </c>
      <c r="K125" s="2"/>
      <c r="L125" s="2">
        <f t="shared" si="20"/>
        <v>0</v>
      </c>
      <c r="M125" s="2"/>
      <c r="N125" s="19">
        <f t="shared" si="21"/>
        <v>0</v>
      </c>
      <c r="O125" s="11"/>
      <c r="P125" s="2"/>
      <c r="Q125" s="2"/>
      <c r="R125" s="19">
        <f t="shared" si="22"/>
        <v>0</v>
      </c>
      <c r="S125" s="2"/>
      <c r="T125" s="2">
        <v>21.98</v>
      </c>
      <c r="U125" s="2"/>
      <c r="V125" s="19">
        <f t="shared" si="23"/>
        <v>6.0040113460845372E-6</v>
      </c>
      <c r="W125" s="2"/>
      <c r="X125" s="2">
        <f t="shared" si="24"/>
        <v>-21.98</v>
      </c>
      <c r="Y125" s="2"/>
      <c r="Z125" s="19">
        <f t="shared" si="25"/>
        <v>-1</v>
      </c>
    </row>
    <row r="126" spans="1:26" s="24" customFormat="1" hidden="1" outlineLevel="1" x14ac:dyDescent="0.3">
      <c r="A126" s="44"/>
      <c r="B126" s="11" t="str">
        <f>CONCATENATE("          ", "5513", " - ", "FREIGHT-IN-TRADE BOOKS")</f>
        <v xml:space="preserve">          5513 - FREIGHT-IN-TRADE BOOKS</v>
      </c>
      <c r="C126" s="11"/>
      <c r="D126" s="2"/>
      <c r="E126" s="2"/>
      <c r="F126" s="19">
        <f t="shared" si="18"/>
        <v>0</v>
      </c>
      <c r="G126" s="2"/>
      <c r="H126" s="2">
        <v>26.46</v>
      </c>
      <c r="I126" s="2"/>
      <c r="J126" s="19">
        <f t="shared" si="19"/>
        <v>1.5495973945680815E-4</v>
      </c>
      <c r="K126" s="2"/>
      <c r="L126" s="2">
        <f t="shared" si="20"/>
        <v>-26.46</v>
      </c>
      <c r="M126" s="2"/>
      <c r="N126" s="19">
        <f t="shared" si="21"/>
        <v>-1</v>
      </c>
      <c r="O126" s="11"/>
      <c r="P126" s="2"/>
      <c r="Q126" s="2"/>
      <c r="R126" s="19">
        <f t="shared" si="22"/>
        <v>0</v>
      </c>
      <c r="S126" s="2"/>
      <c r="T126" s="2">
        <v>26.46</v>
      </c>
      <c r="U126" s="2"/>
      <c r="V126" s="19">
        <f t="shared" si="23"/>
        <v>7.227758881592214E-6</v>
      </c>
      <c r="W126" s="2"/>
      <c r="X126" s="2">
        <f t="shared" si="24"/>
        <v>-26.46</v>
      </c>
      <c r="Y126" s="2"/>
      <c r="Z126" s="19">
        <f t="shared" si="25"/>
        <v>-1</v>
      </c>
    </row>
    <row r="127" spans="1:26" s="24" customFormat="1" hidden="1" outlineLevel="1" x14ac:dyDescent="0.3">
      <c r="A127" s="44"/>
      <c r="B127" s="11" t="str">
        <f>CONCATENATE("          ", "5518", " - ", "FREIGHT-IN-STUDY GUIDES")</f>
        <v xml:space="preserve">          5518 - FREIGHT-IN-STUDY GUIDES</v>
      </c>
      <c r="C127" s="11"/>
      <c r="D127" s="2"/>
      <c r="E127" s="2"/>
      <c r="F127" s="19">
        <f t="shared" si="18"/>
        <v>0</v>
      </c>
      <c r="G127" s="2"/>
      <c r="H127" s="2"/>
      <c r="I127" s="2"/>
      <c r="J127" s="19">
        <f t="shared" si="19"/>
        <v>0</v>
      </c>
      <c r="K127" s="2"/>
      <c r="L127" s="2">
        <f t="shared" si="20"/>
        <v>0</v>
      </c>
      <c r="M127" s="2"/>
      <c r="N127" s="19">
        <f t="shared" si="21"/>
        <v>0</v>
      </c>
      <c r="O127" s="11"/>
      <c r="P127" s="2">
        <v>0</v>
      </c>
      <c r="Q127" s="2"/>
      <c r="R127" s="19">
        <f t="shared" si="22"/>
        <v>0</v>
      </c>
      <c r="S127" s="2"/>
      <c r="T127" s="2"/>
      <c r="U127" s="2"/>
      <c r="V127" s="19">
        <f t="shared" si="23"/>
        <v>0</v>
      </c>
      <c r="W127" s="2"/>
      <c r="X127" s="2">
        <f t="shared" si="24"/>
        <v>0</v>
      </c>
      <c r="Y127" s="2"/>
      <c r="Z127" s="19">
        <f t="shared" si="25"/>
        <v>0</v>
      </c>
    </row>
    <row r="128" spans="1:26" s="24" customFormat="1" hidden="1" outlineLevel="1" x14ac:dyDescent="0.3">
      <c r="A128" s="44"/>
      <c r="B128" s="11" t="str">
        <f>CONCATENATE("          ", "5525", " - ", "FREIGHT-IN-TEST FORMS")</f>
        <v xml:space="preserve">          5525 - FREIGHT-IN-TEST FORMS</v>
      </c>
      <c r="C128" s="11"/>
      <c r="D128" s="2"/>
      <c r="E128" s="2"/>
      <c r="F128" s="19">
        <f t="shared" si="18"/>
        <v>0</v>
      </c>
      <c r="G128" s="2"/>
      <c r="H128" s="2"/>
      <c r="I128" s="2"/>
      <c r="J128" s="19">
        <f t="shared" si="19"/>
        <v>0</v>
      </c>
      <c r="K128" s="2"/>
      <c r="L128" s="2">
        <f t="shared" si="20"/>
        <v>0</v>
      </c>
      <c r="M128" s="2"/>
      <c r="N128" s="19">
        <f t="shared" si="21"/>
        <v>0</v>
      </c>
      <c r="O128" s="11"/>
      <c r="P128" s="2"/>
      <c r="Q128" s="2"/>
      <c r="R128" s="19">
        <f t="shared" si="22"/>
        <v>0</v>
      </c>
      <c r="S128" s="2"/>
      <c r="T128" s="2">
        <v>48.14</v>
      </c>
      <c r="U128" s="2"/>
      <c r="V128" s="19">
        <f t="shared" si="23"/>
        <v>1.3149822848066862E-5</v>
      </c>
      <c r="W128" s="2"/>
      <c r="X128" s="2">
        <f t="shared" si="24"/>
        <v>-48.14</v>
      </c>
      <c r="Y128" s="2"/>
      <c r="Z128" s="19">
        <f t="shared" si="25"/>
        <v>-1</v>
      </c>
    </row>
    <row r="129" spans="1:26" s="24" customFormat="1" hidden="1" outlineLevel="1" x14ac:dyDescent="0.3">
      <c r="A129" s="44"/>
      <c r="B129" s="11" t="str">
        <f>CONCATENATE("          ", "5527", " - ", "FREIGHT-IN-SCHOOL SUPPLIES")</f>
        <v xml:space="preserve">          5527 - FREIGHT-IN-SCHOOL SUPPLIES</v>
      </c>
      <c r="C129" s="11"/>
      <c r="D129" s="2"/>
      <c r="E129" s="2"/>
      <c r="F129" s="19">
        <f t="shared" si="18"/>
        <v>0</v>
      </c>
      <c r="G129" s="2"/>
      <c r="H129" s="2"/>
      <c r="I129" s="2"/>
      <c r="J129" s="19">
        <f t="shared" si="19"/>
        <v>0</v>
      </c>
      <c r="K129" s="2"/>
      <c r="L129" s="2">
        <f t="shared" si="20"/>
        <v>0</v>
      </c>
      <c r="M129" s="2"/>
      <c r="N129" s="19">
        <f t="shared" si="21"/>
        <v>0</v>
      </c>
      <c r="O129" s="11"/>
      <c r="P129" s="2">
        <v>0</v>
      </c>
      <c r="Q129" s="2"/>
      <c r="R129" s="19">
        <f t="shared" si="22"/>
        <v>0</v>
      </c>
      <c r="S129" s="2"/>
      <c r="T129" s="2">
        <v>56</v>
      </c>
      <c r="U129" s="2"/>
      <c r="V129" s="19">
        <f t="shared" si="23"/>
        <v>1.5296844193845956E-5</v>
      </c>
      <c r="W129" s="2"/>
      <c r="X129" s="2">
        <f t="shared" si="24"/>
        <v>-56</v>
      </c>
      <c r="Y129" s="2"/>
      <c r="Z129" s="19">
        <f t="shared" si="25"/>
        <v>-1</v>
      </c>
    </row>
    <row r="130" spans="1:26" s="24" customFormat="1" hidden="1" outlineLevel="1" x14ac:dyDescent="0.3">
      <c r="A130" s="44"/>
      <c r="B130" s="11" t="str">
        <f>CONCATENATE("          ", "5528", " - ", "FREIGHT-IN-ART/TECH")</f>
        <v xml:space="preserve">          5528 - FREIGHT-IN-ART/TECH</v>
      </c>
      <c r="C130" s="11"/>
      <c r="D130" s="2"/>
      <c r="E130" s="2"/>
      <c r="F130" s="19">
        <f t="shared" si="18"/>
        <v>0</v>
      </c>
      <c r="G130" s="2"/>
      <c r="H130" s="2">
        <v>1.72</v>
      </c>
      <c r="I130" s="2"/>
      <c r="J130" s="19">
        <f t="shared" si="19"/>
        <v>1.0072968702407786E-5</v>
      </c>
      <c r="K130" s="2"/>
      <c r="L130" s="2">
        <f t="shared" si="20"/>
        <v>-1.72</v>
      </c>
      <c r="M130" s="2"/>
      <c r="N130" s="19">
        <f t="shared" si="21"/>
        <v>-1</v>
      </c>
      <c r="O130" s="11"/>
      <c r="P130" s="2">
        <v>0</v>
      </c>
      <c r="Q130" s="2"/>
      <c r="R130" s="19">
        <f t="shared" si="22"/>
        <v>0</v>
      </c>
      <c r="S130" s="2"/>
      <c r="T130" s="2">
        <v>285.92</v>
      </c>
      <c r="U130" s="2"/>
      <c r="V130" s="19">
        <f t="shared" si="23"/>
        <v>7.8101315926864927E-5</v>
      </c>
      <c r="W130" s="2"/>
      <c r="X130" s="2">
        <f t="shared" si="24"/>
        <v>-285.92</v>
      </c>
      <c r="Y130" s="2"/>
      <c r="Z130" s="19">
        <f t="shared" si="25"/>
        <v>-1</v>
      </c>
    </row>
    <row r="131" spans="1:26" s="24" customFormat="1" hidden="1" outlineLevel="1" x14ac:dyDescent="0.3">
      <c r="A131" s="44"/>
      <c r="B131" s="11" t="str">
        <f>CONCATENATE("          ", "5540", " - ", "FREIGHT-IN-LOGO CLOTHING")</f>
        <v xml:space="preserve">          5540 - FREIGHT-IN-LOGO CLOTHING</v>
      </c>
      <c r="C131" s="11"/>
      <c r="D131" s="2"/>
      <c r="E131" s="2"/>
      <c r="F131" s="19">
        <f t="shared" si="18"/>
        <v>0</v>
      </c>
      <c r="G131" s="2"/>
      <c r="H131" s="2">
        <v>1333.15</v>
      </c>
      <c r="I131" s="2"/>
      <c r="J131" s="19">
        <f t="shared" si="19"/>
        <v>7.8074292009389194E-3</v>
      </c>
      <c r="K131" s="2"/>
      <c r="L131" s="2">
        <f t="shared" si="20"/>
        <v>-1333.15</v>
      </c>
      <c r="M131" s="2"/>
      <c r="N131" s="19">
        <f t="shared" si="21"/>
        <v>-1</v>
      </c>
      <c r="O131" s="11"/>
      <c r="P131" s="2">
        <v>0</v>
      </c>
      <c r="Q131" s="2"/>
      <c r="R131" s="19">
        <f t="shared" si="22"/>
        <v>0</v>
      </c>
      <c r="S131" s="2"/>
      <c r="T131" s="2">
        <v>4535.4799999999996</v>
      </c>
      <c r="U131" s="2"/>
      <c r="V131" s="19">
        <f t="shared" si="23"/>
        <v>1.2389023375768652E-3</v>
      </c>
      <c r="W131" s="2"/>
      <c r="X131" s="2">
        <f t="shared" si="24"/>
        <v>-4535.4799999999996</v>
      </c>
      <c r="Y131" s="2"/>
      <c r="Z131" s="19">
        <f t="shared" si="25"/>
        <v>-1</v>
      </c>
    </row>
    <row r="132" spans="1:26" s="24" customFormat="1" hidden="1" outlineLevel="1" x14ac:dyDescent="0.3">
      <c r="A132" s="44"/>
      <c r="B132" s="11" t="str">
        <f>CONCATENATE("          ", "5541", " - ", "FREIGHT-IN-LOGO GIFTS")</f>
        <v xml:space="preserve">          5541 - FREIGHT-IN-LOGO GIFTS</v>
      </c>
      <c r="C132" s="11"/>
      <c r="D132" s="2"/>
      <c r="E132" s="2"/>
      <c r="F132" s="19">
        <f t="shared" si="18"/>
        <v>0</v>
      </c>
      <c r="G132" s="2"/>
      <c r="H132" s="2">
        <v>301.06</v>
      </c>
      <c r="I132" s="2"/>
      <c r="J132" s="19">
        <f t="shared" si="19"/>
        <v>1.7631209055505165E-3</v>
      </c>
      <c r="K132" s="2"/>
      <c r="L132" s="2">
        <f t="shared" si="20"/>
        <v>-301.06</v>
      </c>
      <c r="M132" s="2"/>
      <c r="N132" s="19">
        <f t="shared" si="21"/>
        <v>-1</v>
      </c>
      <c r="O132" s="11"/>
      <c r="P132" s="2">
        <v>0</v>
      </c>
      <c r="Q132" s="2"/>
      <c r="R132" s="19">
        <f t="shared" si="22"/>
        <v>0</v>
      </c>
      <c r="S132" s="2"/>
      <c r="T132" s="2">
        <v>1435.87</v>
      </c>
      <c r="U132" s="2"/>
      <c r="V132" s="19">
        <f t="shared" si="23"/>
        <v>3.9221927986817125E-4</v>
      </c>
      <c r="W132" s="2"/>
      <c r="X132" s="2">
        <f t="shared" si="24"/>
        <v>-1435.87</v>
      </c>
      <c r="Y132" s="2"/>
      <c r="Z132" s="19">
        <f t="shared" si="25"/>
        <v>-1</v>
      </c>
    </row>
    <row r="133" spans="1:26" s="24" customFormat="1" hidden="1" outlineLevel="1" x14ac:dyDescent="0.3">
      <c r="A133" s="44"/>
      <c r="B133" s="11" t="str">
        <f>CONCATENATE("          ", "5542", " - ", "FREIGHT-IN-EVERYDAY GIFTS")</f>
        <v xml:space="preserve">          5542 - FREIGHT-IN-EVERYDAY GIFTS</v>
      </c>
      <c r="C133" s="11"/>
      <c r="D133" s="2"/>
      <c r="E133" s="2"/>
      <c r="F133" s="19">
        <f t="shared" si="18"/>
        <v>0</v>
      </c>
      <c r="G133" s="2"/>
      <c r="H133" s="2">
        <v>21</v>
      </c>
      <c r="I133" s="2"/>
      <c r="J133" s="19">
        <f t="shared" si="19"/>
        <v>1.2298392020381599E-4</v>
      </c>
      <c r="K133" s="2"/>
      <c r="L133" s="2">
        <f t="shared" si="20"/>
        <v>-21</v>
      </c>
      <c r="M133" s="2"/>
      <c r="N133" s="19">
        <f t="shared" si="21"/>
        <v>-1</v>
      </c>
      <c r="O133" s="11"/>
      <c r="P133" s="2">
        <v>0</v>
      </c>
      <c r="Q133" s="2"/>
      <c r="R133" s="19">
        <f t="shared" si="22"/>
        <v>0</v>
      </c>
      <c r="S133" s="2"/>
      <c r="T133" s="2">
        <v>196.55</v>
      </c>
      <c r="U133" s="2"/>
      <c r="V133" s="19">
        <f t="shared" si="23"/>
        <v>5.3689191541078978E-5</v>
      </c>
      <c r="W133" s="2"/>
      <c r="X133" s="2">
        <f t="shared" si="24"/>
        <v>-196.55</v>
      </c>
      <c r="Y133" s="2"/>
      <c r="Z133" s="19">
        <f t="shared" si="25"/>
        <v>-1</v>
      </c>
    </row>
    <row r="134" spans="1:26" s="24" customFormat="1" hidden="1" outlineLevel="1" x14ac:dyDescent="0.3">
      <c r="A134" s="44"/>
      <c r="B134" s="11" t="str">
        <f>CONCATENATE("          ", "5543", " - ", "FREIGHT-IN-CARDS")</f>
        <v xml:space="preserve">          5543 - FREIGHT-IN-CARDS</v>
      </c>
      <c r="C134" s="11"/>
      <c r="D134" s="2"/>
      <c r="E134" s="2"/>
      <c r="F134" s="19">
        <f t="shared" si="18"/>
        <v>0</v>
      </c>
      <c r="G134" s="2"/>
      <c r="H134" s="2">
        <v>6323.12</v>
      </c>
      <c r="I134" s="2"/>
      <c r="J134" s="19">
        <f t="shared" si="19"/>
        <v>3.7030575500912051E-2</v>
      </c>
      <c r="K134" s="2"/>
      <c r="L134" s="2">
        <f t="shared" si="20"/>
        <v>-6323.12</v>
      </c>
      <c r="M134" s="2"/>
      <c r="N134" s="19">
        <f t="shared" si="21"/>
        <v>-1</v>
      </c>
      <c r="O134" s="11"/>
      <c r="P134" s="2"/>
      <c r="Q134" s="2"/>
      <c r="R134" s="19">
        <f t="shared" si="22"/>
        <v>0</v>
      </c>
      <c r="S134" s="2"/>
      <c r="T134" s="2">
        <v>6512.31</v>
      </c>
      <c r="U134" s="2"/>
      <c r="V134" s="19">
        <f t="shared" si="23"/>
        <v>1.7788891323575885E-3</v>
      </c>
      <c r="W134" s="2"/>
      <c r="X134" s="2">
        <f t="shared" si="24"/>
        <v>-6512.31</v>
      </c>
      <c r="Y134" s="2"/>
      <c r="Z134" s="19">
        <f t="shared" si="25"/>
        <v>-1</v>
      </c>
    </row>
    <row r="135" spans="1:26" s="24" customFormat="1" hidden="1" outlineLevel="1" x14ac:dyDescent="0.3">
      <c r="A135" s="44"/>
      <c r="B135" s="11" t="str">
        <f>CONCATENATE("          ", "5544", " - ", "FREIGHT-IN-ACCESSORIES")</f>
        <v xml:space="preserve">          5544 - FREIGHT-IN-ACCESSORIES</v>
      </c>
      <c r="C135" s="11"/>
      <c r="D135" s="2"/>
      <c r="E135" s="2"/>
      <c r="F135" s="19">
        <f t="shared" si="18"/>
        <v>0</v>
      </c>
      <c r="G135" s="2"/>
      <c r="H135" s="2"/>
      <c r="I135" s="2"/>
      <c r="J135" s="19">
        <f t="shared" si="19"/>
        <v>0</v>
      </c>
      <c r="K135" s="2"/>
      <c r="L135" s="2">
        <f t="shared" si="20"/>
        <v>0</v>
      </c>
      <c r="M135" s="2"/>
      <c r="N135" s="19">
        <f t="shared" si="21"/>
        <v>0</v>
      </c>
      <c r="O135" s="11"/>
      <c r="P135" s="2">
        <v>0</v>
      </c>
      <c r="Q135" s="2"/>
      <c r="R135" s="19">
        <f t="shared" si="22"/>
        <v>0</v>
      </c>
      <c r="S135" s="2"/>
      <c r="T135" s="2"/>
      <c r="U135" s="2"/>
      <c r="V135" s="19">
        <f t="shared" si="23"/>
        <v>0</v>
      </c>
      <c r="W135" s="2"/>
      <c r="X135" s="2">
        <f t="shared" si="24"/>
        <v>0</v>
      </c>
      <c r="Y135" s="2"/>
      <c r="Z135" s="19">
        <f t="shared" si="25"/>
        <v>0</v>
      </c>
    </row>
    <row r="136" spans="1:26" s="24" customFormat="1" hidden="1" outlineLevel="1" x14ac:dyDescent="0.3">
      <c r="A136" s="44"/>
      <c r="B136" s="11" t="str">
        <f>CONCATENATE("          ", "5545", " - ", "FREIGHT-IN-SPECIAL ORDERS")</f>
        <v xml:space="preserve">          5545 - FREIGHT-IN-SPECIAL ORDERS</v>
      </c>
      <c r="C136" s="11"/>
      <c r="D136" s="2"/>
      <c r="E136" s="2"/>
      <c r="F136" s="19">
        <f t="shared" si="18"/>
        <v>0</v>
      </c>
      <c r="G136" s="2"/>
      <c r="H136" s="2">
        <v>37.590000000000003</v>
      </c>
      <c r="I136" s="2"/>
      <c r="J136" s="19">
        <f t="shared" si="19"/>
        <v>2.2014121716483067E-4</v>
      </c>
      <c r="K136" s="2"/>
      <c r="L136" s="2">
        <f t="shared" si="20"/>
        <v>-37.590000000000003</v>
      </c>
      <c r="M136" s="2"/>
      <c r="N136" s="19">
        <f t="shared" si="21"/>
        <v>-1</v>
      </c>
      <c r="O136" s="11"/>
      <c r="P136" s="2">
        <v>0</v>
      </c>
      <c r="Q136" s="2"/>
      <c r="R136" s="19">
        <f t="shared" si="22"/>
        <v>0</v>
      </c>
      <c r="S136" s="2"/>
      <c r="T136" s="2">
        <v>887.86</v>
      </c>
      <c r="U136" s="2"/>
      <c r="V136" s="19">
        <f t="shared" si="23"/>
        <v>2.4252600153478696E-4</v>
      </c>
      <c r="W136" s="2"/>
      <c r="X136" s="2">
        <f t="shared" si="24"/>
        <v>-887.86</v>
      </c>
      <c r="Y136" s="2"/>
      <c r="Z136" s="19">
        <f t="shared" si="25"/>
        <v>-1</v>
      </c>
    </row>
    <row r="137" spans="1:26" s="24" customFormat="1" hidden="1" outlineLevel="1" x14ac:dyDescent="0.3">
      <c r="A137" s="44"/>
      <c r="B137" s="11" t="str">
        <f>CONCATENATE("          ", "5582", " - ", "FREIGHT-IN-COMPUTER HARDWARE")</f>
        <v xml:space="preserve">          5582 - FREIGHT-IN-COMPUTER HARDWARE</v>
      </c>
      <c r="C137" s="11"/>
      <c r="D137" s="2"/>
      <c r="E137" s="2"/>
      <c r="F137" s="19">
        <f t="shared" si="18"/>
        <v>0</v>
      </c>
      <c r="G137" s="2"/>
      <c r="H137" s="2"/>
      <c r="I137" s="2"/>
      <c r="J137" s="19">
        <f t="shared" si="19"/>
        <v>0</v>
      </c>
      <c r="K137" s="2"/>
      <c r="L137" s="2">
        <f t="shared" si="20"/>
        <v>0</v>
      </c>
      <c r="M137" s="2"/>
      <c r="N137" s="19">
        <f t="shared" si="21"/>
        <v>0</v>
      </c>
      <c r="O137" s="11"/>
      <c r="P137" s="2"/>
      <c r="Q137" s="2"/>
      <c r="R137" s="19">
        <f t="shared" si="22"/>
        <v>0</v>
      </c>
      <c r="S137" s="2"/>
      <c r="T137" s="2">
        <v>94</v>
      </c>
      <c r="U137" s="2"/>
      <c r="V137" s="19">
        <f t="shared" si="23"/>
        <v>2.5676845611098568E-5</v>
      </c>
      <c r="W137" s="2"/>
      <c r="X137" s="2">
        <f t="shared" si="24"/>
        <v>-94</v>
      </c>
      <c r="Y137" s="2"/>
      <c r="Z137" s="19">
        <f t="shared" si="25"/>
        <v>-1</v>
      </c>
    </row>
    <row r="138" spans="1:26" s="24" customFormat="1" hidden="1" outlineLevel="1" x14ac:dyDescent="0.3">
      <c r="A138" s="44"/>
      <c r="B138" s="11" t="str">
        <f>CONCATENATE("          ", "5583", " - ", "FREIGHT-IN-COMPUTER EQUIPMENT")</f>
        <v xml:space="preserve">          5583 - FREIGHT-IN-COMPUTER EQUIPMENT</v>
      </c>
      <c r="C138" s="11"/>
      <c r="D138" s="2"/>
      <c r="E138" s="2"/>
      <c r="F138" s="19">
        <f t="shared" si="18"/>
        <v>0</v>
      </c>
      <c r="G138" s="2"/>
      <c r="H138" s="2"/>
      <c r="I138" s="2"/>
      <c r="J138" s="19">
        <f t="shared" si="19"/>
        <v>0</v>
      </c>
      <c r="K138" s="2"/>
      <c r="L138" s="2">
        <f t="shared" si="20"/>
        <v>0</v>
      </c>
      <c r="M138" s="2"/>
      <c r="N138" s="19">
        <f t="shared" si="21"/>
        <v>0</v>
      </c>
      <c r="O138" s="11"/>
      <c r="P138" s="2">
        <v>0</v>
      </c>
      <c r="Q138" s="2"/>
      <c r="R138" s="19">
        <f t="shared" si="22"/>
        <v>0</v>
      </c>
      <c r="S138" s="2"/>
      <c r="T138" s="2">
        <v>225.17</v>
      </c>
      <c r="U138" s="2"/>
      <c r="V138" s="19">
        <f t="shared" si="23"/>
        <v>6.150697155586239E-5</v>
      </c>
      <c r="W138" s="2"/>
      <c r="X138" s="2">
        <f t="shared" si="24"/>
        <v>-225.17</v>
      </c>
      <c r="Y138" s="2"/>
      <c r="Z138" s="19">
        <f t="shared" si="25"/>
        <v>-1</v>
      </c>
    </row>
    <row r="139" spans="1:26" s="24" customFormat="1" hidden="1" outlineLevel="1" x14ac:dyDescent="0.3">
      <c r="A139" s="44"/>
      <c r="B139" s="11" t="str">
        <f>CONCATENATE("          ", "5586", " - ", "FREIGHT-IN-COMPUTER SUPPLIES")</f>
        <v xml:space="preserve">          5586 - FREIGHT-IN-COMPUTER SUPPLIES</v>
      </c>
      <c r="C139" s="11"/>
      <c r="D139" s="2"/>
      <c r="E139" s="2"/>
      <c r="F139" s="19">
        <f t="shared" si="18"/>
        <v>0</v>
      </c>
      <c r="G139" s="2"/>
      <c r="H139" s="2"/>
      <c r="I139" s="2"/>
      <c r="J139" s="19">
        <f t="shared" si="19"/>
        <v>0</v>
      </c>
      <c r="K139" s="2"/>
      <c r="L139" s="2">
        <f t="shared" si="20"/>
        <v>0</v>
      </c>
      <c r="M139" s="2"/>
      <c r="N139" s="19">
        <f t="shared" si="21"/>
        <v>0</v>
      </c>
      <c r="O139" s="11"/>
      <c r="P139" s="2"/>
      <c r="Q139" s="2"/>
      <c r="R139" s="19">
        <f t="shared" si="22"/>
        <v>0</v>
      </c>
      <c r="S139" s="2"/>
      <c r="T139" s="2">
        <v>24.12</v>
      </c>
      <c r="U139" s="2"/>
      <c r="V139" s="19">
        <f t="shared" si="23"/>
        <v>6.5885693206350795E-6</v>
      </c>
      <c r="W139" s="2"/>
      <c r="X139" s="2">
        <f t="shared" si="24"/>
        <v>-24.12</v>
      </c>
      <c r="Y139" s="2"/>
      <c r="Z139" s="19">
        <f t="shared" si="25"/>
        <v>-1</v>
      </c>
    </row>
    <row r="140" spans="1:26" s="24" customFormat="1" hidden="1" outlineLevel="1" x14ac:dyDescent="0.3">
      <c r="A140" s="44"/>
      <c r="B140" s="11" t="str">
        <f>CONCATENATE("          ", "5592", " - ", "FREIGHT-IN-GRAD MERCH")</f>
        <v xml:space="preserve">          5592 - FREIGHT-IN-GRAD MERCH</v>
      </c>
      <c r="C140" s="11"/>
      <c r="D140" s="2"/>
      <c r="E140" s="2"/>
      <c r="F140" s="19">
        <f t="shared" si="18"/>
        <v>0</v>
      </c>
      <c r="G140" s="2"/>
      <c r="H140" s="2"/>
      <c r="I140" s="2"/>
      <c r="J140" s="19">
        <f t="shared" si="19"/>
        <v>0</v>
      </c>
      <c r="K140" s="2"/>
      <c r="L140" s="2">
        <f t="shared" si="20"/>
        <v>0</v>
      </c>
      <c r="M140" s="2"/>
      <c r="N140" s="19">
        <f t="shared" si="21"/>
        <v>0</v>
      </c>
      <c r="O140" s="11"/>
      <c r="P140" s="2"/>
      <c r="Q140" s="2"/>
      <c r="R140" s="19">
        <f t="shared" si="22"/>
        <v>0</v>
      </c>
      <c r="S140" s="2"/>
      <c r="T140" s="2">
        <v>0</v>
      </c>
      <c r="U140" s="2"/>
      <c r="V140" s="19">
        <f t="shared" si="23"/>
        <v>0</v>
      </c>
      <c r="W140" s="2"/>
      <c r="X140" s="2">
        <f t="shared" si="24"/>
        <v>0</v>
      </c>
      <c r="Y140" s="2"/>
      <c r="Z140" s="19">
        <f t="shared" si="25"/>
        <v>0</v>
      </c>
    </row>
    <row r="141" spans="1:26" x14ac:dyDescent="0.3">
      <c r="A141" s="9"/>
      <c r="B141" s="10"/>
      <c r="C141" s="10"/>
      <c r="D141" s="3"/>
      <c r="E141" s="3"/>
      <c r="F141" s="8"/>
      <c r="G141" s="3"/>
      <c r="H141" s="3"/>
      <c r="I141" s="3"/>
      <c r="J141" s="8"/>
      <c r="K141" s="3"/>
      <c r="L141" s="3"/>
      <c r="M141" s="3"/>
      <c r="N141" s="8"/>
      <c r="O141" s="10"/>
      <c r="P141" s="3"/>
      <c r="Q141" s="3"/>
      <c r="R141" s="8"/>
      <c r="S141" s="3"/>
      <c r="T141" s="3"/>
      <c r="U141" s="3"/>
      <c r="V141" s="8"/>
      <c r="W141" s="3"/>
      <c r="X141" s="3"/>
      <c r="Y141" s="3"/>
      <c r="Z141" s="8"/>
    </row>
    <row r="142" spans="1:26" s="23" customFormat="1" x14ac:dyDescent="0.3">
      <c r="A142" s="10"/>
      <c r="B142" s="25" t="s">
        <v>107</v>
      </c>
      <c r="C142" s="25"/>
      <c r="D142" s="21">
        <f>D12-D93</f>
        <v>166264.75999999998</v>
      </c>
      <c r="E142" s="13"/>
      <c r="F142" s="22">
        <f>IF(D$12=0,0,D142/D$12)</f>
        <v>0.42932934200512801</v>
      </c>
      <c r="G142" s="13"/>
      <c r="H142" s="21">
        <f>H12-H93</f>
        <v>49046.089999999967</v>
      </c>
      <c r="I142" s="13"/>
      <c r="J142" s="22">
        <f>IF(H$12=0,0,H142/H$12)</f>
        <v>0.28723240089853208</v>
      </c>
      <c r="K142" s="16"/>
      <c r="L142" s="21">
        <f>+D142-H142</f>
        <v>117218.67000000001</v>
      </c>
      <c r="M142" s="16"/>
      <c r="N142" s="22">
        <f>IF(H142=0,0,L142/H142)</f>
        <v>2.389969720318176</v>
      </c>
      <c r="O142" s="26"/>
      <c r="P142" s="21">
        <f>P12-P93</f>
        <v>1339528.3000000003</v>
      </c>
      <c r="Q142" s="13"/>
      <c r="R142" s="22">
        <f>IF(P$12=0,0,P142/P$12)</f>
        <v>0.33521603229609487</v>
      </c>
      <c r="S142" s="13"/>
      <c r="T142" s="21">
        <f>T12-T93</f>
        <v>917472.95000000065</v>
      </c>
      <c r="U142" s="13"/>
      <c r="V142" s="22">
        <f>IF(T$12=0,0,T142/T$12)</f>
        <v>0.25061501371818268</v>
      </c>
      <c r="W142" s="16"/>
      <c r="X142" s="21">
        <f>+P142-T142</f>
        <v>422055.34999999963</v>
      </c>
      <c r="Y142" s="16"/>
      <c r="Z142" s="22">
        <f>IF(T142=0,0,X142/T142)</f>
        <v>0.46001939348729498</v>
      </c>
    </row>
    <row r="143" spans="1:26" x14ac:dyDescent="0.3">
      <c r="A143" s="9"/>
      <c r="B143" s="10"/>
      <c r="C143" s="9"/>
      <c r="D143" s="1"/>
      <c r="E143" s="1"/>
      <c r="F143" s="5"/>
      <c r="G143" s="1"/>
      <c r="H143" s="1"/>
      <c r="I143" s="1"/>
      <c r="J143" s="5"/>
      <c r="K143" s="1"/>
      <c r="L143" s="1"/>
      <c r="M143" s="1"/>
      <c r="N143" s="5"/>
      <c r="O143" s="37"/>
      <c r="P143" s="1"/>
      <c r="Q143" s="1"/>
      <c r="R143" s="5"/>
      <c r="S143" s="1"/>
      <c r="T143" s="1"/>
      <c r="U143" s="1"/>
      <c r="V143" s="5"/>
      <c r="W143" s="1"/>
      <c r="X143" s="1"/>
      <c r="Y143" s="1"/>
      <c r="Z143" s="5"/>
    </row>
    <row r="144" spans="1:26" s="23" customFormat="1" x14ac:dyDescent="0.3">
      <c r="A144" s="10"/>
      <c r="B144" s="26" t="s">
        <v>294</v>
      </c>
      <c r="C144" s="10"/>
      <c r="D144" s="20">
        <f>SUM(OSRRefD22x_0)</f>
        <v>277639.68999999989</v>
      </c>
      <c r="E144" s="20"/>
      <c r="F144" s="32">
        <f t="shared" ref="F144:F155" si="26">IF(D$12=0,0,D144/D$12)</f>
        <v>0.71692200693765584</v>
      </c>
      <c r="G144" s="20"/>
      <c r="H144" s="20">
        <f>SUM(OSRRefH22x_0)</f>
        <v>248037.63</v>
      </c>
      <c r="I144" s="20"/>
      <c r="J144" s="32">
        <f t="shared" ref="J144:J155" si="27">IF(H$12=0,0,H144/H$12)</f>
        <v>1.4526019093077924</v>
      </c>
      <c r="K144" s="4"/>
      <c r="L144" s="20">
        <f t="shared" ref="L144:L155" si="28">+D144-H144</f>
        <v>29602.059999999881</v>
      </c>
      <c r="M144" s="4"/>
      <c r="N144" s="32">
        <f t="shared" ref="N144:N155" si="29">IF(H144=0,0,L144/H144)</f>
        <v>0.11934503647692442</v>
      </c>
      <c r="O144" s="10"/>
      <c r="P144" s="20">
        <f>SUM(OSRRefP22x_0)</f>
        <v>1663118.4299999997</v>
      </c>
      <c r="Q144" s="20"/>
      <c r="R144" s="32">
        <f t="shared" ref="R144:R155" si="30">IF(P$12=0,0,P144/P$12)</f>
        <v>0.41619423892956231</v>
      </c>
      <c r="S144" s="20"/>
      <c r="T144" s="20">
        <f>SUM(OSRRefT22x_0)</f>
        <v>1425183.5500000003</v>
      </c>
      <c r="U144" s="20"/>
      <c r="V144" s="32">
        <f t="shared" ref="V144:V155" si="31">IF(T$12=0,0,T144/T$12)</f>
        <v>0.38930019128539767</v>
      </c>
      <c r="W144" s="4"/>
      <c r="X144" s="20">
        <f t="shared" ref="X144:X155" si="32">+P144-T144</f>
        <v>237934.87999999942</v>
      </c>
      <c r="Y144" s="4"/>
      <c r="Z144" s="32">
        <f t="shared" ref="Z144:Z155" si="33">IF(T144=0,0,X144/T144)</f>
        <v>0.16695034123850178</v>
      </c>
    </row>
    <row r="145" spans="1:26" s="29" customFormat="1" outlineLevel="1" collapsed="1" x14ac:dyDescent="0.3">
      <c r="A145" s="28"/>
      <c r="B145" s="14" t="str">
        <f>CONCATENATE("     ","*Benefits                                         ")</f>
        <v xml:space="preserve">     *Benefits                                         </v>
      </c>
      <c r="C145" s="14"/>
      <c r="D145" s="1">
        <f>SUM(OSRRefD22_0x_0)</f>
        <v>53595.409999999996</v>
      </c>
      <c r="E145" s="1"/>
      <c r="F145" s="5">
        <f t="shared" si="26"/>
        <v>0.13839422202152193</v>
      </c>
      <c r="G145" s="1"/>
      <c r="H145" s="1">
        <f>SUM(OSRRefH22_0x_0)</f>
        <v>46507.57</v>
      </c>
      <c r="I145" s="1"/>
      <c r="J145" s="5">
        <f t="shared" si="27"/>
        <v>0.2723658703692089</v>
      </c>
      <c r="K145" s="1"/>
      <c r="L145" s="1">
        <f t="shared" si="28"/>
        <v>7087.8399999999965</v>
      </c>
      <c r="M145" s="1"/>
      <c r="N145" s="5">
        <f t="shared" si="29"/>
        <v>0.15240185629995281</v>
      </c>
      <c r="O145" s="14"/>
      <c r="P145" s="1">
        <f>SUM(OSRRefP22_0x_0)</f>
        <v>265999.89</v>
      </c>
      <c r="Q145" s="1"/>
      <c r="R145" s="5">
        <f t="shared" si="30"/>
        <v>6.6566288832417858E-2</v>
      </c>
      <c r="S145" s="1"/>
      <c r="T145" s="1">
        <f>SUM(OSRRefT22_0x_0)</f>
        <v>239376.11000000002</v>
      </c>
      <c r="U145" s="1"/>
      <c r="V145" s="5">
        <f t="shared" si="31"/>
        <v>6.5387483185695192E-2</v>
      </c>
      <c r="W145" s="1"/>
      <c r="X145" s="1">
        <f t="shared" si="32"/>
        <v>26623.78</v>
      </c>
      <c r="Y145" s="1"/>
      <c r="Z145" s="5">
        <f t="shared" si="33"/>
        <v>0.11122154169854293</v>
      </c>
    </row>
    <row r="146" spans="1:26" s="24" customFormat="1" hidden="1" outlineLevel="2" x14ac:dyDescent="0.3">
      <c r="A146" s="27"/>
      <c r="B146" s="11" t="str">
        <f>CONCATENATE("          ", "6111", " - ", "F.I.C.A.")</f>
        <v xml:space="preserve">          6111 - F.I.C.A.</v>
      </c>
      <c r="C146" s="11"/>
      <c r="D146" s="6">
        <v>9314.69</v>
      </c>
      <c r="E146" s="2"/>
      <c r="F146" s="7">
        <f t="shared" si="26"/>
        <v>2.4052419338179337E-2</v>
      </c>
      <c r="G146" s="2"/>
      <c r="H146" s="6">
        <v>6940.36</v>
      </c>
      <c r="I146" s="2"/>
      <c r="J146" s="7">
        <f t="shared" si="27"/>
        <v>4.0645365734559825E-2</v>
      </c>
      <c r="K146" s="2"/>
      <c r="L146" s="6">
        <f t="shared" si="28"/>
        <v>2374.3300000000008</v>
      </c>
      <c r="M146" s="2"/>
      <c r="N146" s="7">
        <f t="shared" si="29"/>
        <v>0.34210473231936112</v>
      </c>
      <c r="O146" s="11"/>
      <c r="P146" s="6">
        <v>51859.42</v>
      </c>
      <c r="Q146" s="2"/>
      <c r="R146" s="7">
        <f t="shared" si="30"/>
        <v>1.2977784052473356E-2</v>
      </c>
      <c r="S146" s="2"/>
      <c r="T146" s="6">
        <v>51147.24</v>
      </c>
      <c r="U146" s="2"/>
      <c r="V146" s="7">
        <f t="shared" si="31"/>
        <v>1.397127430759367E-2</v>
      </c>
      <c r="W146" s="2"/>
      <c r="X146" s="6">
        <f t="shared" si="32"/>
        <v>712.18000000000029</v>
      </c>
      <c r="Y146" s="2"/>
      <c r="Z146" s="7">
        <f t="shared" si="33"/>
        <v>1.3924113989337456E-2</v>
      </c>
    </row>
    <row r="147" spans="1:26" s="24" customFormat="1" hidden="1" outlineLevel="2" x14ac:dyDescent="0.3">
      <c r="A147" s="27"/>
      <c r="B147" s="11" t="str">
        <f>CONCATENATE("          ", "6112", " - ", "COMPENSATION INSURANCE")</f>
        <v xml:space="preserve">          6112 - COMPENSATION INSURANCE</v>
      </c>
      <c r="C147" s="11"/>
      <c r="D147" s="6">
        <v>2531.86</v>
      </c>
      <c r="E147" s="2"/>
      <c r="F147" s="7">
        <f t="shared" si="26"/>
        <v>6.5377761820911637E-3</v>
      </c>
      <c r="G147" s="2"/>
      <c r="H147" s="6">
        <v>3035.04</v>
      </c>
      <c r="I147" s="2"/>
      <c r="J147" s="7">
        <f t="shared" si="27"/>
        <v>1.7774338913113797E-2</v>
      </c>
      <c r="K147" s="2"/>
      <c r="L147" s="6">
        <f t="shared" si="28"/>
        <v>-503.17999999999984</v>
      </c>
      <c r="M147" s="2"/>
      <c r="N147" s="7">
        <f t="shared" si="29"/>
        <v>-0.16579023670198739</v>
      </c>
      <c r="O147" s="11"/>
      <c r="P147" s="6">
        <v>13435.44</v>
      </c>
      <c r="Q147" s="2"/>
      <c r="R147" s="7">
        <f t="shared" si="30"/>
        <v>3.362209584487498E-3</v>
      </c>
      <c r="S147" s="2"/>
      <c r="T147" s="6">
        <v>13462.39</v>
      </c>
      <c r="U147" s="2"/>
      <c r="V147" s="7">
        <f t="shared" si="31"/>
        <v>3.6773586126212471E-3</v>
      </c>
      <c r="W147" s="2"/>
      <c r="X147" s="6">
        <f t="shared" si="32"/>
        <v>-26.949999999998909</v>
      </c>
      <c r="Y147" s="2"/>
      <c r="Z147" s="7">
        <f t="shared" si="33"/>
        <v>-2.0018733672103476E-3</v>
      </c>
    </row>
    <row r="148" spans="1:26" s="24" customFormat="1" hidden="1" outlineLevel="2" x14ac:dyDescent="0.3">
      <c r="A148" s="27"/>
      <c r="B148" s="11" t="str">
        <f>CONCATENATE("          ", "6113", " - ", "GROUP INSURANCE")</f>
        <v xml:space="preserve">          6113 - GROUP INSURANCE</v>
      </c>
      <c r="C148" s="11"/>
      <c r="D148" s="6">
        <v>18829.060000000001</v>
      </c>
      <c r="E148" s="2"/>
      <c r="F148" s="7">
        <f t="shared" si="26"/>
        <v>4.8620452947305715E-2</v>
      </c>
      <c r="G148" s="2"/>
      <c r="H148" s="6">
        <v>15836.91</v>
      </c>
      <c r="I148" s="2"/>
      <c r="J148" s="7">
        <f t="shared" si="27"/>
        <v>9.2746917891191216E-2</v>
      </c>
      <c r="K148" s="2"/>
      <c r="L148" s="6">
        <f t="shared" si="28"/>
        <v>2992.1500000000015</v>
      </c>
      <c r="M148" s="2"/>
      <c r="N148" s="7">
        <f t="shared" si="29"/>
        <v>0.18893521526610946</v>
      </c>
      <c r="O148" s="11"/>
      <c r="P148" s="6">
        <v>93152.9</v>
      </c>
      <c r="Q148" s="2"/>
      <c r="R148" s="7">
        <f t="shared" si="30"/>
        <v>2.3311448914423747E-2</v>
      </c>
      <c r="S148" s="2"/>
      <c r="T148" s="6">
        <v>78565.88</v>
      </c>
      <c r="U148" s="2"/>
      <c r="V148" s="7">
        <f t="shared" si="31"/>
        <v>2.1460893309149968E-2</v>
      </c>
      <c r="W148" s="2"/>
      <c r="X148" s="6">
        <f t="shared" si="32"/>
        <v>14587.01999999999</v>
      </c>
      <c r="Y148" s="2"/>
      <c r="Z148" s="7">
        <f t="shared" si="33"/>
        <v>0.18566609322011016</v>
      </c>
    </row>
    <row r="149" spans="1:26" s="24" customFormat="1" hidden="1" outlineLevel="2" x14ac:dyDescent="0.3">
      <c r="A149" s="27"/>
      <c r="B149" s="11" t="str">
        <f>CONCATENATE("          ", "6114", " - ", "STATE UNEMPLOYMENT INSURANCE")</f>
        <v xml:space="preserve">          6114 - STATE UNEMPLOYMENT INSURANCE</v>
      </c>
      <c r="C149" s="11"/>
      <c r="D149" s="6">
        <v>454.47</v>
      </c>
      <c r="E149" s="2"/>
      <c r="F149" s="7">
        <f t="shared" si="26"/>
        <v>1.1735337425746175E-3</v>
      </c>
      <c r="G149" s="2"/>
      <c r="H149" s="6">
        <v>546.27</v>
      </c>
      <c r="I149" s="2"/>
      <c r="J149" s="7">
        <f t="shared" si="27"/>
        <v>3.1991631471304078E-3</v>
      </c>
      <c r="K149" s="2"/>
      <c r="L149" s="6">
        <f t="shared" si="28"/>
        <v>-91.799999999999955</v>
      </c>
      <c r="M149" s="2"/>
      <c r="N149" s="7">
        <f t="shared" si="29"/>
        <v>-0.16804876709319561</v>
      </c>
      <c r="O149" s="11"/>
      <c r="P149" s="6">
        <v>2421.81</v>
      </c>
      <c r="Q149" s="2"/>
      <c r="R149" s="7">
        <f t="shared" si="30"/>
        <v>6.060562805392058E-4</v>
      </c>
      <c r="S149" s="2"/>
      <c r="T149" s="6">
        <v>2064.96</v>
      </c>
      <c r="U149" s="2"/>
      <c r="V149" s="7">
        <f t="shared" si="31"/>
        <v>5.6406020333078831E-4</v>
      </c>
      <c r="W149" s="2"/>
      <c r="X149" s="6">
        <f t="shared" si="32"/>
        <v>356.84999999999991</v>
      </c>
      <c r="Y149" s="2"/>
      <c r="Z149" s="7">
        <f t="shared" si="33"/>
        <v>0.17281206415620637</v>
      </c>
    </row>
    <row r="150" spans="1:26" s="24" customFormat="1" hidden="1" outlineLevel="2" x14ac:dyDescent="0.3">
      <c r="A150" s="27"/>
      <c r="B150" s="11" t="str">
        <f>CONCATENATE("          ", "6115", " - ", "P.E.R.S.")</f>
        <v xml:space="preserve">          6115 - P.E.R.S.</v>
      </c>
      <c r="C150" s="11"/>
      <c r="D150" s="6">
        <v>8674.23</v>
      </c>
      <c r="E150" s="2"/>
      <c r="F150" s="7">
        <f t="shared" si="26"/>
        <v>2.2398621682075875E-2</v>
      </c>
      <c r="G150" s="2"/>
      <c r="H150" s="6">
        <v>8554.51</v>
      </c>
      <c r="I150" s="2"/>
      <c r="J150" s="7">
        <f t="shared" si="27"/>
        <v>5.009843691536886E-2</v>
      </c>
      <c r="K150" s="2"/>
      <c r="L150" s="6">
        <f t="shared" si="28"/>
        <v>119.71999999999935</v>
      </c>
      <c r="M150" s="2"/>
      <c r="N150" s="7">
        <f t="shared" si="29"/>
        <v>1.3994957046049318E-2</v>
      </c>
      <c r="O150" s="11"/>
      <c r="P150" s="6">
        <v>37488.54</v>
      </c>
      <c r="Q150" s="2"/>
      <c r="R150" s="7">
        <f t="shared" si="30"/>
        <v>9.3814812537916844E-3</v>
      </c>
      <c r="S150" s="2"/>
      <c r="T150" s="6">
        <v>34531.57</v>
      </c>
      <c r="U150" s="2"/>
      <c r="V150" s="7">
        <f t="shared" si="31"/>
        <v>9.43257225105152E-3</v>
      </c>
      <c r="W150" s="2"/>
      <c r="X150" s="6">
        <f t="shared" si="32"/>
        <v>2956.9700000000012</v>
      </c>
      <c r="Y150" s="2"/>
      <c r="Z150" s="7">
        <f t="shared" si="33"/>
        <v>8.5630916868245532E-2</v>
      </c>
    </row>
    <row r="151" spans="1:26" s="24" customFormat="1" hidden="1" outlineLevel="2" x14ac:dyDescent="0.3">
      <c r="A151" s="27"/>
      <c r="B151" s="11" t="str">
        <f>CONCATENATE("          ", "6116", " - ", "EDUCATIONAL BENEFITS")</f>
        <v xml:space="preserve">          6116 - EDUCATIONAL BENEFITS</v>
      </c>
      <c r="C151" s="11"/>
      <c r="D151" s="6"/>
      <c r="E151" s="2"/>
      <c r="F151" s="7">
        <f t="shared" si="26"/>
        <v>0</v>
      </c>
      <c r="G151" s="2"/>
      <c r="H151" s="6"/>
      <c r="I151" s="2"/>
      <c r="J151" s="7">
        <f t="shared" si="27"/>
        <v>0</v>
      </c>
      <c r="K151" s="2"/>
      <c r="L151" s="6">
        <f t="shared" si="28"/>
        <v>0</v>
      </c>
      <c r="M151" s="2"/>
      <c r="N151" s="7">
        <f t="shared" si="29"/>
        <v>0</v>
      </c>
      <c r="O151" s="11"/>
      <c r="P151" s="6"/>
      <c r="Q151" s="2"/>
      <c r="R151" s="7">
        <f t="shared" si="30"/>
        <v>0</v>
      </c>
      <c r="S151" s="2"/>
      <c r="T151" s="6">
        <v>0</v>
      </c>
      <c r="U151" s="2"/>
      <c r="V151" s="7">
        <f t="shared" si="31"/>
        <v>0</v>
      </c>
      <c r="W151" s="2"/>
      <c r="X151" s="6">
        <f t="shared" si="32"/>
        <v>0</v>
      </c>
      <c r="Y151" s="2"/>
      <c r="Z151" s="7">
        <f t="shared" si="33"/>
        <v>0</v>
      </c>
    </row>
    <row r="152" spans="1:26" s="24" customFormat="1" hidden="1" outlineLevel="2" x14ac:dyDescent="0.3">
      <c r="A152" s="27"/>
      <c r="B152" s="11" t="str">
        <f>CONCATENATE("          ", "6117", " - ", "RETIREMENT STAFF HOURLY")</f>
        <v xml:space="preserve">          6117 - RETIREMENT STAFF HOURLY</v>
      </c>
      <c r="C152" s="11"/>
      <c r="D152" s="6">
        <v>708.42</v>
      </c>
      <c r="E152" s="2"/>
      <c r="F152" s="7">
        <f t="shared" si="26"/>
        <v>1.829284163783551E-3</v>
      </c>
      <c r="G152" s="2"/>
      <c r="H152" s="6">
        <v>387.43</v>
      </c>
      <c r="I152" s="2"/>
      <c r="J152" s="7">
        <f t="shared" si="27"/>
        <v>2.268936200217354E-3</v>
      </c>
      <c r="K152" s="2"/>
      <c r="L152" s="6">
        <f t="shared" si="28"/>
        <v>320.98999999999995</v>
      </c>
      <c r="M152" s="2"/>
      <c r="N152" s="7">
        <f t="shared" si="29"/>
        <v>0.82851095681800568</v>
      </c>
      <c r="O152" s="11"/>
      <c r="P152" s="6">
        <v>2566.8000000000002</v>
      </c>
      <c r="Q152" s="2"/>
      <c r="R152" s="7">
        <f t="shared" si="30"/>
        <v>6.4233992794151217E-4</v>
      </c>
      <c r="S152" s="2"/>
      <c r="T152" s="6">
        <v>2227.73</v>
      </c>
      <c r="U152" s="2"/>
      <c r="V152" s="7">
        <f t="shared" si="31"/>
        <v>6.0852211992779373E-4</v>
      </c>
      <c r="W152" s="2"/>
      <c r="X152" s="6">
        <f t="shared" si="32"/>
        <v>339.07000000000016</v>
      </c>
      <c r="Y152" s="2"/>
      <c r="Z152" s="7">
        <f t="shared" si="33"/>
        <v>0.15220426173728421</v>
      </c>
    </row>
    <row r="153" spans="1:26" s="24" customFormat="1" hidden="1" outlineLevel="2" x14ac:dyDescent="0.3">
      <c r="A153" s="27"/>
      <c r="B153" s="11" t="str">
        <f>CONCATENATE("          ", "6118", " - ", "VACATION")</f>
        <v xml:space="preserve">          6118 - VACATION</v>
      </c>
      <c r="C153" s="11"/>
      <c r="D153" s="6">
        <v>5865.59</v>
      </c>
      <c r="E153" s="2"/>
      <c r="F153" s="7">
        <f t="shared" si="26"/>
        <v>1.5146143387040399E-2</v>
      </c>
      <c r="G153" s="2"/>
      <c r="H153" s="6">
        <v>5424</v>
      </c>
      <c r="I153" s="2"/>
      <c r="J153" s="7">
        <f t="shared" si="27"/>
        <v>3.1764989675499906E-2</v>
      </c>
      <c r="K153" s="2"/>
      <c r="L153" s="6">
        <f t="shared" si="28"/>
        <v>441.59000000000015</v>
      </c>
      <c r="M153" s="2"/>
      <c r="N153" s="7">
        <f t="shared" si="29"/>
        <v>8.1414085545722742E-2</v>
      </c>
      <c r="O153" s="11"/>
      <c r="P153" s="6">
        <v>29678.79</v>
      </c>
      <c r="Q153" s="2"/>
      <c r="R153" s="7">
        <f t="shared" si="30"/>
        <v>7.4270967079598212E-3</v>
      </c>
      <c r="S153" s="2"/>
      <c r="T153" s="6">
        <v>27857.81</v>
      </c>
      <c r="U153" s="2"/>
      <c r="V153" s="7">
        <f t="shared" si="31"/>
        <v>7.6095817705672105E-3</v>
      </c>
      <c r="W153" s="2"/>
      <c r="X153" s="6">
        <f t="shared" si="32"/>
        <v>1820.9799999999996</v>
      </c>
      <c r="Y153" s="2"/>
      <c r="Z153" s="7">
        <f t="shared" si="33"/>
        <v>6.5366947365927172E-2</v>
      </c>
    </row>
    <row r="154" spans="1:26" s="24" customFormat="1" hidden="1" outlineLevel="2" x14ac:dyDescent="0.3">
      <c r="A154" s="27"/>
      <c r="B154" s="11" t="str">
        <f>CONCATENATE("          ", "6119", " - ", "SICK LEAVE")</f>
        <v xml:space="preserve">          6119 - SICK LEAVE</v>
      </c>
      <c r="C154" s="11"/>
      <c r="D154" s="6">
        <v>4021.51</v>
      </c>
      <c r="E154" s="2"/>
      <c r="F154" s="7">
        <f t="shared" si="26"/>
        <v>1.0384354701303167E-2</v>
      </c>
      <c r="G154" s="2"/>
      <c r="H154" s="6">
        <v>3991.76</v>
      </c>
      <c r="I154" s="2"/>
      <c r="J154" s="7">
        <f t="shared" si="27"/>
        <v>2.3377252062513551E-2</v>
      </c>
      <c r="K154" s="2"/>
      <c r="L154" s="6">
        <f t="shared" si="28"/>
        <v>29.75</v>
      </c>
      <c r="M154" s="2"/>
      <c r="N154" s="7">
        <f t="shared" si="29"/>
        <v>7.4528528769264683E-3</v>
      </c>
      <c r="O154" s="11"/>
      <c r="P154" s="6">
        <v>21805.54</v>
      </c>
      <c r="Q154" s="2"/>
      <c r="R154" s="7">
        <f t="shared" si="30"/>
        <v>5.4568213309668691E-3</v>
      </c>
      <c r="S154" s="2"/>
      <c r="T154" s="6">
        <v>20765.78</v>
      </c>
      <c r="U154" s="2"/>
      <c r="V154" s="7">
        <f t="shared" si="31"/>
        <v>5.6723375218514721E-3</v>
      </c>
      <c r="W154" s="2"/>
      <c r="X154" s="6">
        <f t="shared" si="32"/>
        <v>1039.760000000002</v>
      </c>
      <c r="Y154" s="2"/>
      <c r="Z154" s="7">
        <f t="shared" si="33"/>
        <v>5.0070837695477953E-2</v>
      </c>
    </row>
    <row r="155" spans="1:26" s="24" customFormat="1" hidden="1" outlineLevel="2" x14ac:dyDescent="0.3">
      <c r="A155" s="27"/>
      <c r="B155" s="11" t="str">
        <f>CONCATENATE("          ", "6156", " - ", "EMPLOYEE MEALS")</f>
        <v xml:space="preserve">          6156 - EMPLOYEE MEALS</v>
      </c>
      <c r="C155" s="11"/>
      <c r="D155" s="6">
        <v>3195.58</v>
      </c>
      <c r="E155" s="2"/>
      <c r="F155" s="7">
        <f t="shared" si="26"/>
        <v>8.2516358771681213E-3</v>
      </c>
      <c r="G155" s="2"/>
      <c r="H155" s="6">
        <v>1791.29</v>
      </c>
      <c r="I155" s="2"/>
      <c r="J155" s="7">
        <f t="shared" si="27"/>
        <v>1.0490469829613979E-2</v>
      </c>
      <c r="K155" s="2"/>
      <c r="L155" s="6">
        <f t="shared" si="28"/>
        <v>1404.29</v>
      </c>
      <c r="M155" s="2"/>
      <c r="N155" s="7">
        <f t="shared" si="29"/>
        <v>0.78395458021872499</v>
      </c>
      <c r="O155" s="11"/>
      <c r="P155" s="6">
        <v>13590.65</v>
      </c>
      <c r="Q155" s="2"/>
      <c r="R155" s="7">
        <f t="shared" si="30"/>
        <v>3.4010507798341557E-3</v>
      </c>
      <c r="S155" s="2"/>
      <c r="T155" s="6">
        <v>8752.75</v>
      </c>
      <c r="U155" s="2"/>
      <c r="V155" s="7">
        <f t="shared" si="31"/>
        <v>2.390883089601521E-3</v>
      </c>
      <c r="W155" s="2"/>
      <c r="X155" s="6">
        <f t="shared" si="32"/>
        <v>4837.8999999999996</v>
      </c>
      <c r="Y155" s="2"/>
      <c r="Z155" s="7">
        <f t="shared" si="33"/>
        <v>0.55272914226957237</v>
      </c>
    </row>
    <row r="156" spans="1:26" s="29" customFormat="1" outlineLevel="1" collapsed="1" x14ac:dyDescent="0.3">
      <c r="A156" s="28"/>
      <c r="B156" s="14" t="str">
        <f>CONCATENATE("     ","*Payroll                                          ")</f>
        <v xml:space="preserve">     *Payroll                                          </v>
      </c>
      <c r="C156" s="14"/>
      <c r="D156" s="1">
        <f>SUM(OSRRefD22_1x_0)</f>
        <v>130608.32000000002</v>
      </c>
      <c r="E156" s="1"/>
      <c r="F156" s="5">
        <f t="shared" ref="F156:F163" si="34">IF(D$12=0,0,D156/D$12)</f>
        <v>0.33725717997003823</v>
      </c>
      <c r="G156" s="1"/>
      <c r="H156" s="1">
        <f>SUM(OSRRefH22_1x_0)</f>
        <v>99521.640000000014</v>
      </c>
      <c r="I156" s="1"/>
      <c r="J156" s="5">
        <f t="shared" ref="J156:J163" si="35">IF(H$12=0,0,H156/H$12)</f>
        <v>0.58283625868156685</v>
      </c>
      <c r="K156" s="1"/>
      <c r="L156" s="1">
        <f t="shared" ref="L156:L163" si="36">+D156-H156</f>
        <v>31086.680000000008</v>
      </c>
      <c r="M156" s="1"/>
      <c r="N156" s="5">
        <f t="shared" ref="N156:N163" si="37">IF(H156=0,0,L156/H156)</f>
        <v>0.31236101012804857</v>
      </c>
      <c r="O156" s="14"/>
      <c r="P156" s="1">
        <f>SUM(OSRRefP22_1x_0)</f>
        <v>856514.66</v>
      </c>
      <c r="Q156" s="1"/>
      <c r="R156" s="5">
        <f t="shared" ref="R156:R163" si="38">IF(P$12=0,0,P156/P$12)</f>
        <v>0.21434220234737758</v>
      </c>
      <c r="S156" s="1"/>
      <c r="T156" s="1">
        <f>SUM(OSRRefT22_1x_0)</f>
        <v>649889.64</v>
      </c>
      <c r="U156" s="1"/>
      <c r="V156" s="5">
        <f t="shared" ref="V156:V163" si="39">IF(T$12=0,0,T156/T$12)</f>
        <v>0.17752251011204712</v>
      </c>
      <c r="W156" s="1"/>
      <c r="X156" s="1">
        <f t="shared" ref="X156:X163" si="40">+P156-T156</f>
        <v>206625.02000000002</v>
      </c>
      <c r="Y156" s="1"/>
      <c r="Z156" s="5">
        <f t="shared" ref="Z156:Z163" si="41">IF(T156=0,0,X156/T156)</f>
        <v>0.31793862724138827</v>
      </c>
    </row>
    <row r="157" spans="1:26" s="24" customFormat="1" hidden="1" outlineLevel="2" x14ac:dyDescent="0.3">
      <c r="A157" s="27"/>
      <c r="B157" s="11" t="str">
        <f>CONCATENATE("          ", "6001", " - ", "ADMINISTRATIVE SALARIES")</f>
        <v xml:space="preserve">          6001 - ADMINISTRATIVE SALARIES</v>
      </c>
      <c r="C157" s="11"/>
      <c r="D157" s="6">
        <v>4192.43</v>
      </c>
      <c r="E157" s="2"/>
      <c r="F157" s="7">
        <f t="shared" si="34"/>
        <v>1.0825704817440324E-2</v>
      </c>
      <c r="G157" s="2"/>
      <c r="H157" s="6">
        <v>3995.45</v>
      </c>
      <c r="I157" s="2"/>
      <c r="J157" s="7">
        <f t="shared" si="35"/>
        <v>2.3398862094206507E-2</v>
      </c>
      <c r="K157" s="2"/>
      <c r="L157" s="6">
        <f t="shared" si="36"/>
        <v>196.98000000000047</v>
      </c>
      <c r="M157" s="2"/>
      <c r="N157" s="7">
        <f t="shared" si="37"/>
        <v>4.9301079978475638E-2</v>
      </c>
      <c r="O157" s="11"/>
      <c r="P157" s="6">
        <v>23676.51</v>
      </c>
      <c r="Q157" s="2"/>
      <c r="R157" s="7">
        <f t="shared" si="38"/>
        <v>5.9250302817930849E-3</v>
      </c>
      <c r="S157" s="2"/>
      <c r="T157" s="6">
        <v>21137.95</v>
      </c>
      <c r="U157" s="2"/>
      <c r="V157" s="7">
        <f t="shared" si="39"/>
        <v>5.773998709416181E-3</v>
      </c>
      <c r="W157" s="2"/>
      <c r="X157" s="6">
        <f t="shared" si="40"/>
        <v>2538.5599999999977</v>
      </c>
      <c r="Y157" s="2"/>
      <c r="Z157" s="7">
        <f t="shared" si="41"/>
        <v>0.12009490040424911</v>
      </c>
    </row>
    <row r="158" spans="1:26" s="24" customFormat="1" hidden="1" outlineLevel="2" x14ac:dyDescent="0.3">
      <c r="A158" s="27"/>
      <c r="B158" s="11" t="str">
        <f>CONCATENATE("          ", "6002", " - ", "STAFF SALARIES")</f>
        <v xml:space="preserve">          6002 - STAFF SALARIES</v>
      </c>
      <c r="C158" s="11"/>
      <c r="D158" s="6">
        <v>40605.300000000003</v>
      </c>
      <c r="E158" s="2"/>
      <c r="F158" s="7">
        <f t="shared" si="34"/>
        <v>0.10485112257655096</v>
      </c>
      <c r="G158" s="2"/>
      <c r="H158" s="6">
        <v>49923.73</v>
      </c>
      <c r="I158" s="2"/>
      <c r="J158" s="7">
        <f t="shared" si="35"/>
        <v>0.2923721917427074</v>
      </c>
      <c r="K158" s="2"/>
      <c r="L158" s="6">
        <f t="shared" si="36"/>
        <v>-9318.43</v>
      </c>
      <c r="M158" s="2"/>
      <c r="N158" s="7">
        <f t="shared" si="37"/>
        <v>-0.18665332097581649</v>
      </c>
      <c r="O158" s="11"/>
      <c r="P158" s="6">
        <v>299208.28999999998</v>
      </c>
      <c r="Q158" s="2"/>
      <c r="R158" s="7">
        <f t="shared" si="38"/>
        <v>7.4876668006117753E-2</v>
      </c>
      <c r="S158" s="2"/>
      <c r="T158" s="6">
        <v>286255.33</v>
      </c>
      <c r="U158" s="2"/>
      <c r="V158" s="7">
        <f t="shared" si="39"/>
        <v>7.8192913976213543E-2</v>
      </c>
      <c r="W158" s="2"/>
      <c r="X158" s="6">
        <f t="shared" si="40"/>
        <v>12952.959999999963</v>
      </c>
      <c r="Y158" s="2"/>
      <c r="Z158" s="7">
        <f t="shared" si="41"/>
        <v>4.5249672730984472E-2</v>
      </c>
    </row>
    <row r="159" spans="1:26" s="24" customFormat="1" hidden="1" outlineLevel="2" x14ac:dyDescent="0.3">
      <c r="A159" s="27"/>
      <c r="B159" s="11" t="str">
        <f>CONCATENATE("          ", "6004", " - ", "STAFF HOURLY")</f>
        <v xml:space="preserve">          6004 - STAFF HOURLY</v>
      </c>
      <c r="C159" s="11"/>
      <c r="D159" s="6">
        <v>24617.21</v>
      </c>
      <c r="E159" s="2"/>
      <c r="F159" s="7">
        <f t="shared" si="34"/>
        <v>6.3566630543369848E-2</v>
      </c>
      <c r="G159" s="2"/>
      <c r="H159" s="6">
        <v>15334.86</v>
      </c>
      <c r="I159" s="2"/>
      <c r="J159" s="7">
        <f t="shared" si="35"/>
        <v>8.9806723741747141E-2</v>
      </c>
      <c r="K159" s="2"/>
      <c r="L159" s="6">
        <f t="shared" si="36"/>
        <v>9282.3499999999985</v>
      </c>
      <c r="M159" s="2"/>
      <c r="N159" s="7">
        <f t="shared" si="37"/>
        <v>0.60531038431390949</v>
      </c>
      <c r="O159" s="11"/>
      <c r="P159" s="6">
        <v>125364.07</v>
      </c>
      <c r="Q159" s="2"/>
      <c r="R159" s="7">
        <f t="shared" si="38"/>
        <v>3.1372271969087845E-2</v>
      </c>
      <c r="S159" s="2"/>
      <c r="T159" s="6">
        <v>93332.3</v>
      </c>
      <c r="U159" s="2"/>
      <c r="V159" s="7">
        <f t="shared" si="39"/>
        <v>2.5494458059880157E-2</v>
      </c>
      <c r="W159" s="2"/>
      <c r="X159" s="6">
        <f t="shared" si="40"/>
        <v>32031.770000000004</v>
      </c>
      <c r="Y159" s="2"/>
      <c r="Z159" s="7">
        <f t="shared" si="41"/>
        <v>0.34320133544335674</v>
      </c>
    </row>
    <row r="160" spans="1:26" s="24" customFormat="1" hidden="1" outlineLevel="2" x14ac:dyDescent="0.3">
      <c r="A160" s="27"/>
      <c r="B160" s="11" t="str">
        <f>CONCATENATE("          ", "6005", " - ", "TEMPORARY WAGES-HOURLY")</f>
        <v xml:space="preserve">          6005 - TEMPORARY WAGES-HOURLY</v>
      </c>
      <c r="C160" s="11"/>
      <c r="D160" s="6">
        <v>8364.27</v>
      </c>
      <c r="E160" s="2"/>
      <c r="F160" s="7">
        <f t="shared" si="34"/>
        <v>2.1598242077594993E-2</v>
      </c>
      <c r="G160" s="2"/>
      <c r="H160" s="6">
        <v>7697.23</v>
      </c>
      <c r="I160" s="2"/>
      <c r="J160" s="7">
        <f t="shared" si="35"/>
        <v>4.5077881910019935E-2</v>
      </c>
      <c r="K160" s="2"/>
      <c r="L160" s="6">
        <f t="shared" si="36"/>
        <v>667.04000000000087</v>
      </c>
      <c r="M160" s="2"/>
      <c r="N160" s="7">
        <f t="shared" si="37"/>
        <v>8.6659746428260673E-2</v>
      </c>
      <c r="O160" s="11"/>
      <c r="P160" s="6">
        <v>51440.32</v>
      </c>
      <c r="Q160" s="2"/>
      <c r="R160" s="7">
        <f t="shared" si="38"/>
        <v>1.2872904566810162E-2</v>
      </c>
      <c r="S160" s="2"/>
      <c r="T160" s="6">
        <v>88066.13</v>
      </c>
      <c r="U160" s="2"/>
      <c r="V160" s="7">
        <f t="shared" si="39"/>
        <v>2.4055961952946129E-2</v>
      </c>
      <c r="W160" s="2"/>
      <c r="X160" s="6">
        <f t="shared" si="40"/>
        <v>-36625.810000000005</v>
      </c>
      <c r="Y160" s="2"/>
      <c r="Z160" s="7">
        <f t="shared" si="41"/>
        <v>-0.4158898545899542</v>
      </c>
    </row>
    <row r="161" spans="1:26" s="24" customFormat="1" hidden="1" outlineLevel="2" x14ac:dyDescent="0.3">
      <c r="A161" s="27"/>
      <c r="B161" s="11" t="str">
        <f>CONCATENATE("          ", "6006", " - ", "TEMPORARY PART TIME")</f>
        <v xml:space="preserve">          6006 - TEMPORARY PART TIME</v>
      </c>
      <c r="C161" s="11"/>
      <c r="D161" s="6"/>
      <c r="E161" s="2"/>
      <c r="F161" s="7">
        <f t="shared" si="34"/>
        <v>0</v>
      </c>
      <c r="G161" s="2"/>
      <c r="H161" s="6">
        <v>1048.44</v>
      </c>
      <c r="I161" s="2"/>
      <c r="J161" s="7">
        <f t="shared" si="35"/>
        <v>6.1400600618328029E-3</v>
      </c>
      <c r="K161" s="2"/>
      <c r="L161" s="6">
        <f t="shared" si="36"/>
        <v>-1048.44</v>
      </c>
      <c r="M161" s="2"/>
      <c r="N161" s="7">
        <f t="shared" si="37"/>
        <v>-1</v>
      </c>
      <c r="O161" s="11"/>
      <c r="P161" s="6">
        <v>9877.6200000000008</v>
      </c>
      <c r="Q161" s="2"/>
      <c r="R161" s="7">
        <f t="shared" si="38"/>
        <v>2.4718675857229389E-3</v>
      </c>
      <c r="S161" s="2"/>
      <c r="T161" s="6">
        <v>8555.61</v>
      </c>
      <c r="U161" s="2"/>
      <c r="V161" s="7">
        <f t="shared" si="39"/>
        <v>2.3370327348805429E-3</v>
      </c>
      <c r="W161" s="2"/>
      <c r="X161" s="6">
        <f t="shared" si="40"/>
        <v>1322.0100000000002</v>
      </c>
      <c r="Y161" s="2"/>
      <c r="Z161" s="7">
        <f t="shared" si="41"/>
        <v>0.15451966604368364</v>
      </c>
    </row>
    <row r="162" spans="1:26" s="24" customFormat="1" hidden="1" outlineLevel="2" x14ac:dyDescent="0.3">
      <c r="A162" s="27"/>
      <c r="B162" s="11" t="str">
        <f>CONCATENATE("          ", "6007", " - ", "STUDENT HOURLY")</f>
        <v xml:space="preserve">          6007 - STUDENT HOURLY</v>
      </c>
      <c r="C162" s="11"/>
      <c r="D162" s="6">
        <v>44752.9</v>
      </c>
      <c r="E162" s="2"/>
      <c r="F162" s="7">
        <f t="shared" si="34"/>
        <v>0.11556106723891038</v>
      </c>
      <c r="G162" s="2"/>
      <c r="H162" s="6">
        <v>20639.36</v>
      </c>
      <c r="I162" s="2"/>
      <c r="J162" s="7">
        <f t="shared" si="35"/>
        <v>0.12087187634751581</v>
      </c>
      <c r="K162" s="2"/>
      <c r="L162" s="6">
        <f t="shared" si="36"/>
        <v>24113.54</v>
      </c>
      <c r="M162" s="2"/>
      <c r="N162" s="7">
        <f t="shared" si="37"/>
        <v>1.1683278938881825</v>
      </c>
      <c r="O162" s="11"/>
      <c r="P162" s="6">
        <v>291210.2</v>
      </c>
      <c r="Q162" s="2"/>
      <c r="R162" s="7">
        <f t="shared" si="38"/>
        <v>7.2875151505311417E-2</v>
      </c>
      <c r="S162" s="2"/>
      <c r="T162" s="6">
        <v>148695.03</v>
      </c>
      <c r="U162" s="2"/>
      <c r="V162" s="7">
        <f t="shared" si="39"/>
        <v>4.0617226898379467E-2</v>
      </c>
      <c r="W162" s="2"/>
      <c r="X162" s="6">
        <f t="shared" si="40"/>
        <v>142515.17000000001</v>
      </c>
      <c r="Y162" s="2"/>
      <c r="Z162" s="7">
        <f t="shared" si="41"/>
        <v>0.95843936411324582</v>
      </c>
    </row>
    <row r="163" spans="1:26" s="24" customFormat="1" hidden="1" outlineLevel="2" x14ac:dyDescent="0.3">
      <c r="A163" s="27"/>
      <c r="B163" s="11" t="str">
        <f>CONCATENATE("          ", "6008", " - ", "STUDENT HOURLY-FICA EXEMPT")</f>
        <v xml:space="preserve">          6008 - STUDENT HOURLY-FICA EXEMPT</v>
      </c>
      <c r="C163" s="11"/>
      <c r="D163" s="6">
        <v>8076.21</v>
      </c>
      <c r="E163" s="2"/>
      <c r="F163" s="7">
        <f t="shared" si="34"/>
        <v>2.0854412716171698E-2</v>
      </c>
      <c r="G163" s="2"/>
      <c r="H163" s="6">
        <v>882.57</v>
      </c>
      <c r="I163" s="2"/>
      <c r="J163" s="7">
        <f t="shared" si="35"/>
        <v>5.1686627835372334E-3</v>
      </c>
      <c r="K163" s="2"/>
      <c r="L163" s="6">
        <f t="shared" si="36"/>
        <v>7193.64</v>
      </c>
      <c r="M163" s="2"/>
      <c r="N163" s="7">
        <f t="shared" si="37"/>
        <v>8.1507869064210201</v>
      </c>
      <c r="O163" s="11"/>
      <c r="P163" s="6">
        <v>55737.65</v>
      </c>
      <c r="Q163" s="2"/>
      <c r="R163" s="7">
        <f t="shared" si="38"/>
        <v>1.3948308432534371E-2</v>
      </c>
      <c r="S163" s="2"/>
      <c r="T163" s="6">
        <v>3847.29</v>
      </c>
      <c r="U163" s="2"/>
      <c r="V163" s="7">
        <f t="shared" si="39"/>
        <v>1.0509177803311E-3</v>
      </c>
      <c r="W163" s="2"/>
      <c r="X163" s="6">
        <f t="shared" si="40"/>
        <v>51890.36</v>
      </c>
      <c r="Y163" s="2"/>
      <c r="Z163" s="7">
        <f t="shared" si="41"/>
        <v>13.487509389726275</v>
      </c>
    </row>
    <row r="164" spans="1:26" s="29" customFormat="1" outlineLevel="1" collapsed="1" x14ac:dyDescent="0.3">
      <c r="A164" s="28"/>
      <c r="B164" s="14" t="str">
        <f>CONCATENATE("     ","Advertising/Promo                                 ")</f>
        <v xml:space="preserve">     Advertising/Promo                                 </v>
      </c>
      <c r="C164" s="14"/>
      <c r="D164" s="1">
        <f>SUM(OSRRefD22_2x_0)</f>
        <v>1689.33</v>
      </c>
      <c r="E164" s="1"/>
      <c r="F164" s="5">
        <f t="shared" ref="F164:F172" si="42">IF(D$12=0,0,D164/D$12)</f>
        <v>4.3621927901590389E-3</v>
      </c>
      <c r="G164" s="1"/>
      <c r="H164" s="1">
        <f>SUM(OSRRefH22_2x_0)</f>
        <v>648.78</v>
      </c>
      <c r="I164" s="1"/>
      <c r="J164" s="5">
        <f t="shared" ref="J164:J172" si="43">IF(H$12=0,0,H164/H$12)</f>
        <v>3.799500369039607E-3</v>
      </c>
      <c r="K164" s="1"/>
      <c r="L164" s="1">
        <f t="shared" ref="L164:L172" si="44">+D164-H164</f>
        <v>1040.55</v>
      </c>
      <c r="M164" s="1"/>
      <c r="N164" s="5">
        <f t="shared" ref="N164:N172" si="45">IF(H164=0,0,L164/H164)</f>
        <v>1.6038564690650143</v>
      </c>
      <c r="O164" s="14"/>
      <c r="P164" s="1">
        <f>SUM(OSRRefP22_2x_0)</f>
        <v>4950.82</v>
      </c>
      <c r="Q164" s="1"/>
      <c r="R164" s="5">
        <f t="shared" ref="R164:R172" si="46">IF(P$12=0,0,P164/P$12)</f>
        <v>1.2389392870700471E-3</v>
      </c>
      <c r="S164" s="1"/>
      <c r="T164" s="1">
        <f>SUM(OSRRefT22_2x_0)</f>
        <v>14607.41</v>
      </c>
      <c r="U164" s="1"/>
      <c r="V164" s="5">
        <f t="shared" ref="V164:V172" si="47">IF(T$12=0,0,T164/T$12)</f>
        <v>3.9901299079576312E-3</v>
      </c>
      <c r="W164" s="1"/>
      <c r="X164" s="1">
        <f t="shared" ref="X164:X172" si="48">+P164-T164</f>
        <v>-9656.59</v>
      </c>
      <c r="Y164" s="1"/>
      <c r="Z164" s="5">
        <f t="shared" ref="Z164:Z172" si="49">IF(T164=0,0,X164/T164)</f>
        <v>-0.66107475589443987</v>
      </c>
    </row>
    <row r="165" spans="1:26" s="24" customFormat="1" hidden="1" outlineLevel="2" x14ac:dyDescent="0.3">
      <c r="A165" s="27"/>
      <c r="B165" s="11" t="str">
        <f>CONCATENATE("          ", "6362", " - ", "ADVERTISING EXPENSE")</f>
        <v xml:space="preserve">          6362 - ADVERTISING EXPENSE</v>
      </c>
      <c r="C165" s="11"/>
      <c r="D165" s="6">
        <v>1689.33</v>
      </c>
      <c r="E165" s="2"/>
      <c r="F165" s="7">
        <f t="shared" si="42"/>
        <v>4.3621927901590389E-3</v>
      </c>
      <c r="G165" s="2"/>
      <c r="H165" s="6">
        <v>648.78</v>
      </c>
      <c r="I165" s="2"/>
      <c r="J165" s="7">
        <f t="shared" si="43"/>
        <v>3.799500369039607E-3</v>
      </c>
      <c r="K165" s="2"/>
      <c r="L165" s="6">
        <f t="shared" si="44"/>
        <v>1040.55</v>
      </c>
      <c r="M165" s="2"/>
      <c r="N165" s="7">
        <f t="shared" si="45"/>
        <v>1.6038564690650143</v>
      </c>
      <c r="O165" s="11"/>
      <c r="P165" s="6">
        <v>4950.82</v>
      </c>
      <c r="Q165" s="2"/>
      <c r="R165" s="7">
        <f t="shared" si="46"/>
        <v>1.2389392870700471E-3</v>
      </c>
      <c r="S165" s="2"/>
      <c r="T165" s="6">
        <v>14607.41</v>
      </c>
      <c r="U165" s="2"/>
      <c r="V165" s="7">
        <f t="shared" si="47"/>
        <v>3.9901299079576312E-3</v>
      </c>
      <c r="W165" s="2"/>
      <c r="X165" s="6">
        <f t="shared" si="48"/>
        <v>-9656.59</v>
      </c>
      <c r="Y165" s="2"/>
      <c r="Z165" s="7">
        <f t="shared" si="49"/>
        <v>-0.66107475589443987</v>
      </c>
    </row>
    <row r="166" spans="1:26" s="29" customFormat="1" outlineLevel="1" collapsed="1" x14ac:dyDescent="0.3">
      <c r="A166" s="28"/>
      <c r="B166" s="14" t="str">
        <f>CONCATENATE("     ","Bad Debts/Over/Short                              ")</f>
        <v xml:space="preserve">     Bad Debts/Over/Short                              </v>
      </c>
      <c r="C166" s="14"/>
      <c r="D166" s="1">
        <f>SUM(OSRRefD22_3x_0)</f>
        <v>-40.770000000000003</v>
      </c>
      <c r="E166" s="1"/>
      <c r="F166" s="5">
        <f t="shared" si="42"/>
        <v>-1.0527641139077861E-4</v>
      </c>
      <c r="G166" s="1"/>
      <c r="H166" s="1">
        <f>SUM(OSRRefH22_3x_0)</f>
        <v>0.74</v>
      </c>
      <c r="I166" s="1"/>
      <c r="J166" s="5">
        <f t="shared" si="43"/>
        <v>4.3337190928963734E-6</v>
      </c>
      <c r="K166" s="1"/>
      <c r="L166" s="1">
        <f t="shared" si="44"/>
        <v>-41.510000000000005</v>
      </c>
      <c r="M166" s="1"/>
      <c r="N166" s="5">
        <f t="shared" si="45"/>
        <v>-56.094594594594604</v>
      </c>
      <c r="O166" s="14"/>
      <c r="P166" s="1">
        <f>SUM(OSRRefP22_3x_0)</f>
        <v>177.72</v>
      </c>
      <c r="Q166" s="1"/>
      <c r="R166" s="5">
        <f t="shared" si="46"/>
        <v>4.4474307306282344E-5</v>
      </c>
      <c r="S166" s="1"/>
      <c r="T166" s="1">
        <f>SUM(OSRRefT22_3x_0)</f>
        <v>51.3</v>
      </c>
      <c r="U166" s="1"/>
      <c r="V166" s="5">
        <f t="shared" si="47"/>
        <v>1.4013001913291026E-5</v>
      </c>
      <c r="W166" s="1"/>
      <c r="X166" s="1">
        <f t="shared" si="48"/>
        <v>126.42</v>
      </c>
      <c r="Y166" s="1"/>
      <c r="Z166" s="5">
        <f t="shared" si="49"/>
        <v>2.4643274853801169</v>
      </c>
    </row>
    <row r="167" spans="1:26" s="24" customFormat="1" hidden="1" outlineLevel="2" x14ac:dyDescent="0.3">
      <c r="A167" s="27"/>
      <c r="B167" s="11" t="str">
        <f>CONCATENATE("          ", "6272", " - ", "CASH (OVER/SHORT)")</f>
        <v xml:space="preserve">          6272 - CASH (OVER/SHORT)</v>
      </c>
      <c r="C167" s="11"/>
      <c r="D167" s="6">
        <v>-40.770000000000003</v>
      </c>
      <c r="E167" s="2"/>
      <c r="F167" s="7">
        <f t="shared" si="42"/>
        <v>-1.0527641139077861E-4</v>
      </c>
      <c r="G167" s="2"/>
      <c r="H167" s="6">
        <v>0.74</v>
      </c>
      <c r="I167" s="2"/>
      <c r="J167" s="7">
        <f t="shared" si="43"/>
        <v>4.3337190928963734E-6</v>
      </c>
      <c r="K167" s="2"/>
      <c r="L167" s="6">
        <f t="shared" si="44"/>
        <v>-41.510000000000005</v>
      </c>
      <c r="M167" s="2"/>
      <c r="N167" s="7">
        <f t="shared" si="45"/>
        <v>-56.094594594594604</v>
      </c>
      <c r="O167" s="11"/>
      <c r="P167" s="6">
        <v>177.72</v>
      </c>
      <c r="Q167" s="2"/>
      <c r="R167" s="7">
        <f t="shared" si="46"/>
        <v>4.4474307306282344E-5</v>
      </c>
      <c r="S167" s="2"/>
      <c r="T167" s="6">
        <v>51.3</v>
      </c>
      <c r="U167" s="2"/>
      <c r="V167" s="7">
        <f t="shared" si="47"/>
        <v>1.4013001913291026E-5</v>
      </c>
      <c r="W167" s="2"/>
      <c r="X167" s="6">
        <f t="shared" si="48"/>
        <v>126.42</v>
      </c>
      <c r="Y167" s="2"/>
      <c r="Z167" s="7">
        <f t="shared" si="49"/>
        <v>2.4643274853801169</v>
      </c>
    </row>
    <row r="168" spans="1:26" s="29" customFormat="1" outlineLevel="1" collapsed="1" x14ac:dyDescent="0.3">
      <c r="A168" s="28"/>
      <c r="B168" s="14" t="str">
        <f>CONCATENATE("     ","Bank/card Fees                                    ")</f>
        <v xml:space="preserve">     Bank/card Fees                                    </v>
      </c>
      <c r="C168" s="14"/>
      <c r="D168" s="1">
        <f>SUM(OSRRefD22_4x_0)</f>
        <v>7877.66</v>
      </c>
      <c r="E168" s="1"/>
      <c r="F168" s="5">
        <f t="shared" si="42"/>
        <v>2.0341716334478316E-2</v>
      </c>
      <c r="G168" s="1"/>
      <c r="H168" s="1">
        <f>SUM(OSRRefH22_4x_0)</f>
        <v>2442.63</v>
      </c>
      <c r="I168" s="1"/>
      <c r="J168" s="5">
        <f t="shared" si="43"/>
        <v>1.4304962524164147E-2</v>
      </c>
      <c r="K168" s="1"/>
      <c r="L168" s="1">
        <f t="shared" si="44"/>
        <v>5435.03</v>
      </c>
      <c r="M168" s="1"/>
      <c r="N168" s="5">
        <f t="shared" si="45"/>
        <v>2.2250729746216167</v>
      </c>
      <c r="O168" s="14"/>
      <c r="P168" s="1">
        <f>SUM(OSRRefP22_4x_0)</f>
        <v>58207.15</v>
      </c>
      <c r="Q168" s="1"/>
      <c r="R168" s="5">
        <f t="shared" si="46"/>
        <v>1.4566299102649519E-2</v>
      </c>
      <c r="S168" s="1"/>
      <c r="T168" s="1">
        <f>SUM(OSRRefT22_4x_0)</f>
        <v>41582.379999999997</v>
      </c>
      <c r="U168" s="1"/>
      <c r="V168" s="5">
        <f t="shared" si="47"/>
        <v>1.1358556929808859E-2</v>
      </c>
      <c r="W168" s="1"/>
      <c r="X168" s="1">
        <f t="shared" si="48"/>
        <v>16624.770000000004</v>
      </c>
      <c r="Y168" s="1"/>
      <c r="Z168" s="5">
        <f t="shared" si="49"/>
        <v>0.3998032339659251</v>
      </c>
    </row>
    <row r="169" spans="1:26" s="24" customFormat="1" hidden="1" outlineLevel="2" x14ac:dyDescent="0.3">
      <c r="A169" s="27"/>
      <c r="B169" s="11" t="str">
        <f>CONCATENATE("          ", "6381", " - ", "BANK/CREDIT CARD FEES")</f>
        <v xml:space="preserve">          6381 - BANK/CREDIT CARD FEES</v>
      </c>
      <c r="C169" s="11"/>
      <c r="D169" s="6">
        <v>7877.66</v>
      </c>
      <c r="E169" s="2"/>
      <c r="F169" s="7">
        <f t="shared" si="42"/>
        <v>2.0341716334478316E-2</v>
      </c>
      <c r="G169" s="2"/>
      <c r="H169" s="6">
        <v>2442.63</v>
      </c>
      <c r="I169" s="2"/>
      <c r="J169" s="7">
        <f t="shared" si="43"/>
        <v>1.4304962524164147E-2</v>
      </c>
      <c r="K169" s="2"/>
      <c r="L169" s="6">
        <f t="shared" si="44"/>
        <v>5435.03</v>
      </c>
      <c r="M169" s="2"/>
      <c r="N169" s="7">
        <f t="shared" si="45"/>
        <v>2.2250729746216167</v>
      </c>
      <c r="O169" s="11"/>
      <c r="P169" s="6">
        <v>58207.15</v>
      </c>
      <c r="Q169" s="2"/>
      <c r="R169" s="7">
        <f t="shared" si="46"/>
        <v>1.4566299102649519E-2</v>
      </c>
      <c r="S169" s="2"/>
      <c r="T169" s="6">
        <v>41582.379999999997</v>
      </c>
      <c r="U169" s="2"/>
      <c r="V169" s="7">
        <f t="shared" si="47"/>
        <v>1.1358556929808859E-2</v>
      </c>
      <c r="W169" s="2"/>
      <c r="X169" s="6">
        <f t="shared" si="48"/>
        <v>16624.770000000004</v>
      </c>
      <c r="Y169" s="2"/>
      <c r="Z169" s="7">
        <f t="shared" si="49"/>
        <v>0.3998032339659251</v>
      </c>
    </row>
    <row r="170" spans="1:26" s="29" customFormat="1" outlineLevel="1" collapsed="1" x14ac:dyDescent="0.3">
      <c r="A170" s="28"/>
      <c r="B170" s="14" t="str">
        <f>CONCATENATE("     ","Depreciation                                      ")</f>
        <v xml:space="preserve">     Depreciation                                      </v>
      </c>
      <c r="C170" s="14"/>
      <c r="D170" s="1">
        <f>SUM(OSRRefD22_5x_0)</f>
        <v>30895.29</v>
      </c>
      <c r="E170" s="1"/>
      <c r="F170" s="5">
        <f t="shared" si="42"/>
        <v>7.977790679611009E-2</v>
      </c>
      <c r="G170" s="1"/>
      <c r="H170" s="1">
        <f>SUM(OSRRefH22_5x_0)</f>
        <v>31016.29</v>
      </c>
      <c r="I170" s="1"/>
      <c r="J170" s="5">
        <f t="shared" si="43"/>
        <v>0.18164309211325791</v>
      </c>
      <c r="K170" s="1"/>
      <c r="L170" s="1">
        <f t="shared" si="44"/>
        <v>-121</v>
      </c>
      <c r="M170" s="1"/>
      <c r="N170" s="5">
        <f t="shared" si="45"/>
        <v>-3.9011758014901201E-3</v>
      </c>
      <c r="O170" s="14"/>
      <c r="P170" s="1">
        <f>SUM(OSRRefP22_5x_0)</f>
        <v>154793.95000000001</v>
      </c>
      <c r="Q170" s="1"/>
      <c r="R170" s="5">
        <f t="shared" si="46"/>
        <v>3.8737079121389288E-2</v>
      </c>
      <c r="S170" s="1"/>
      <c r="T170" s="1">
        <f>SUM(OSRRefT22_5x_0)</f>
        <v>155376.94</v>
      </c>
      <c r="U170" s="1"/>
      <c r="V170" s="5">
        <f t="shared" si="47"/>
        <v>4.2442443616009844E-2</v>
      </c>
      <c r="W170" s="1"/>
      <c r="X170" s="1">
        <f t="shared" si="48"/>
        <v>-582.98999999999069</v>
      </c>
      <c r="Y170" s="1"/>
      <c r="Z170" s="5">
        <f t="shared" si="49"/>
        <v>-3.7521011805226098E-3</v>
      </c>
    </row>
    <row r="171" spans="1:26" s="24" customFormat="1" hidden="1" outlineLevel="2" x14ac:dyDescent="0.3">
      <c r="A171" s="27"/>
      <c r="B171" s="11" t="str">
        <f>CONCATENATE("          ", "6321", " - ", "BUILDING DEPRECIATION")</f>
        <v xml:space="preserve">          6321 - BUILDING DEPRECIATION</v>
      </c>
      <c r="C171" s="11"/>
      <c r="D171" s="6">
        <v>16396.52</v>
      </c>
      <c r="E171" s="2"/>
      <c r="F171" s="7">
        <f t="shared" si="42"/>
        <v>4.2339141155190808E-2</v>
      </c>
      <c r="G171" s="2"/>
      <c r="H171" s="6">
        <v>16396.52</v>
      </c>
      <c r="I171" s="2"/>
      <c r="J171" s="7">
        <f t="shared" si="43"/>
        <v>9.6024205109536825E-2</v>
      </c>
      <c r="K171" s="2"/>
      <c r="L171" s="6">
        <f t="shared" si="44"/>
        <v>0</v>
      </c>
      <c r="M171" s="2"/>
      <c r="N171" s="7">
        <f t="shared" si="45"/>
        <v>0</v>
      </c>
      <c r="O171" s="11"/>
      <c r="P171" s="6">
        <v>81982.600000000006</v>
      </c>
      <c r="Q171" s="2"/>
      <c r="R171" s="7">
        <f t="shared" si="46"/>
        <v>2.0516089051136752E-2</v>
      </c>
      <c r="S171" s="2"/>
      <c r="T171" s="6">
        <v>81982.600000000006</v>
      </c>
      <c r="U171" s="2"/>
      <c r="V171" s="7">
        <f t="shared" si="47"/>
        <v>2.2394197478685634E-2</v>
      </c>
      <c r="W171" s="2"/>
      <c r="X171" s="6">
        <f t="shared" si="48"/>
        <v>0</v>
      </c>
      <c r="Y171" s="2"/>
      <c r="Z171" s="7">
        <f t="shared" si="49"/>
        <v>0</v>
      </c>
    </row>
    <row r="172" spans="1:26" s="24" customFormat="1" hidden="1" outlineLevel="2" x14ac:dyDescent="0.3">
      <c r="A172" s="27"/>
      <c r="B172" s="11" t="str">
        <f>CONCATENATE("          ", "6322", " - ", "EQUIPMENT DEPRECIATION EXPENSE")</f>
        <v xml:space="preserve">          6322 - EQUIPMENT DEPRECIATION EXPENSE</v>
      </c>
      <c r="C172" s="11"/>
      <c r="D172" s="6">
        <v>14498.77</v>
      </c>
      <c r="E172" s="2"/>
      <c r="F172" s="7">
        <f t="shared" si="42"/>
        <v>3.7438765640919282E-2</v>
      </c>
      <c r="G172" s="2"/>
      <c r="H172" s="6">
        <v>14619.77</v>
      </c>
      <c r="I172" s="2"/>
      <c r="J172" s="7">
        <f t="shared" si="43"/>
        <v>8.5618887003721098E-2</v>
      </c>
      <c r="K172" s="2"/>
      <c r="L172" s="6">
        <f t="shared" si="44"/>
        <v>-121</v>
      </c>
      <c r="M172" s="2"/>
      <c r="N172" s="7">
        <f t="shared" si="45"/>
        <v>-8.2764639936195976E-3</v>
      </c>
      <c r="O172" s="11"/>
      <c r="P172" s="6">
        <v>72811.350000000006</v>
      </c>
      <c r="Q172" s="2"/>
      <c r="R172" s="7">
        <f t="shared" si="46"/>
        <v>1.8220990070252539E-2</v>
      </c>
      <c r="S172" s="2"/>
      <c r="T172" s="6">
        <v>73394.34</v>
      </c>
      <c r="U172" s="2"/>
      <c r="V172" s="7">
        <f t="shared" si="47"/>
        <v>2.0048246137324213E-2</v>
      </c>
      <c r="W172" s="2"/>
      <c r="X172" s="6">
        <f t="shared" si="48"/>
        <v>-582.98999999999069</v>
      </c>
      <c r="Y172" s="2"/>
      <c r="Z172" s="7">
        <f t="shared" si="49"/>
        <v>-7.9432555698435419E-3</v>
      </c>
    </row>
    <row r="173" spans="1:26" s="29" customFormat="1" outlineLevel="1" collapsed="1" x14ac:dyDescent="0.3">
      <c r="A173" s="28"/>
      <c r="B173" s="14" t="str">
        <f>CONCATENATE("     ","Discounts and Markdowns                           ")</f>
        <v xml:space="preserve">     Discounts and Markdowns                           </v>
      </c>
      <c r="C173" s="14"/>
      <c r="D173" s="1">
        <f>SUM(OSRRefD22_6x_0)</f>
        <v>3409.87</v>
      </c>
      <c r="E173" s="1"/>
      <c r="F173" s="5">
        <f t="shared" ref="F173:F175" si="50">IF(D$12=0,0,D173/D$12)</f>
        <v>8.8049761321823457E-3</v>
      </c>
      <c r="G173" s="1"/>
      <c r="H173" s="1">
        <f>SUM(OSRRefH22_6x_0)</f>
        <v>418.85</v>
      </c>
      <c r="I173" s="1"/>
      <c r="J173" s="5">
        <f t="shared" ref="J173:J175" si="51">IF(H$12=0,0,H173/H$12)</f>
        <v>2.4529435703508733E-3</v>
      </c>
      <c r="K173" s="1"/>
      <c r="L173" s="1">
        <f t="shared" ref="L173:L175" si="52">+D173-H173</f>
        <v>2991.02</v>
      </c>
      <c r="M173" s="1"/>
      <c r="N173" s="5">
        <f t="shared" ref="N173:N175" si="53">IF(H173=0,0,L173/H173)</f>
        <v>7.1410290079980898</v>
      </c>
      <c r="O173" s="14"/>
      <c r="P173" s="1">
        <f>SUM(OSRRefP22_6x_0)</f>
        <v>3343.63</v>
      </c>
      <c r="Q173" s="1"/>
      <c r="R173" s="5">
        <f t="shared" ref="R173:R175" si="54">IF(P$12=0,0,P173/P$12)</f>
        <v>8.3674109913630908E-4</v>
      </c>
      <c r="S173" s="1"/>
      <c r="T173" s="1">
        <f>SUM(OSRRefT22_6x_0)</f>
        <v>0</v>
      </c>
      <c r="U173" s="1"/>
      <c r="V173" s="5">
        <f t="shared" ref="V173:V175" si="55">IF(T$12=0,0,T173/T$12)</f>
        <v>0</v>
      </c>
      <c r="W173" s="1"/>
      <c r="X173" s="1">
        <f t="shared" ref="X173:X175" si="56">+P173-T173</f>
        <v>3343.63</v>
      </c>
      <c r="Y173" s="1"/>
      <c r="Z173" s="5">
        <f t="shared" ref="Z173:Z175" si="57">IF(T173=0,0,X173/T173)</f>
        <v>0</v>
      </c>
    </row>
    <row r="174" spans="1:26" s="24" customFormat="1" hidden="1" outlineLevel="2" x14ac:dyDescent="0.3">
      <c r="A174" s="27"/>
      <c r="B174" s="11" t="str">
        <f>CONCATENATE("          ", "6382", " - ", "DISCOUNTS/MARK DOWNS")</f>
        <v xml:space="preserve">          6382 - DISCOUNTS/MARK DOWNS</v>
      </c>
      <c r="C174" s="11"/>
      <c r="D174" s="6">
        <v>3410</v>
      </c>
      <c r="E174" s="2"/>
      <c r="F174" s="7">
        <f t="shared" si="50"/>
        <v>8.8053118185566596E-3</v>
      </c>
      <c r="G174" s="2"/>
      <c r="H174" s="6">
        <v>0</v>
      </c>
      <c r="I174" s="2"/>
      <c r="J174" s="7">
        <f t="shared" si="51"/>
        <v>0</v>
      </c>
      <c r="K174" s="2"/>
      <c r="L174" s="6">
        <f t="shared" si="52"/>
        <v>3410</v>
      </c>
      <c r="M174" s="2"/>
      <c r="N174" s="7">
        <f t="shared" si="53"/>
        <v>0</v>
      </c>
      <c r="O174" s="11"/>
      <c r="P174" s="6">
        <v>3410</v>
      </c>
      <c r="Q174" s="2"/>
      <c r="R174" s="7">
        <f t="shared" si="54"/>
        <v>8.5335014581601845E-4</v>
      </c>
      <c r="S174" s="2"/>
      <c r="T174" s="6">
        <v>0</v>
      </c>
      <c r="U174" s="2"/>
      <c r="V174" s="7">
        <f t="shared" si="55"/>
        <v>0</v>
      </c>
      <c r="W174" s="2"/>
      <c r="X174" s="6">
        <f t="shared" si="56"/>
        <v>3410</v>
      </c>
      <c r="Y174" s="2"/>
      <c r="Z174" s="7">
        <f t="shared" si="57"/>
        <v>0</v>
      </c>
    </row>
    <row r="175" spans="1:26" s="24" customFormat="1" hidden="1" outlineLevel="2" x14ac:dyDescent="0.3">
      <c r="A175" s="27"/>
      <c r="B175" s="11" t="str">
        <f>CONCATENATE("          ", "9175", " - ", "EARNED DISCOUNTS")</f>
        <v xml:space="preserve">          9175 - EARNED DISCOUNTS</v>
      </c>
      <c r="C175" s="11"/>
      <c r="D175" s="6">
        <v>-0.13</v>
      </c>
      <c r="E175" s="2"/>
      <c r="F175" s="7">
        <f t="shared" si="50"/>
        <v>-3.356863743144768E-7</v>
      </c>
      <c r="G175" s="2"/>
      <c r="H175" s="6">
        <v>418.85</v>
      </c>
      <c r="I175" s="2"/>
      <c r="J175" s="7">
        <f t="shared" si="51"/>
        <v>2.4529435703508733E-3</v>
      </c>
      <c r="K175" s="2"/>
      <c r="L175" s="6">
        <f t="shared" si="52"/>
        <v>-418.98</v>
      </c>
      <c r="M175" s="2"/>
      <c r="N175" s="7">
        <f t="shared" si="53"/>
        <v>-1.0003103736421153</v>
      </c>
      <c r="O175" s="11"/>
      <c r="P175" s="6">
        <v>-66.37</v>
      </c>
      <c r="Q175" s="2"/>
      <c r="R175" s="7">
        <f t="shared" si="54"/>
        <v>-1.6609046679709428E-5</v>
      </c>
      <c r="S175" s="2"/>
      <c r="T175" s="6">
        <v>0</v>
      </c>
      <c r="U175" s="2"/>
      <c r="V175" s="7">
        <f t="shared" si="55"/>
        <v>0</v>
      </c>
      <c r="W175" s="2"/>
      <c r="X175" s="6">
        <f t="shared" si="56"/>
        <v>-66.37</v>
      </c>
      <c r="Y175" s="2"/>
      <c r="Z175" s="7">
        <f t="shared" si="57"/>
        <v>0</v>
      </c>
    </row>
    <row r="176" spans="1:26" s="29" customFormat="1" outlineLevel="1" collapsed="1" x14ac:dyDescent="0.3">
      <c r="A176" s="28"/>
      <c r="B176" s="14" t="str">
        <f>CONCATENATE("     ","Donations                                         ")</f>
        <v xml:space="preserve">     Donations                                         </v>
      </c>
      <c r="C176" s="14"/>
      <c r="D176" s="1">
        <f>SUM(OSRRefD22_7x_0)</f>
        <v>1336.74</v>
      </c>
      <c r="E176" s="1"/>
      <c r="F176" s="5">
        <f t="shared" ref="F176:F184" si="58">IF(D$12=0,0,D176/D$12)</f>
        <v>3.4517338769317978E-3</v>
      </c>
      <c r="G176" s="1"/>
      <c r="H176" s="1">
        <f>SUM(OSRRefH22_7x_0)</f>
        <v>0</v>
      </c>
      <c r="I176" s="1"/>
      <c r="J176" s="5">
        <f t="shared" ref="J176:J184" si="59">IF(H$12=0,0,H176/H$12)</f>
        <v>0</v>
      </c>
      <c r="K176" s="1"/>
      <c r="L176" s="1">
        <f t="shared" ref="L176:L184" si="60">+D176-H176</f>
        <v>1336.74</v>
      </c>
      <c r="M176" s="1"/>
      <c r="N176" s="5">
        <f t="shared" ref="N176:N184" si="61">IF(H176=0,0,L176/H176)</f>
        <v>0</v>
      </c>
      <c r="O176" s="14"/>
      <c r="P176" s="1">
        <f>SUM(OSRRefP22_7x_0)</f>
        <v>2820.22</v>
      </c>
      <c r="Q176" s="1"/>
      <c r="R176" s="5">
        <f t="shared" ref="R176:R184" si="62">IF(P$12=0,0,P176/P$12)</f>
        <v>7.0575810798629071E-4</v>
      </c>
      <c r="S176" s="1"/>
      <c r="T176" s="1">
        <f>SUM(OSRRefT22_7x_0)</f>
        <v>0</v>
      </c>
      <c r="U176" s="1"/>
      <c r="V176" s="5">
        <f t="shared" ref="V176:V184" si="63">IF(T$12=0,0,T176/T$12)</f>
        <v>0</v>
      </c>
      <c r="W176" s="1"/>
      <c r="X176" s="1">
        <f t="shared" ref="X176:X184" si="64">+P176-T176</f>
        <v>2820.22</v>
      </c>
      <c r="Y176" s="1"/>
      <c r="Z176" s="5">
        <f t="shared" ref="Z176:Z184" si="65">IF(T176=0,0,X176/T176)</f>
        <v>0</v>
      </c>
    </row>
    <row r="177" spans="1:26" s="24" customFormat="1" hidden="1" outlineLevel="2" x14ac:dyDescent="0.3">
      <c r="A177" s="27"/>
      <c r="B177" s="11" t="str">
        <f>CONCATENATE("          ", "6399", " - ", "DONATION-ON CAMPUS")</f>
        <v xml:space="preserve">          6399 - DONATION-ON CAMPUS</v>
      </c>
      <c r="C177" s="11"/>
      <c r="D177" s="6">
        <v>1336.74</v>
      </c>
      <c r="E177" s="2"/>
      <c r="F177" s="7">
        <f t="shared" si="58"/>
        <v>3.4517338769317978E-3</v>
      </c>
      <c r="G177" s="2"/>
      <c r="H177" s="6"/>
      <c r="I177" s="2"/>
      <c r="J177" s="7">
        <f t="shared" si="59"/>
        <v>0</v>
      </c>
      <c r="K177" s="2"/>
      <c r="L177" s="6">
        <f t="shared" si="60"/>
        <v>1336.74</v>
      </c>
      <c r="M177" s="2"/>
      <c r="N177" s="7">
        <f t="shared" si="61"/>
        <v>0</v>
      </c>
      <c r="O177" s="11"/>
      <c r="P177" s="6">
        <v>2820.22</v>
      </c>
      <c r="Q177" s="2"/>
      <c r="R177" s="7">
        <f t="shared" si="62"/>
        <v>7.0575810798629071E-4</v>
      </c>
      <c r="S177" s="2"/>
      <c r="T177" s="6"/>
      <c r="U177" s="2"/>
      <c r="V177" s="7">
        <f t="shared" si="63"/>
        <v>0</v>
      </c>
      <c r="W177" s="2"/>
      <c r="X177" s="6">
        <f t="shared" si="64"/>
        <v>2820.22</v>
      </c>
      <c r="Y177" s="2"/>
      <c r="Z177" s="7">
        <f t="shared" si="65"/>
        <v>0</v>
      </c>
    </row>
    <row r="178" spans="1:26" s="29" customFormat="1" outlineLevel="1" collapsed="1" x14ac:dyDescent="0.3">
      <c r="A178" s="28"/>
      <c r="B178" s="14" t="str">
        <f>CONCATENATE("     ","Employees' Appreciation                           ")</f>
        <v xml:space="preserve">     Employees' Appreciation                           </v>
      </c>
      <c r="C178" s="14"/>
      <c r="D178" s="1">
        <f>SUM(OSRRefD22_8x_0)</f>
        <v>490.02</v>
      </c>
      <c r="E178" s="1"/>
      <c r="F178" s="5">
        <f t="shared" si="58"/>
        <v>1.2653310549352302E-3</v>
      </c>
      <c r="G178" s="1"/>
      <c r="H178" s="1">
        <f>SUM(OSRRefH22_8x_0)</f>
        <v>0</v>
      </c>
      <c r="I178" s="1"/>
      <c r="J178" s="5">
        <f t="shared" si="59"/>
        <v>0</v>
      </c>
      <c r="K178" s="1"/>
      <c r="L178" s="1">
        <f t="shared" si="60"/>
        <v>490.02</v>
      </c>
      <c r="M178" s="1"/>
      <c r="N178" s="5">
        <f t="shared" si="61"/>
        <v>0</v>
      </c>
      <c r="O178" s="14"/>
      <c r="P178" s="1">
        <f>SUM(OSRRefP22_8x_0)</f>
        <v>1874.65</v>
      </c>
      <c r="Q178" s="1"/>
      <c r="R178" s="5">
        <f t="shared" si="62"/>
        <v>4.6912986828563023E-4</v>
      </c>
      <c r="S178" s="1"/>
      <c r="T178" s="1">
        <f>SUM(OSRRefT22_8x_0)</f>
        <v>107.7</v>
      </c>
      <c r="U178" s="1"/>
      <c r="V178" s="5">
        <f t="shared" si="63"/>
        <v>2.9419109279950168E-5</v>
      </c>
      <c r="W178" s="1"/>
      <c r="X178" s="1">
        <f t="shared" si="64"/>
        <v>1766.95</v>
      </c>
      <c r="Y178" s="1"/>
      <c r="Z178" s="5">
        <f t="shared" si="65"/>
        <v>16.406220984215413</v>
      </c>
    </row>
    <row r="179" spans="1:26" s="24" customFormat="1" hidden="1" outlineLevel="2" x14ac:dyDescent="0.3">
      <c r="A179" s="27"/>
      <c r="B179" s="11" t="str">
        <f>CONCATENATE("          ", "6277", " - ", "EMPLOYEE APPRECIATION")</f>
        <v xml:space="preserve">          6277 - EMPLOYEE APPRECIATION</v>
      </c>
      <c r="C179" s="11"/>
      <c r="D179" s="6">
        <v>490.02</v>
      </c>
      <c r="E179" s="2"/>
      <c r="F179" s="7">
        <f t="shared" si="58"/>
        <v>1.2653310549352302E-3</v>
      </c>
      <c r="G179" s="2"/>
      <c r="H179" s="6"/>
      <c r="I179" s="2"/>
      <c r="J179" s="7">
        <f t="shared" si="59"/>
        <v>0</v>
      </c>
      <c r="K179" s="2"/>
      <c r="L179" s="6">
        <f t="shared" si="60"/>
        <v>490.02</v>
      </c>
      <c r="M179" s="2"/>
      <c r="N179" s="7">
        <f t="shared" si="61"/>
        <v>0</v>
      </c>
      <c r="O179" s="11"/>
      <c r="P179" s="6">
        <v>1874.65</v>
      </c>
      <c r="Q179" s="2"/>
      <c r="R179" s="7">
        <f t="shared" si="62"/>
        <v>4.6912986828563023E-4</v>
      </c>
      <c r="S179" s="2"/>
      <c r="T179" s="6">
        <v>107.7</v>
      </c>
      <c r="U179" s="2"/>
      <c r="V179" s="7">
        <f t="shared" si="63"/>
        <v>2.9419109279950168E-5</v>
      </c>
      <c r="W179" s="2"/>
      <c r="X179" s="6">
        <f t="shared" si="64"/>
        <v>1766.95</v>
      </c>
      <c r="Y179" s="2"/>
      <c r="Z179" s="7">
        <f t="shared" si="65"/>
        <v>16.406220984215413</v>
      </c>
    </row>
    <row r="180" spans="1:26" s="29" customFormat="1" outlineLevel="1" collapsed="1" x14ac:dyDescent="0.3">
      <c r="A180" s="28"/>
      <c r="B180" s="14" t="str">
        <f>CONCATENATE("     ","Equipment Rental                                  ")</f>
        <v xml:space="preserve">     Equipment Rental                                  </v>
      </c>
      <c r="C180" s="14"/>
      <c r="D180" s="1">
        <f>SUM(OSRRefD22_9x_0)</f>
        <v>1712.05</v>
      </c>
      <c r="E180" s="1"/>
      <c r="F180" s="5">
        <f t="shared" si="58"/>
        <v>4.4208604395776924E-3</v>
      </c>
      <c r="G180" s="1"/>
      <c r="H180" s="1">
        <f>SUM(OSRRefH22_9x_0)</f>
        <v>1712.05</v>
      </c>
      <c r="I180" s="1"/>
      <c r="J180" s="5">
        <f t="shared" si="59"/>
        <v>1.0026410504044913E-2</v>
      </c>
      <c r="K180" s="1"/>
      <c r="L180" s="1">
        <f t="shared" si="60"/>
        <v>0</v>
      </c>
      <c r="M180" s="1"/>
      <c r="N180" s="5">
        <f t="shared" si="61"/>
        <v>0</v>
      </c>
      <c r="O180" s="14"/>
      <c r="P180" s="1">
        <f>SUM(OSRRefP22_9x_0)</f>
        <v>8323.4500000000007</v>
      </c>
      <c r="Q180" s="1"/>
      <c r="R180" s="5">
        <f t="shared" si="62"/>
        <v>2.0829376161854369E-3</v>
      </c>
      <c r="S180" s="1"/>
      <c r="T180" s="1">
        <f>SUM(OSRRefT22_9x_0)</f>
        <v>7679.84</v>
      </c>
      <c r="U180" s="1"/>
      <c r="V180" s="5">
        <f t="shared" si="63"/>
        <v>2.0978092127440342E-3</v>
      </c>
      <c r="W180" s="1"/>
      <c r="X180" s="1">
        <f t="shared" si="64"/>
        <v>643.61000000000058</v>
      </c>
      <c r="Y180" s="1"/>
      <c r="Z180" s="5">
        <f t="shared" si="65"/>
        <v>8.3805131356903345E-2</v>
      </c>
    </row>
    <row r="181" spans="1:26" s="24" customFormat="1" hidden="1" outlineLevel="2" x14ac:dyDescent="0.3">
      <c r="A181" s="27"/>
      <c r="B181" s="11" t="str">
        <f>CONCATENATE("          ", "6351", " - ", "EQUIPMENT RENTAL")</f>
        <v xml:space="preserve">          6351 - EQUIPMENT RENTAL</v>
      </c>
      <c r="C181" s="11"/>
      <c r="D181" s="6">
        <v>1712.05</v>
      </c>
      <c r="E181" s="2"/>
      <c r="F181" s="7">
        <f t="shared" si="58"/>
        <v>4.4208604395776924E-3</v>
      </c>
      <c r="G181" s="2"/>
      <c r="H181" s="6">
        <v>1712.05</v>
      </c>
      <c r="I181" s="2"/>
      <c r="J181" s="7">
        <f t="shared" si="59"/>
        <v>1.0026410504044913E-2</v>
      </c>
      <c r="K181" s="2"/>
      <c r="L181" s="6">
        <f t="shared" si="60"/>
        <v>0</v>
      </c>
      <c r="M181" s="2"/>
      <c r="N181" s="7">
        <f t="shared" si="61"/>
        <v>0</v>
      </c>
      <c r="O181" s="11"/>
      <c r="P181" s="6">
        <v>8323.4500000000007</v>
      </c>
      <c r="Q181" s="2"/>
      <c r="R181" s="7">
        <f t="shared" si="62"/>
        <v>2.0829376161854369E-3</v>
      </c>
      <c r="S181" s="2"/>
      <c r="T181" s="6">
        <v>7679.84</v>
      </c>
      <c r="U181" s="2"/>
      <c r="V181" s="7">
        <f t="shared" si="63"/>
        <v>2.0978092127440342E-3</v>
      </c>
      <c r="W181" s="2"/>
      <c r="X181" s="6">
        <f t="shared" si="64"/>
        <v>643.61000000000058</v>
      </c>
      <c r="Y181" s="2"/>
      <c r="Z181" s="7">
        <f t="shared" si="65"/>
        <v>8.3805131356903345E-2</v>
      </c>
    </row>
    <row r="182" spans="1:26" s="29" customFormat="1" outlineLevel="1" collapsed="1" x14ac:dyDescent="0.3">
      <c r="A182" s="28"/>
      <c r="B182" s="14" t="str">
        <f>CONCATENATE("     ","Freight out/Postage                               ")</f>
        <v xml:space="preserve">     Freight out/Postage                               </v>
      </c>
      <c r="C182" s="14"/>
      <c r="D182" s="1">
        <f>SUM(OSRRefD22_10x_0)</f>
        <v>5663.4</v>
      </c>
      <c r="E182" s="1"/>
      <c r="F182" s="5">
        <f t="shared" si="58"/>
        <v>1.4624047786866214E-2</v>
      </c>
      <c r="G182" s="1"/>
      <c r="H182" s="1">
        <f>SUM(OSRRefH22_10x_0)</f>
        <v>12765.690000000002</v>
      </c>
      <c r="I182" s="1"/>
      <c r="J182" s="5">
        <f t="shared" si="59"/>
        <v>7.4760695252697726E-2</v>
      </c>
      <c r="K182" s="1"/>
      <c r="L182" s="1">
        <f t="shared" si="60"/>
        <v>-7102.2900000000027</v>
      </c>
      <c r="M182" s="1"/>
      <c r="N182" s="5">
        <f t="shared" si="61"/>
        <v>-0.55635770569393439</v>
      </c>
      <c r="O182" s="14"/>
      <c r="P182" s="1">
        <f>SUM(OSRRefP22_10x_0)</f>
        <v>-29864.100000000006</v>
      </c>
      <c r="Q182" s="1"/>
      <c r="R182" s="5">
        <f t="shared" si="62"/>
        <v>-7.4734704075261477E-3</v>
      </c>
      <c r="S182" s="1"/>
      <c r="T182" s="1">
        <f>SUM(OSRRefT22_10x_0)</f>
        <v>-18527.190000000002</v>
      </c>
      <c r="U182" s="1"/>
      <c r="V182" s="5">
        <f t="shared" si="63"/>
        <v>-5.0608489067818013E-3</v>
      </c>
      <c r="W182" s="1"/>
      <c r="X182" s="1">
        <f t="shared" si="64"/>
        <v>-11336.910000000003</v>
      </c>
      <c r="Y182" s="1"/>
      <c r="Z182" s="5">
        <f t="shared" si="65"/>
        <v>0.61190660861145174</v>
      </c>
    </row>
    <row r="183" spans="1:26" s="24" customFormat="1" hidden="1" outlineLevel="2" x14ac:dyDescent="0.3">
      <c r="A183" s="27"/>
      <c r="B183" s="11" t="str">
        <f>CONCATENATE("          ", "6305", " - ", "FREIGHT OUT")</f>
        <v xml:space="preserve">          6305 - FREIGHT OUT</v>
      </c>
      <c r="C183" s="11"/>
      <c r="D183" s="6">
        <v>11064.07</v>
      </c>
      <c r="E183" s="2"/>
      <c r="F183" s="7">
        <f t="shared" si="58"/>
        <v>2.856967341124287E-2</v>
      </c>
      <c r="G183" s="2"/>
      <c r="H183" s="6">
        <v>17085.400000000001</v>
      </c>
      <c r="I183" s="2"/>
      <c r="J183" s="7">
        <f t="shared" si="59"/>
        <v>0.1000585462023942</v>
      </c>
      <c r="K183" s="2"/>
      <c r="L183" s="6">
        <f t="shared" si="60"/>
        <v>-6021.3300000000017</v>
      </c>
      <c r="M183" s="2"/>
      <c r="N183" s="7">
        <f t="shared" si="61"/>
        <v>-0.35242546267573494</v>
      </c>
      <c r="O183" s="11"/>
      <c r="P183" s="6">
        <v>65950.75</v>
      </c>
      <c r="Q183" s="2"/>
      <c r="R183" s="7">
        <f t="shared" si="62"/>
        <v>1.6504129656649789E-2</v>
      </c>
      <c r="S183" s="2"/>
      <c r="T183" s="6">
        <v>103876.01</v>
      </c>
      <c r="U183" s="2"/>
      <c r="V183" s="7">
        <f t="shared" si="63"/>
        <v>2.8374556079435433E-2</v>
      </c>
      <c r="W183" s="2"/>
      <c r="X183" s="6">
        <f t="shared" si="64"/>
        <v>-37925.259999999995</v>
      </c>
      <c r="Y183" s="2"/>
      <c r="Z183" s="7">
        <f t="shared" si="65"/>
        <v>-0.36510123944883904</v>
      </c>
    </row>
    <row r="184" spans="1:26" s="24" customFormat="1" hidden="1" outlineLevel="2" x14ac:dyDescent="0.3">
      <c r="A184" s="27"/>
      <c r="B184" s="11" t="str">
        <f>CONCATENATE("          ", "6307", " - ", "POSTAGE")</f>
        <v xml:space="preserve">          6307 - POSTAGE</v>
      </c>
      <c r="C184" s="11"/>
      <c r="D184" s="6">
        <v>-5400.67</v>
      </c>
      <c r="E184" s="2"/>
      <c r="F184" s="7">
        <f t="shared" si="58"/>
        <v>-1.3945625624376656E-2</v>
      </c>
      <c r="G184" s="2"/>
      <c r="H184" s="6">
        <v>-4319.71</v>
      </c>
      <c r="I184" s="2"/>
      <c r="J184" s="7">
        <f t="shared" si="59"/>
        <v>-2.5297850949696478E-2</v>
      </c>
      <c r="K184" s="2"/>
      <c r="L184" s="6">
        <f t="shared" si="60"/>
        <v>-1080.96</v>
      </c>
      <c r="M184" s="2"/>
      <c r="N184" s="7">
        <f t="shared" si="61"/>
        <v>0.25023902067499904</v>
      </c>
      <c r="O184" s="11"/>
      <c r="P184" s="6">
        <v>-95814.85</v>
      </c>
      <c r="Q184" s="2"/>
      <c r="R184" s="7">
        <f t="shared" si="62"/>
        <v>-2.3977600064175937E-2</v>
      </c>
      <c r="S184" s="2"/>
      <c r="T184" s="6">
        <v>-122403.2</v>
      </c>
      <c r="U184" s="2"/>
      <c r="V184" s="7">
        <f t="shared" si="63"/>
        <v>-3.3435404986217235E-2</v>
      </c>
      <c r="W184" s="2"/>
      <c r="X184" s="6">
        <f t="shared" si="64"/>
        <v>26588.349999999991</v>
      </c>
      <c r="Y184" s="2"/>
      <c r="Z184" s="7">
        <f t="shared" si="65"/>
        <v>-0.21721940276071208</v>
      </c>
    </row>
    <row r="185" spans="1:26" s="29" customFormat="1" outlineLevel="1" collapsed="1" x14ac:dyDescent="0.3">
      <c r="A185" s="28"/>
      <c r="B185" s="14" t="str">
        <f>CONCATENATE("     ","General                                           ")</f>
        <v xml:space="preserve">     General                                           </v>
      </c>
      <c r="C185" s="14"/>
      <c r="D185" s="1">
        <f>SUM(OSRRefD22_11x_0)</f>
        <v>1135.0899999999999</v>
      </c>
      <c r="E185" s="1"/>
      <c r="F185" s="5">
        <f t="shared" ref="F185:F191" si="66">IF(D$12=0,0,D185/D$12)</f>
        <v>2.9310326663124571E-3</v>
      </c>
      <c r="G185" s="1"/>
      <c r="H185" s="1">
        <f>SUM(OSRRefH22_11x_0)</f>
        <v>3792.73</v>
      </c>
      <c r="I185" s="1"/>
      <c r="J185" s="5">
        <f t="shared" ref="J185:J191" si="67">IF(H$12=0,0,H185/H$12)</f>
        <v>2.2211657317839004E-2</v>
      </c>
      <c r="K185" s="1"/>
      <c r="L185" s="1">
        <f t="shared" ref="L185:L191" si="68">+D185-H185</f>
        <v>-2657.6400000000003</v>
      </c>
      <c r="M185" s="1"/>
      <c r="N185" s="5">
        <f t="shared" ref="N185:N191" si="69">IF(H185=0,0,L185/H185)</f>
        <v>-0.70071953447780366</v>
      </c>
      <c r="O185" s="14"/>
      <c r="P185" s="1">
        <f>SUM(OSRRefP22_11x_0)</f>
        <v>3329.19</v>
      </c>
      <c r="Q185" s="1"/>
      <c r="R185" s="5">
        <f t="shared" ref="R185:R191" si="70">IF(P$12=0,0,P185/P$12)</f>
        <v>8.3312749910534627E-4</v>
      </c>
      <c r="S185" s="1"/>
      <c r="T185" s="1">
        <f>SUM(OSRRefT22_11x_0)</f>
        <v>515.75</v>
      </c>
      <c r="U185" s="1"/>
      <c r="V185" s="5">
        <f t="shared" ref="V185:V191" si="71">IF(T$12=0,0,T185/T$12)</f>
        <v>1.4088120344600091E-4</v>
      </c>
      <c r="W185" s="1"/>
      <c r="X185" s="1">
        <f t="shared" ref="X185:X191" si="72">+P185-T185</f>
        <v>2813.44</v>
      </c>
      <c r="Y185" s="1"/>
      <c r="Z185" s="5">
        <f t="shared" ref="Z185:Z191" si="73">IF(T185=0,0,X185/T185)</f>
        <v>5.4550460494425597</v>
      </c>
    </row>
    <row r="186" spans="1:26" s="24" customFormat="1" hidden="1" outlineLevel="2" x14ac:dyDescent="0.3">
      <c r="A186" s="27"/>
      <c r="B186" s="11" t="str">
        <f>CONCATENATE("          ", "6279", " - ", "GENERAL EXPENSE")</f>
        <v xml:space="preserve">          6279 - GENERAL EXPENSE</v>
      </c>
      <c r="C186" s="11"/>
      <c r="D186" s="6">
        <v>1135.0899999999999</v>
      </c>
      <c r="E186" s="2"/>
      <c r="F186" s="7">
        <f t="shared" si="66"/>
        <v>2.9310326663124571E-3</v>
      </c>
      <c r="G186" s="2"/>
      <c r="H186" s="6">
        <v>3792.73</v>
      </c>
      <c r="I186" s="2"/>
      <c r="J186" s="7">
        <f t="shared" si="67"/>
        <v>2.2211657317839004E-2</v>
      </c>
      <c r="K186" s="2"/>
      <c r="L186" s="6">
        <f t="shared" si="68"/>
        <v>-2657.6400000000003</v>
      </c>
      <c r="M186" s="2"/>
      <c r="N186" s="7">
        <f t="shared" si="69"/>
        <v>-0.70071953447780366</v>
      </c>
      <c r="O186" s="11"/>
      <c r="P186" s="6">
        <v>3329.19</v>
      </c>
      <c r="Q186" s="2"/>
      <c r="R186" s="7">
        <f t="shared" si="70"/>
        <v>8.3312749910534627E-4</v>
      </c>
      <c r="S186" s="2"/>
      <c r="T186" s="6">
        <v>515.75</v>
      </c>
      <c r="U186" s="2"/>
      <c r="V186" s="7">
        <f t="shared" si="71"/>
        <v>1.4088120344600091E-4</v>
      </c>
      <c r="W186" s="2"/>
      <c r="X186" s="6">
        <f t="shared" si="72"/>
        <v>2813.44</v>
      </c>
      <c r="Y186" s="2"/>
      <c r="Z186" s="7">
        <f t="shared" si="73"/>
        <v>5.4550460494425597</v>
      </c>
    </row>
    <row r="187" spans="1:26" s="29" customFormat="1" outlineLevel="1" collapsed="1" x14ac:dyDescent="0.3">
      <c r="A187" s="28"/>
      <c r="B187" s="14" t="str">
        <f>CONCATENATE("     ","Insurance                                         ")</f>
        <v xml:space="preserve">     Insurance                                         </v>
      </c>
      <c r="C187" s="14"/>
      <c r="D187" s="1">
        <f>SUM(OSRRefD22_12x_0)</f>
        <v>5494.57</v>
      </c>
      <c r="E187" s="1"/>
      <c r="F187" s="5">
        <f t="shared" si="66"/>
        <v>1.4188094474746882E-2</v>
      </c>
      <c r="G187" s="1"/>
      <c r="H187" s="1">
        <f>SUM(OSRRefH22_12x_0)</f>
        <v>4044.74</v>
      </c>
      <c r="I187" s="1"/>
      <c r="J187" s="5">
        <f t="shared" si="67"/>
        <v>2.368752292405632E-2</v>
      </c>
      <c r="K187" s="1"/>
      <c r="L187" s="1">
        <f t="shared" si="68"/>
        <v>1449.83</v>
      </c>
      <c r="M187" s="1"/>
      <c r="N187" s="5">
        <f t="shared" si="69"/>
        <v>0.35844825625380122</v>
      </c>
      <c r="O187" s="14"/>
      <c r="P187" s="1">
        <f>SUM(OSRRefP22_12x_0)</f>
        <v>27472.85</v>
      </c>
      <c r="Q187" s="1"/>
      <c r="R187" s="5">
        <f t="shared" si="70"/>
        <v>6.8750617458890328E-3</v>
      </c>
      <c r="S187" s="1"/>
      <c r="T187" s="1">
        <f>SUM(OSRRefT22_12x_0)</f>
        <v>20223.7</v>
      </c>
      <c r="U187" s="1"/>
      <c r="V187" s="5">
        <f t="shared" si="71"/>
        <v>5.5242640700550434E-3</v>
      </c>
      <c r="W187" s="1"/>
      <c r="X187" s="1">
        <f t="shared" si="72"/>
        <v>7249.1499999999978</v>
      </c>
      <c r="Y187" s="1"/>
      <c r="Z187" s="5">
        <f t="shared" si="73"/>
        <v>0.35844825625380111</v>
      </c>
    </row>
    <row r="188" spans="1:26" s="24" customFormat="1" hidden="1" outlineLevel="2" x14ac:dyDescent="0.3">
      <c r="A188" s="27"/>
      <c r="B188" s="11" t="str">
        <f>CONCATENATE("          ", "6314", " - ", "LIABILITY INSURANCE")</f>
        <v xml:space="preserve">          6314 - LIABILITY INSURANCE</v>
      </c>
      <c r="C188" s="11"/>
      <c r="D188" s="6">
        <v>5494.57</v>
      </c>
      <c r="E188" s="2"/>
      <c r="F188" s="7">
        <f t="shared" si="66"/>
        <v>1.4188094474746882E-2</v>
      </c>
      <c r="G188" s="2"/>
      <c r="H188" s="6">
        <v>4044.74</v>
      </c>
      <c r="I188" s="2"/>
      <c r="J188" s="7">
        <f t="shared" si="67"/>
        <v>2.368752292405632E-2</v>
      </c>
      <c r="K188" s="2"/>
      <c r="L188" s="6">
        <f t="shared" si="68"/>
        <v>1449.83</v>
      </c>
      <c r="M188" s="2"/>
      <c r="N188" s="7">
        <f t="shared" si="69"/>
        <v>0.35844825625380122</v>
      </c>
      <c r="O188" s="11"/>
      <c r="P188" s="6">
        <v>27472.85</v>
      </c>
      <c r="Q188" s="2"/>
      <c r="R188" s="7">
        <f t="shared" si="70"/>
        <v>6.8750617458890328E-3</v>
      </c>
      <c r="S188" s="2"/>
      <c r="T188" s="6">
        <v>20223.7</v>
      </c>
      <c r="U188" s="2"/>
      <c r="V188" s="7">
        <f t="shared" si="71"/>
        <v>5.5242640700550434E-3</v>
      </c>
      <c r="W188" s="2"/>
      <c r="X188" s="6">
        <f t="shared" si="72"/>
        <v>7249.1499999999978</v>
      </c>
      <c r="Y188" s="2"/>
      <c r="Z188" s="7">
        <f t="shared" si="73"/>
        <v>0.35844825625380111</v>
      </c>
    </row>
    <row r="189" spans="1:26" s="29" customFormat="1" outlineLevel="1" collapsed="1" x14ac:dyDescent="0.3">
      <c r="A189" s="28"/>
      <c r="B189" s="14" t="str">
        <f>CONCATENATE("     ","Inventory Adjustment                              ")</f>
        <v xml:space="preserve">     Inventory Adjustment                              </v>
      </c>
      <c r="C189" s="14"/>
      <c r="D189" s="1">
        <f>SUM(OSRRefD22_13x_0)</f>
        <v>5730</v>
      </c>
      <c r="E189" s="1"/>
      <c r="F189" s="5">
        <f t="shared" si="66"/>
        <v>1.47960224986304E-2</v>
      </c>
      <c r="G189" s="1"/>
      <c r="H189" s="1">
        <f>SUM(OSRRefH22_13x_0)</f>
        <v>3350</v>
      </c>
      <c r="I189" s="1"/>
      <c r="J189" s="5">
        <f t="shared" si="67"/>
        <v>1.9618863461084934E-2</v>
      </c>
      <c r="K189" s="1"/>
      <c r="L189" s="1">
        <f t="shared" si="68"/>
        <v>2380</v>
      </c>
      <c r="M189" s="1"/>
      <c r="N189" s="5">
        <f t="shared" si="69"/>
        <v>0.71044776119402986</v>
      </c>
      <c r="O189" s="14"/>
      <c r="P189" s="1">
        <f>SUM(OSRRefP22_13x_0)</f>
        <v>30800</v>
      </c>
      <c r="Q189" s="1"/>
      <c r="R189" s="5">
        <f t="shared" si="70"/>
        <v>7.7076787364027477E-3</v>
      </c>
      <c r="S189" s="1"/>
      <c r="T189" s="1">
        <f>SUM(OSRRefT22_13x_0)</f>
        <v>16750</v>
      </c>
      <c r="U189" s="1"/>
      <c r="V189" s="5">
        <f t="shared" si="71"/>
        <v>4.5753953615521384E-3</v>
      </c>
      <c r="W189" s="1"/>
      <c r="X189" s="1">
        <f t="shared" si="72"/>
        <v>14050</v>
      </c>
      <c r="Y189" s="1"/>
      <c r="Z189" s="5">
        <f t="shared" si="73"/>
        <v>0.83880597014925373</v>
      </c>
    </row>
    <row r="190" spans="1:26" s="24" customFormat="1" hidden="1" outlineLevel="2" x14ac:dyDescent="0.3">
      <c r="A190" s="27"/>
      <c r="B190" s="11" t="str">
        <f>CONCATENATE("          ", "6408", " - ", "INVENTORY ADJUSTMENT")</f>
        <v xml:space="preserve">          6408 - INVENTORY ADJUSTMENT</v>
      </c>
      <c r="C190" s="11"/>
      <c r="D190" s="6">
        <v>5730</v>
      </c>
      <c r="E190" s="2"/>
      <c r="F190" s="7">
        <f t="shared" si="66"/>
        <v>1.47960224986304E-2</v>
      </c>
      <c r="G190" s="2"/>
      <c r="H190" s="6">
        <v>3350</v>
      </c>
      <c r="I190" s="2"/>
      <c r="J190" s="7">
        <f t="shared" si="67"/>
        <v>1.9618863461084934E-2</v>
      </c>
      <c r="K190" s="2"/>
      <c r="L190" s="6">
        <f t="shared" si="68"/>
        <v>2380</v>
      </c>
      <c r="M190" s="2"/>
      <c r="N190" s="7">
        <f t="shared" si="69"/>
        <v>0.71044776119402986</v>
      </c>
      <c r="O190" s="11"/>
      <c r="P190" s="6">
        <v>30800</v>
      </c>
      <c r="Q190" s="2"/>
      <c r="R190" s="7">
        <f t="shared" si="70"/>
        <v>7.7076787364027477E-3</v>
      </c>
      <c r="S190" s="2"/>
      <c r="T190" s="6">
        <v>16750</v>
      </c>
      <c r="U190" s="2"/>
      <c r="V190" s="7">
        <f t="shared" si="71"/>
        <v>4.5753953615521384E-3</v>
      </c>
      <c r="W190" s="2"/>
      <c r="X190" s="6">
        <f t="shared" si="72"/>
        <v>14050</v>
      </c>
      <c r="Y190" s="2"/>
      <c r="Z190" s="7">
        <f t="shared" si="73"/>
        <v>0.83880597014925373</v>
      </c>
    </row>
    <row r="191" spans="1:26" s="24" customFormat="1" hidden="1" outlineLevel="2" x14ac:dyDescent="0.3">
      <c r="A191" s="27"/>
      <c r="B191" s="11" t="str">
        <f>CONCATENATE("          ", "7741", " - ", "INV. SHRINKAGE-LOGO GIFTS")</f>
        <v xml:space="preserve">          7741 - INV. SHRINKAGE-LOGO GIFTS</v>
      </c>
      <c r="C191" s="11"/>
      <c r="D191" s="6"/>
      <c r="E191" s="2"/>
      <c r="F191" s="7">
        <f t="shared" si="66"/>
        <v>0</v>
      </c>
      <c r="G191" s="2"/>
      <c r="H191" s="6"/>
      <c r="I191" s="2"/>
      <c r="J191" s="7">
        <f t="shared" si="67"/>
        <v>0</v>
      </c>
      <c r="K191" s="2"/>
      <c r="L191" s="6">
        <f t="shared" si="68"/>
        <v>0</v>
      </c>
      <c r="M191" s="2"/>
      <c r="N191" s="7">
        <f t="shared" si="69"/>
        <v>0</v>
      </c>
      <c r="O191" s="11"/>
      <c r="P191" s="6"/>
      <c r="Q191" s="2"/>
      <c r="R191" s="7">
        <f t="shared" si="70"/>
        <v>0</v>
      </c>
      <c r="S191" s="2"/>
      <c r="T191" s="6">
        <v>0</v>
      </c>
      <c r="U191" s="2"/>
      <c r="V191" s="7">
        <f t="shared" si="71"/>
        <v>0</v>
      </c>
      <c r="W191" s="2"/>
      <c r="X191" s="6">
        <f t="shared" si="72"/>
        <v>0</v>
      </c>
      <c r="Y191" s="2"/>
      <c r="Z191" s="7">
        <f t="shared" si="73"/>
        <v>0</v>
      </c>
    </row>
    <row r="192" spans="1:26" s="29" customFormat="1" outlineLevel="1" collapsed="1" x14ac:dyDescent="0.3">
      <c r="A192" s="28"/>
      <c r="B192" s="14" t="str">
        <f>CONCATENATE("     ","Professional Services                             ")</f>
        <v xml:space="preserve">     Professional Services                             </v>
      </c>
      <c r="C192" s="14"/>
      <c r="D192" s="1">
        <f>SUM(OSRRefD22_14x_0)</f>
        <v>0</v>
      </c>
      <c r="E192" s="1"/>
      <c r="F192" s="5">
        <f t="shared" ref="F192:F200" si="74">IF(D$12=0,0,D192/D$12)</f>
        <v>0</v>
      </c>
      <c r="G192" s="1"/>
      <c r="H192" s="1">
        <f>SUM(OSRRefH22_14x_0)</f>
        <v>0</v>
      </c>
      <c r="I192" s="1"/>
      <c r="J192" s="5">
        <f t="shared" ref="J192:J200" si="75">IF(H$12=0,0,H192/H$12)</f>
        <v>0</v>
      </c>
      <c r="K192" s="1"/>
      <c r="L192" s="1">
        <f t="shared" ref="L192:L200" si="76">+D192-H192</f>
        <v>0</v>
      </c>
      <c r="M192" s="1"/>
      <c r="N192" s="5">
        <f t="shared" ref="N192:N200" si="77">IF(H192=0,0,L192/H192)</f>
        <v>0</v>
      </c>
      <c r="O192" s="14"/>
      <c r="P192" s="1">
        <f>SUM(OSRRefP22_14x_0)</f>
        <v>8186.53</v>
      </c>
      <c r="Q192" s="1"/>
      <c r="R192" s="5">
        <f t="shared" ref="R192:R200" si="78">IF(P$12=0,0,P192/P$12)</f>
        <v>2.0486734807117915E-3</v>
      </c>
      <c r="S192" s="1"/>
      <c r="T192" s="1">
        <f>SUM(OSRRefT22_14x_0)</f>
        <v>0</v>
      </c>
      <c r="U192" s="1"/>
      <c r="V192" s="5">
        <f t="shared" ref="V192:V200" si="79">IF(T$12=0,0,T192/T$12)</f>
        <v>0</v>
      </c>
      <c r="W192" s="1"/>
      <c r="X192" s="1">
        <f t="shared" ref="X192:X200" si="80">+P192-T192</f>
        <v>8186.53</v>
      </c>
      <c r="Y192" s="1"/>
      <c r="Z192" s="5">
        <f t="shared" ref="Z192:Z200" si="81">IF(T192=0,0,X192/T192)</f>
        <v>0</v>
      </c>
    </row>
    <row r="193" spans="1:26" s="24" customFormat="1" hidden="1" outlineLevel="2" x14ac:dyDescent="0.3">
      <c r="A193" s="27"/>
      <c r="B193" s="11" t="str">
        <f>CONCATENATE("          ", "6336", " - ", "PROFESSIONAL SERVICES")</f>
        <v xml:space="preserve">          6336 - PROFESSIONAL SERVICES</v>
      </c>
      <c r="C193" s="11"/>
      <c r="D193" s="6"/>
      <c r="E193" s="2"/>
      <c r="F193" s="7">
        <f t="shared" si="74"/>
        <v>0</v>
      </c>
      <c r="G193" s="2"/>
      <c r="H193" s="6"/>
      <c r="I193" s="2"/>
      <c r="J193" s="7">
        <f t="shared" si="75"/>
        <v>0</v>
      </c>
      <c r="K193" s="2"/>
      <c r="L193" s="6">
        <f t="shared" si="76"/>
        <v>0</v>
      </c>
      <c r="M193" s="2"/>
      <c r="N193" s="7">
        <f t="shared" si="77"/>
        <v>0</v>
      </c>
      <c r="O193" s="11"/>
      <c r="P193" s="6">
        <v>8186.53</v>
      </c>
      <c r="Q193" s="2"/>
      <c r="R193" s="7">
        <f t="shared" si="78"/>
        <v>2.0486734807117915E-3</v>
      </c>
      <c r="S193" s="2"/>
      <c r="T193" s="6"/>
      <c r="U193" s="2"/>
      <c r="V193" s="7">
        <f t="shared" si="79"/>
        <v>0</v>
      </c>
      <c r="W193" s="2"/>
      <c r="X193" s="6">
        <f t="shared" si="80"/>
        <v>8186.53</v>
      </c>
      <c r="Y193" s="2"/>
      <c r="Z193" s="7">
        <f t="shared" si="81"/>
        <v>0</v>
      </c>
    </row>
    <row r="194" spans="1:26" s="29" customFormat="1" outlineLevel="1" collapsed="1" x14ac:dyDescent="0.3">
      <c r="A194" s="28"/>
      <c r="B194" s="14" t="str">
        <f>CONCATENATE("     ","Rent                                              ")</f>
        <v xml:space="preserve">     Rent                                              </v>
      </c>
      <c r="C194" s="14"/>
      <c r="D194" s="1">
        <f>SUM(OSRRefD22_15x_0)</f>
        <v>6100</v>
      </c>
      <c r="E194" s="1"/>
      <c r="F194" s="5">
        <f t="shared" si="74"/>
        <v>1.5751437563986989E-2</v>
      </c>
      <c r="G194" s="1"/>
      <c r="H194" s="1">
        <f>SUM(OSRRefH22_15x_0)</f>
        <v>6100</v>
      </c>
      <c r="I194" s="1"/>
      <c r="J194" s="5">
        <f t="shared" si="75"/>
        <v>3.5723900630632265E-2</v>
      </c>
      <c r="K194" s="1"/>
      <c r="L194" s="1">
        <f t="shared" si="76"/>
        <v>0</v>
      </c>
      <c r="M194" s="1"/>
      <c r="N194" s="5">
        <f t="shared" si="77"/>
        <v>0</v>
      </c>
      <c r="O194" s="14"/>
      <c r="P194" s="1">
        <f>SUM(OSRRefP22_15x_0)</f>
        <v>30500</v>
      </c>
      <c r="Q194" s="1"/>
      <c r="R194" s="5">
        <f t="shared" si="78"/>
        <v>7.6326039435157074E-3</v>
      </c>
      <c r="S194" s="1"/>
      <c r="T194" s="1">
        <f>SUM(OSRRefT22_15x_0)</f>
        <v>30500</v>
      </c>
      <c r="U194" s="1"/>
      <c r="V194" s="5">
        <f t="shared" si="79"/>
        <v>8.3313169270053857E-3</v>
      </c>
      <c r="W194" s="1"/>
      <c r="X194" s="1">
        <f t="shared" si="80"/>
        <v>0</v>
      </c>
      <c r="Y194" s="1"/>
      <c r="Z194" s="5">
        <f t="shared" si="81"/>
        <v>0</v>
      </c>
    </row>
    <row r="195" spans="1:26" s="24" customFormat="1" hidden="1" outlineLevel="2" x14ac:dyDescent="0.3">
      <c r="A195" s="27"/>
      <c r="B195" s="11" t="str">
        <f>CONCATENATE("          ", "6273", " - ", "RENT")</f>
        <v xml:space="preserve">          6273 - RENT</v>
      </c>
      <c r="C195" s="11"/>
      <c r="D195" s="6">
        <v>6100</v>
      </c>
      <c r="E195" s="2"/>
      <c r="F195" s="7">
        <f t="shared" si="74"/>
        <v>1.5751437563986989E-2</v>
      </c>
      <c r="G195" s="2"/>
      <c r="H195" s="6">
        <v>6100</v>
      </c>
      <c r="I195" s="2"/>
      <c r="J195" s="7">
        <f t="shared" si="75"/>
        <v>3.5723900630632265E-2</v>
      </c>
      <c r="K195" s="2"/>
      <c r="L195" s="6">
        <f t="shared" si="76"/>
        <v>0</v>
      </c>
      <c r="M195" s="2"/>
      <c r="N195" s="7">
        <f t="shared" si="77"/>
        <v>0</v>
      </c>
      <c r="O195" s="11"/>
      <c r="P195" s="6">
        <v>30500</v>
      </c>
      <c r="Q195" s="2"/>
      <c r="R195" s="7">
        <f t="shared" si="78"/>
        <v>7.6326039435157074E-3</v>
      </c>
      <c r="S195" s="2"/>
      <c r="T195" s="6">
        <v>30500</v>
      </c>
      <c r="U195" s="2"/>
      <c r="V195" s="7">
        <f t="shared" si="79"/>
        <v>8.3313169270053857E-3</v>
      </c>
      <c r="W195" s="2"/>
      <c r="X195" s="6">
        <f t="shared" si="80"/>
        <v>0</v>
      </c>
      <c r="Y195" s="2"/>
      <c r="Z195" s="7">
        <f t="shared" si="81"/>
        <v>0</v>
      </c>
    </row>
    <row r="196" spans="1:26" s="29" customFormat="1" outlineLevel="1" collapsed="1" x14ac:dyDescent="0.3">
      <c r="A196" s="28"/>
      <c r="B196" s="14" t="str">
        <f>CONCATENATE("     ","Repair and Maintenance                            ")</f>
        <v xml:space="preserve">     Repair and Maintenance                            </v>
      </c>
      <c r="C196" s="14"/>
      <c r="D196" s="1">
        <f>SUM(OSRRefD22_16x_0)</f>
        <v>1338.03</v>
      </c>
      <c r="E196" s="1"/>
      <c r="F196" s="5">
        <f t="shared" si="74"/>
        <v>3.455064918646149E-3</v>
      </c>
      <c r="G196" s="1"/>
      <c r="H196" s="1">
        <f>SUM(OSRRefH22_16x_0)</f>
        <v>3234.7799999999997</v>
      </c>
      <c r="I196" s="1"/>
      <c r="J196" s="5">
        <f t="shared" si="75"/>
        <v>1.8944091685566662E-2</v>
      </c>
      <c r="K196" s="1"/>
      <c r="L196" s="1">
        <f t="shared" si="76"/>
        <v>-1896.7499999999998</v>
      </c>
      <c r="M196" s="1"/>
      <c r="N196" s="5">
        <f t="shared" si="77"/>
        <v>-0.58636135996883865</v>
      </c>
      <c r="O196" s="14"/>
      <c r="P196" s="1">
        <f>SUM(OSRRefP22_16x_0)</f>
        <v>90795.47</v>
      </c>
      <c r="Q196" s="1"/>
      <c r="R196" s="5">
        <f t="shared" si="78"/>
        <v>2.2721503684438104E-2</v>
      </c>
      <c r="S196" s="1"/>
      <c r="T196" s="1">
        <f>SUM(OSRRefT22_16x_0)</f>
        <v>101179.15</v>
      </c>
      <c r="U196" s="1"/>
      <c r="V196" s="5">
        <f t="shared" si="79"/>
        <v>2.7637887378853015E-2</v>
      </c>
      <c r="W196" s="1"/>
      <c r="X196" s="1">
        <f t="shared" si="80"/>
        <v>-10383.679999999993</v>
      </c>
      <c r="Y196" s="1"/>
      <c r="Z196" s="5">
        <f t="shared" si="81"/>
        <v>-0.10262667753188275</v>
      </c>
    </row>
    <row r="197" spans="1:26" s="24" customFormat="1" hidden="1" outlineLevel="2" x14ac:dyDescent="0.3">
      <c r="A197" s="27"/>
      <c r="B197" s="11" t="str">
        <f>CONCATENATE("          ", "6371", " - ", "COMPUTER SOFTWARE MAINTENANCE")</f>
        <v xml:space="preserve">          6371 - COMPUTER SOFTWARE MAINTENANCE</v>
      </c>
      <c r="C197" s="11"/>
      <c r="D197" s="6"/>
      <c r="E197" s="2"/>
      <c r="F197" s="7">
        <f t="shared" si="74"/>
        <v>0</v>
      </c>
      <c r="G197" s="2"/>
      <c r="H197" s="6"/>
      <c r="I197" s="2"/>
      <c r="J197" s="7">
        <f t="shared" si="75"/>
        <v>0</v>
      </c>
      <c r="K197" s="2"/>
      <c r="L197" s="6">
        <f t="shared" si="76"/>
        <v>0</v>
      </c>
      <c r="M197" s="2"/>
      <c r="N197" s="7">
        <f t="shared" si="77"/>
        <v>0</v>
      </c>
      <c r="O197" s="11"/>
      <c r="P197" s="6">
        <v>62511</v>
      </c>
      <c r="Q197" s="2"/>
      <c r="R197" s="7">
        <f t="shared" si="78"/>
        <v>1.5643334593872474E-2</v>
      </c>
      <c r="S197" s="2"/>
      <c r="T197" s="6">
        <v>58436.47</v>
      </c>
      <c r="U197" s="2"/>
      <c r="V197" s="7">
        <f t="shared" si="79"/>
        <v>1.596238530050631E-2</v>
      </c>
      <c r="W197" s="2"/>
      <c r="X197" s="6">
        <f t="shared" si="80"/>
        <v>4074.5299999999988</v>
      </c>
      <c r="Y197" s="2"/>
      <c r="Z197" s="7">
        <f t="shared" si="81"/>
        <v>6.972580650405473E-2</v>
      </c>
    </row>
    <row r="198" spans="1:26" s="24" customFormat="1" hidden="1" outlineLevel="2" x14ac:dyDescent="0.3">
      <c r="A198" s="27"/>
      <c r="B198" s="11" t="str">
        <f>CONCATENATE("          ", "6372", " - ", "COMPUTER HARDWARE MAINTENANCE")</f>
        <v xml:space="preserve">          6372 - COMPUTER HARDWARE MAINTENANCE</v>
      </c>
      <c r="C198" s="11"/>
      <c r="D198" s="6"/>
      <c r="E198" s="2"/>
      <c r="F198" s="7">
        <f t="shared" si="74"/>
        <v>0</v>
      </c>
      <c r="G198" s="2"/>
      <c r="H198" s="6"/>
      <c r="I198" s="2"/>
      <c r="J198" s="7">
        <f t="shared" si="75"/>
        <v>0</v>
      </c>
      <c r="K198" s="2"/>
      <c r="L198" s="6">
        <f t="shared" si="76"/>
        <v>0</v>
      </c>
      <c r="M198" s="2"/>
      <c r="N198" s="7">
        <f t="shared" si="77"/>
        <v>0</v>
      </c>
      <c r="O198" s="11"/>
      <c r="P198" s="6"/>
      <c r="Q198" s="2"/>
      <c r="R198" s="7">
        <f t="shared" si="78"/>
        <v>0</v>
      </c>
      <c r="S198" s="2"/>
      <c r="T198" s="6">
        <v>0</v>
      </c>
      <c r="U198" s="2"/>
      <c r="V198" s="7">
        <f t="shared" si="79"/>
        <v>0</v>
      </c>
      <c r="W198" s="2"/>
      <c r="X198" s="6">
        <f t="shared" si="80"/>
        <v>0</v>
      </c>
      <c r="Y198" s="2"/>
      <c r="Z198" s="7">
        <f t="shared" si="81"/>
        <v>0</v>
      </c>
    </row>
    <row r="199" spans="1:26" s="24" customFormat="1" hidden="1" outlineLevel="2" x14ac:dyDescent="0.3">
      <c r="A199" s="27"/>
      <c r="B199" s="11" t="str">
        <f>CONCATENATE("          ", "6373", " - ", "MAINTENANCE CONTRACTS")</f>
        <v xml:space="preserve">          6373 - MAINTENANCE CONTRACTS</v>
      </c>
      <c r="C199" s="11"/>
      <c r="D199" s="6">
        <v>179.27</v>
      </c>
      <c r="E199" s="2"/>
      <c r="F199" s="7">
        <f t="shared" si="74"/>
        <v>4.6291151017966353E-4</v>
      </c>
      <c r="G199" s="2"/>
      <c r="H199" s="6">
        <v>440.29</v>
      </c>
      <c r="I199" s="2"/>
      <c r="J199" s="7">
        <f t="shared" si="75"/>
        <v>2.5785042965018167E-3</v>
      </c>
      <c r="K199" s="2"/>
      <c r="L199" s="6">
        <f t="shared" si="76"/>
        <v>-261.02</v>
      </c>
      <c r="M199" s="2"/>
      <c r="N199" s="7">
        <f t="shared" si="77"/>
        <v>-0.59283653955347604</v>
      </c>
      <c r="O199" s="11"/>
      <c r="P199" s="6">
        <v>12246</v>
      </c>
      <c r="Q199" s="2"/>
      <c r="R199" s="7">
        <f t="shared" si="78"/>
        <v>3.0645530456489627E-3</v>
      </c>
      <c r="S199" s="2"/>
      <c r="T199" s="6">
        <v>31026.01</v>
      </c>
      <c r="U199" s="2"/>
      <c r="V199" s="7">
        <f t="shared" si="79"/>
        <v>8.4750007308340442E-3</v>
      </c>
      <c r="W199" s="2"/>
      <c r="X199" s="6">
        <f t="shared" si="80"/>
        <v>-18780.009999999998</v>
      </c>
      <c r="Y199" s="2"/>
      <c r="Z199" s="7">
        <f t="shared" si="81"/>
        <v>-0.60529890888322413</v>
      </c>
    </row>
    <row r="200" spans="1:26" s="24" customFormat="1" hidden="1" outlineLevel="2" x14ac:dyDescent="0.3">
      <c r="A200" s="27"/>
      <c r="B200" s="11" t="str">
        <f>CONCATENATE("          ", "6375", " - ", "OUTSIDE REPAIRS &amp; MAINTENANCE")</f>
        <v xml:space="preserve">          6375 - OUTSIDE REPAIRS &amp; MAINTENANCE</v>
      </c>
      <c r="C200" s="11"/>
      <c r="D200" s="6">
        <v>1158.76</v>
      </c>
      <c r="E200" s="2"/>
      <c r="F200" s="7">
        <f t="shared" si="74"/>
        <v>2.9921534084664855E-3</v>
      </c>
      <c r="G200" s="2"/>
      <c r="H200" s="6">
        <v>2794.49</v>
      </c>
      <c r="I200" s="2"/>
      <c r="J200" s="7">
        <f t="shared" si="75"/>
        <v>1.6365587389064844E-2</v>
      </c>
      <c r="K200" s="2"/>
      <c r="L200" s="6">
        <f t="shared" si="76"/>
        <v>-1635.7299999999998</v>
      </c>
      <c r="M200" s="2"/>
      <c r="N200" s="7">
        <f t="shared" si="77"/>
        <v>-0.58534115348417781</v>
      </c>
      <c r="O200" s="11"/>
      <c r="P200" s="6">
        <v>16038.47</v>
      </c>
      <c r="Q200" s="2"/>
      <c r="R200" s="7">
        <f t="shared" si="78"/>
        <v>4.0136160449166678E-3</v>
      </c>
      <c r="S200" s="2"/>
      <c r="T200" s="6">
        <v>11716.67</v>
      </c>
      <c r="U200" s="2"/>
      <c r="V200" s="7">
        <f t="shared" si="79"/>
        <v>3.2005013475126624E-3</v>
      </c>
      <c r="W200" s="2"/>
      <c r="X200" s="6">
        <f t="shared" si="80"/>
        <v>4321.7999999999993</v>
      </c>
      <c r="Y200" s="2"/>
      <c r="Z200" s="7">
        <f t="shared" si="81"/>
        <v>0.36885907002586904</v>
      </c>
    </row>
    <row r="201" spans="1:26" s="29" customFormat="1" outlineLevel="1" collapsed="1" x14ac:dyDescent="0.3">
      <c r="A201" s="28"/>
      <c r="B201" s="14" t="str">
        <f>CONCATENATE("     ","Royalty &amp; Commissions                             ")</f>
        <v xml:space="preserve">     Royalty &amp; Commissions                             </v>
      </c>
      <c r="C201" s="14"/>
      <c r="D201" s="1">
        <f>SUM(OSRRefD22_17x_0)</f>
        <v>784.77</v>
      </c>
      <c r="E201" s="1"/>
      <c r="F201" s="5">
        <f t="shared" ref="F201:F204" si="82">IF(D$12=0,0,D201/D$12)</f>
        <v>2.0264353536213228E-3</v>
      </c>
      <c r="G201" s="1"/>
      <c r="H201" s="1">
        <f>SUM(OSRRefH22_17x_0)</f>
        <v>4453.09</v>
      </c>
      <c r="I201" s="1"/>
      <c r="J201" s="5">
        <f t="shared" ref="J201:J204" si="83">IF(H$12=0,0,H201/H$12)</f>
        <v>2.6078974534305285E-2</v>
      </c>
      <c r="K201" s="1"/>
      <c r="L201" s="1">
        <f t="shared" ref="L201:L204" si="84">+D201-H201</f>
        <v>-3668.32</v>
      </c>
      <c r="M201" s="1"/>
      <c r="N201" s="5">
        <f t="shared" ref="N201:N204" si="85">IF(H201=0,0,L201/H201)</f>
        <v>-0.82376956225901565</v>
      </c>
      <c r="O201" s="14"/>
      <c r="P201" s="1">
        <f>SUM(OSRRefP22_17x_0)</f>
        <v>20625.7</v>
      </c>
      <c r="Q201" s="1"/>
      <c r="R201" s="5">
        <f t="shared" ref="R201:R204" si="86">IF(P$12=0,0,P201/P$12)</f>
        <v>5.1615671855007195E-3</v>
      </c>
      <c r="S201" s="1"/>
      <c r="T201" s="1">
        <f>SUM(OSRRefT22_17x_0)</f>
        <v>28570.09</v>
      </c>
      <c r="U201" s="1"/>
      <c r="V201" s="5">
        <f t="shared" ref="V201:V204" si="87">IF(T$12=0,0,T201/T$12)</f>
        <v>7.80414670239565E-3</v>
      </c>
      <c r="W201" s="1"/>
      <c r="X201" s="1">
        <f t="shared" ref="X201:X204" si="88">+P201-T201</f>
        <v>-7944.3899999999994</v>
      </c>
      <c r="Y201" s="1"/>
      <c r="Z201" s="5">
        <f t="shared" ref="Z201:Z204" si="89">IF(T201=0,0,X201/T201)</f>
        <v>-0.27806667742383728</v>
      </c>
    </row>
    <row r="202" spans="1:26" s="24" customFormat="1" hidden="1" outlineLevel="2" x14ac:dyDescent="0.3">
      <c r="A202" s="27"/>
      <c r="B202" s="11" t="str">
        <f>CONCATENATE("          ", "6253", " - ", "ROYALTY DUE ATHLETICS-LRG")</f>
        <v xml:space="preserve">          6253 - ROYALTY DUE ATHLETICS-LRG</v>
      </c>
      <c r="C202" s="11"/>
      <c r="D202" s="6"/>
      <c r="E202" s="2"/>
      <c r="F202" s="7">
        <f t="shared" si="82"/>
        <v>0</v>
      </c>
      <c r="G202" s="2"/>
      <c r="H202" s="6"/>
      <c r="I202" s="2"/>
      <c r="J202" s="7">
        <f t="shared" si="83"/>
        <v>0</v>
      </c>
      <c r="K202" s="2"/>
      <c r="L202" s="6">
        <f t="shared" si="84"/>
        <v>0</v>
      </c>
      <c r="M202" s="2"/>
      <c r="N202" s="7">
        <f t="shared" si="85"/>
        <v>0</v>
      </c>
      <c r="O202" s="11"/>
      <c r="P202" s="6">
        <v>23160.29</v>
      </c>
      <c r="Q202" s="2"/>
      <c r="R202" s="7">
        <f t="shared" si="86"/>
        <v>5.7958465831792596E-3</v>
      </c>
      <c r="S202" s="2"/>
      <c r="T202" s="6">
        <v>18411.8</v>
      </c>
      <c r="U202" s="2"/>
      <c r="V202" s="7">
        <f t="shared" si="87"/>
        <v>5.0293292130045167E-3</v>
      </c>
      <c r="W202" s="2"/>
      <c r="X202" s="6">
        <f t="shared" si="88"/>
        <v>4748.4900000000016</v>
      </c>
      <c r="Y202" s="2"/>
      <c r="Z202" s="7">
        <f t="shared" si="89"/>
        <v>0.25790471328169989</v>
      </c>
    </row>
    <row r="203" spans="1:26" s="24" customFormat="1" hidden="1" outlineLevel="2" x14ac:dyDescent="0.3">
      <c r="A203" s="27"/>
      <c r="B203" s="11" t="str">
        <f>CONCATENATE("          ", "6254", " - ", "ROYALTY &amp; COMMISSIONS")</f>
        <v xml:space="preserve">          6254 - ROYALTY &amp; COMMISSIONS</v>
      </c>
      <c r="C203" s="11"/>
      <c r="D203" s="6"/>
      <c r="E203" s="2"/>
      <c r="F203" s="7">
        <f t="shared" si="82"/>
        <v>0</v>
      </c>
      <c r="G203" s="2"/>
      <c r="H203" s="6"/>
      <c r="I203" s="2"/>
      <c r="J203" s="7">
        <f t="shared" si="83"/>
        <v>0</v>
      </c>
      <c r="K203" s="2"/>
      <c r="L203" s="6">
        <f t="shared" si="84"/>
        <v>0</v>
      </c>
      <c r="M203" s="2"/>
      <c r="N203" s="7">
        <f t="shared" si="85"/>
        <v>0</v>
      </c>
      <c r="O203" s="11"/>
      <c r="P203" s="6">
        <v>-7027.5</v>
      </c>
      <c r="Q203" s="2"/>
      <c r="R203" s="7">
        <f t="shared" si="86"/>
        <v>-1.758627023378906E-3</v>
      </c>
      <c r="S203" s="2"/>
      <c r="T203" s="6"/>
      <c r="U203" s="2"/>
      <c r="V203" s="7">
        <f t="shared" si="87"/>
        <v>0</v>
      </c>
      <c r="W203" s="2"/>
      <c r="X203" s="6">
        <f t="shared" si="88"/>
        <v>-7027.5</v>
      </c>
      <c r="Y203" s="2"/>
      <c r="Z203" s="7">
        <f t="shared" si="89"/>
        <v>0</v>
      </c>
    </row>
    <row r="204" spans="1:26" s="24" customFormat="1" hidden="1" outlineLevel="2" x14ac:dyDescent="0.3">
      <c r="A204" s="27"/>
      <c r="B204" s="11" t="str">
        <f>CONCATENATE("          ", "6259", " - ", "ROYALTY &amp; COMMISSIONS")</f>
        <v xml:space="preserve">          6259 - ROYALTY &amp; COMMISSIONS</v>
      </c>
      <c r="C204" s="11"/>
      <c r="D204" s="6">
        <v>784.77</v>
      </c>
      <c r="E204" s="2"/>
      <c r="F204" s="7">
        <f t="shared" si="82"/>
        <v>2.0264353536213228E-3</v>
      </c>
      <c r="G204" s="2"/>
      <c r="H204" s="6">
        <v>4453.09</v>
      </c>
      <c r="I204" s="2"/>
      <c r="J204" s="7">
        <f t="shared" si="83"/>
        <v>2.6078974534305285E-2</v>
      </c>
      <c r="K204" s="2"/>
      <c r="L204" s="6">
        <f t="shared" si="84"/>
        <v>-3668.32</v>
      </c>
      <c r="M204" s="2"/>
      <c r="N204" s="7">
        <f t="shared" si="85"/>
        <v>-0.82376956225901565</v>
      </c>
      <c r="O204" s="11"/>
      <c r="P204" s="6">
        <v>4492.91</v>
      </c>
      <c r="Q204" s="2"/>
      <c r="R204" s="7">
        <f t="shared" si="86"/>
        <v>1.1243476257003658E-3</v>
      </c>
      <c r="S204" s="2"/>
      <c r="T204" s="6">
        <v>10158.290000000001</v>
      </c>
      <c r="U204" s="2"/>
      <c r="V204" s="7">
        <f t="shared" si="87"/>
        <v>2.7748174893911328E-3</v>
      </c>
      <c r="W204" s="2"/>
      <c r="X204" s="6">
        <f t="shared" si="88"/>
        <v>-5665.380000000001</v>
      </c>
      <c r="Y204" s="2"/>
      <c r="Z204" s="7">
        <f t="shared" si="89"/>
        <v>-0.55771000827895256</v>
      </c>
    </row>
    <row r="205" spans="1:26" s="29" customFormat="1" outlineLevel="1" collapsed="1" x14ac:dyDescent="0.3">
      <c r="A205" s="28"/>
      <c r="B205" s="14" t="str">
        <f>CONCATENATE("     ","Services                                          ")</f>
        <v xml:space="preserve">     Services                                          </v>
      </c>
      <c r="C205" s="14"/>
      <c r="D205" s="1">
        <f>SUM(OSRRefD22_18x_0)</f>
        <v>4500.9799999999996</v>
      </c>
      <c r="E205" s="1"/>
      <c r="F205" s="5">
        <f t="shared" ref="F205:F209" si="90">IF(D$12=0,0,D205/D$12)</f>
        <v>1.1622443515861336E-2</v>
      </c>
      <c r="G205" s="1"/>
      <c r="H205" s="1">
        <f>SUM(OSRRefH22_18x_0)</f>
        <v>3898.5299999999997</v>
      </c>
      <c r="I205" s="1"/>
      <c r="J205" s="5">
        <f t="shared" ref="J205:J209" si="91">IF(H$12=0,0,H205/H$12)</f>
        <v>2.2831262020580133E-2</v>
      </c>
      <c r="K205" s="1"/>
      <c r="L205" s="1">
        <f t="shared" ref="L205:L209" si="92">+D205-H205</f>
        <v>602.44999999999982</v>
      </c>
      <c r="M205" s="1"/>
      <c r="N205" s="5">
        <f t="shared" ref="N205:N209" si="93">IF(H205=0,0,L205/H205)</f>
        <v>0.15453260587965204</v>
      </c>
      <c r="O205" s="14"/>
      <c r="P205" s="1">
        <f>SUM(OSRRefP22_18x_0)</f>
        <v>30963.579999999998</v>
      </c>
      <c r="Q205" s="1"/>
      <c r="R205" s="5">
        <f t="shared" ref="R205:R209" si="94">IF(P$12=0,0,P205/P$12)</f>
        <v>7.7486145184709537E-3</v>
      </c>
      <c r="S205" s="1"/>
      <c r="T205" s="1">
        <f>SUM(OSRRefT22_18x_0)</f>
        <v>16689.72</v>
      </c>
      <c r="U205" s="1"/>
      <c r="V205" s="5">
        <f t="shared" ref="V205:V209" si="95">IF(T$12=0,0,T205/T$12)</f>
        <v>4.5589294014091912E-3</v>
      </c>
      <c r="W205" s="1"/>
      <c r="X205" s="1">
        <f t="shared" ref="X205:X209" si="96">+P205-T205</f>
        <v>14273.859999999997</v>
      </c>
      <c r="Y205" s="1"/>
      <c r="Z205" s="5">
        <f t="shared" ref="Z205:Z209" si="97">IF(T205=0,0,X205/T205)</f>
        <v>0.85524862010866542</v>
      </c>
    </row>
    <row r="206" spans="1:26" s="24" customFormat="1" hidden="1" outlineLevel="2" x14ac:dyDescent="0.3">
      <c r="A206" s="27"/>
      <c r="B206" s="11" t="str">
        <f>CONCATENATE("          ", "6282", " - ", "JANITORIAL/EXTERMINATOR EXPENS")</f>
        <v xml:space="preserve">          6282 - JANITORIAL/EXTERMINATOR EXPENS</v>
      </c>
      <c r="C206" s="11"/>
      <c r="D206" s="6">
        <v>129</v>
      </c>
      <c r="E206" s="2"/>
      <c r="F206" s="7">
        <f t="shared" si="90"/>
        <v>3.3310417143513467E-4</v>
      </c>
      <c r="G206" s="2"/>
      <c r="H206" s="6">
        <v>266.5</v>
      </c>
      <c r="I206" s="2"/>
      <c r="J206" s="7">
        <f t="shared" si="91"/>
        <v>1.5607245111579507E-3</v>
      </c>
      <c r="K206" s="2"/>
      <c r="L206" s="6">
        <f t="shared" si="92"/>
        <v>-137.5</v>
      </c>
      <c r="M206" s="2"/>
      <c r="N206" s="7">
        <f t="shared" si="93"/>
        <v>-0.51594746716697937</v>
      </c>
      <c r="O206" s="11"/>
      <c r="P206" s="6">
        <v>1857.68</v>
      </c>
      <c r="Q206" s="2"/>
      <c r="R206" s="7">
        <f t="shared" si="94"/>
        <v>4.6488313750132004E-4</v>
      </c>
      <c r="S206" s="2"/>
      <c r="T206" s="6">
        <v>5340.12</v>
      </c>
      <c r="U206" s="2"/>
      <c r="V206" s="7">
        <f t="shared" si="95"/>
        <v>1.458696136007869E-3</v>
      </c>
      <c r="W206" s="2"/>
      <c r="X206" s="6">
        <f t="shared" si="96"/>
        <v>-3482.4399999999996</v>
      </c>
      <c r="Y206" s="2"/>
      <c r="Z206" s="7">
        <f t="shared" si="97"/>
        <v>-0.6521276675430514</v>
      </c>
    </row>
    <row r="207" spans="1:26" s="24" customFormat="1" hidden="1" outlineLevel="2" x14ac:dyDescent="0.3">
      <c r="A207" s="27"/>
      <c r="B207" s="11" t="str">
        <f>CONCATENATE("          ", "6283", " - ", "PLANT SERVICE")</f>
        <v xml:space="preserve">          6283 - PLANT SERVICE</v>
      </c>
      <c r="C207" s="11"/>
      <c r="D207" s="6"/>
      <c r="E207" s="2"/>
      <c r="F207" s="7">
        <f t="shared" si="90"/>
        <v>0</v>
      </c>
      <c r="G207" s="2"/>
      <c r="H207" s="6">
        <v>41.31</v>
      </c>
      <c r="I207" s="2"/>
      <c r="J207" s="7">
        <f t="shared" si="91"/>
        <v>2.4192694017236379E-4</v>
      </c>
      <c r="K207" s="2"/>
      <c r="L207" s="6">
        <f t="shared" si="92"/>
        <v>-41.31</v>
      </c>
      <c r="M207" s="2"/>
      <c r="N207" s="7">
        <f t="shared" si="93"/>
        <v>-1</v>
      </c>
      <c r="O207" s="11"/>
      <c r="P207" s="6"/>
      <c r="Q207" s="2"/>
      <c r="R207" s="7">
        <f t="shared" si="94"/>
        <v>0</v>
      </c>
      <c r="S207" s="2"/>
      <c r="T207" s="6">
        <v>171.31</v>
      </c>
      <c r="U207" s="2"/>
      <c r="V207" s="7">
        <f t="shared" si="95"/>
        <v>4.6794685336566976E-5</v>
      </c>
      <c r="W207" s="2"/>
      <c r="X207" s="6">
        <f t="shared" si="96"/>
        <v>-171.31</v>
      </c>
      <c r="Y207" s="2"/>
      <c r="Z207" s="7">
        <f t="shared" si="97"/>
        <v>-1</v>
      </c>
    </row>
    <row r="208" spans="1:26" s="24" customFormat="1" hidden="1" outlineLevel="2" x14ac:dyDescent="0.3">
      <c r="A208" s="27"/>
      <c r="B208" s="11" t="str">
        <f>CONCATENATE("          ", "6284", " - ", "TRASH REMOVAL EXPENSE")</f>
        <v xml:space="preserve">          6284 - TRASH REMOVAL EXPENSE</v>
      </c>
      <c r="C208" s="11"/>
      <c r="D208" s="6">
        <v>149.69999999999999</v>
      </c>
      <c r="E208" s="2"/>
      <c r="F208" s="7">
        <f t="shared" si="90"/>
        <v>3.8655577103751673E-4</v>
      </c>
      <c r="G208" s="2"/>
      <c r="H208" s="6"/>
      <c r="I208" s="2"/>
      <c r="J208" s="7">
        <f t="shared" si="91"/>
        <v>0</v>
      </c>
      <c r="K208" s="2"/>
      <c r="L208" s="6">
        <f t="shared" si="92"/>
        <v>149.69999999999999</v>
      </c>
      <c r="M208" s="2"/>
      <c r="N208" s="7">
        <f t="shared" si="93"/>
        <v>0</v>
      </c>
      <c r="O208" s="11"/>
      <c r="P208" s="6">
        <v>741.37</v>
      </c>
      <c r="Q208" s="2"/>
      <c r="R208" s="7">
        <f t="shared" si="94"/>
        <v>1.8552733067554887E-4</v>
      </c>
      <c r="S208" s="2"/>
      <c r="T208" s="6">
        <v>585.29999999999995</v>
      </c>
      <c r="U208" s="2"/>
      <c r="V208" s="7">
        <f t="shared" si="95"/>
        <v>1.5987933761889351E-4</v>
      </c>
      <c r="W208" s="2"/>
      <c r="X208" s="6">
        <f t="shared" si="96"/>
        <v>156.07000000000005</v>
      </c>
      <c r="Y208" s="2"/>
      <c r="Z208" s="7">
        <f t="shared" si="97"/>
        <v>0.26664958141124223</v>
      </c>
    </row>
    <row r="209" spans="1:26" s="24" customFormat="1" hidden="1" outlineLevel="2" x14ac:dyDescent="0.3">
      <c r="A209" s="27"/>
      <c r="B209" s="11" t="str">
        <f>CONCATENATE("          ", "6285", " - ", "JANITORIAL SERVICES")</f>
        <v xml:space="preserve">          6285 - JANITORIAL SERVICES</v>
      </c>
      <c r="C209" s="11"/>
      <c r="D209" s="6">
        <v>4222.28</v>
      </c>
      <c r="E209" s="2"/>
      <c r="F209" s="7">
        <f t="shared" si="90"/>
        <v>1.0902783573388685E-2</v>
      </c>
      <c r="G209" s="2"/>
      <c r="H209" s="6">
        <v>3590.72</v>
      </c>
      <c r="I209" s="2"/>
      <c r="J209" s="7">
        <f t="shared" si="91"/>
        <v>2.1028610569249817E-2</v>
      </c>
      <c r="K209" s="2"/>
      <c r="L209" s="6">
        <f t="shared" si="92"/>
        <v>631.55999999999995</v>
      </c>
      <c r="M209" s="2"/>
      <c r="N209" s="7">
        <f t="shared" si="93"/>
        <v>0.17588673023794671</v>
      </c>
      <c r="O209" s="11"/>
      <c r="P209" s="6">
        <v>28364.53</v>
      </c>
      <c r="Q209" s="2"/>
      <c r="R209" s="7">
        <f t="shared" si="94"/>
        <v>7.0982040502940852E-3</v>
      </c>
      <c r="S209" s="2"/>
      <c r="T209" s="6">
        <v>10592.99</v>
      </c>
      <c r="U209" s="2"/>
      <c r="V209" s="7">
        <f t="shared" si="95"/>
        <v>2.893559242445862E-3</v>
      </c>
      <c r="W209" s="2"/>
      <c r="X209" s="6">
        <f t="shared" si="96"/>
        <v>17771.54</v>
      </c>
      <c r="Y209" s="2"/>
      <c r="Z209" s="7">
        <f t="shared" si="97"/>
        <v>1.6776698552533327</v>
      </c>
    </row>
    <row r="210" spans="1:26" s="29" customFormat="1" outlineLevel="1" collapsed="1" x14ac:dyDescent="0.3">
      <c r="A210" s="28"/>
      <c r="B210" s="14" t="str">
        <f>CONCATENATE("     ","Subscriptions &amp; Dues                              ")</f>
        <v xml:space="preserve">     Subscriptions &amp; Dues                              </v>
      </c>
      <c r="C210" s="14"/>
      <c r="D210" s="1">
        <f>SUM(OSRRefD22_19x_0)</f>
        <v>148.66</v>
      </c>
      <c r="E210" s="1"/>
      <c r="F210" s="5">
        <f t="shared" ref="F210:F212" si="98">IF(D$12=0,0,D210/D$12)</f>
        <v>3.8387028004300091E-4</v>
      </c>
      <c r="G210" s="1"/>
      <c r="H210" s="1">
        <f>SUM(OSRRefH22_19x_0)</f>
        <v>-274.08</v>
      </c>
      <c r="I210" s="1"/>
      <c r="J210" s="5">
        <f t="shared" ref="J210:J212" si="99">IF(H$12=0,0,H210/H$12)</f>
        <v>-1.6051158499743757E-3</v>
      </c>
      <c r="K210" s="1"/>
      <c r="L210" s="1">
        <f t="shared" ref="L210:L212" si="100">+D210-H210</f>
        <v>422.74</v>
      </c>
      <c r="M210" s="1"/>
      <c r="N210" s="5">
        <f t="shared" ref="N210:N212" si="101">IF(H210=0,0,L210/H210)</f>
        <v>-1.5423963806187975</v>
      </c>
      <c r="O210" s="14"/>
      <c r="P210" s="1">
        <f>SUM(OSRRefP22_19x_0)</f>
        <v>1105.5</v>
      </c>
      <c r="Q210" s="1"/>
      <c r="R210" s="5">
        <f t="shared" ref="R210:R212" si="102">IF(P$12=0,0,P210/P$12)</f>
        <v>2.766506117887415E-4</v>
      </c>
      <c r="S210" s="1"/>
      <c r="T210" s="1">
        <f>SUM(OSRRefT22_19x_0)</f>
        <v>1375.01</v>
      </c>
      <c r="U210" s="1"/>
      <c r="V210" s="5">
        <f t="shared" ref="V210:V212" si="103">IF(T$12=0,0,T210/T$12)</f>
        <v>3.755948881246451E-4</v>
      </c>
      <c r="W210" s="1"/>
      <c r="X210" s="1">
        <f t="shared" ref="X210:X212" si="104">+P210-T210</f>
        <v>-269.51</v>
      </c>
      <c r="Y210" s="1"/>
      <c r="Z210" s="5">
        <f t="shared" ref="Z210:Z212" si="105">IF(T210=0,0,X210/T210)</f>
        <v>-0.19600584723020195</v>
      </c>
    </row>
    <row r="211" spans="1:26" s="24" customFormat="1" hidden="1" outlineLevel="2" x14ac:dyDescent="0.3">
      <c r="A211" s="27"/>
      <c r="B211" s="11" t="str">
        <f>CONCATENATE("          ", "6258", " - ", "MEMBERSHIP DUES")</f>
        <v xml:space="preserve">          6258 - MEMBERSHIP DUES</v>
      </c>
      <c r="C211" s="11"/>
      <c r="D211" s="6">
        <v>148.66</v>
      </c>
      <c r="E211" s="2"/>
      <c r="F211" s="7">
        <f t="shared" si="98"/>
        <v>3.8387028004300091E-4</v>
      </c>
      <c r="G211" s="2"/>
      <c r="H211" s="6">
        <v>-274.08</v>
      </c>
      <c r="I211" s="2"/>
      <c r="J211" s="7">
        <f t="shared" si="99"/>
        <v>-1.6051158499743757E-3</v>
      </c>
      <c r="K211" s="2"/>
      <c r="L211" s="6">
        <f t="shared" si="100"/>
        <v>422.74</v>
      </c>
      <c r="M211" s="2"/>
      <c r="N211" s="7">
        <f t="shared" si="101"/>
        <v>-1.5423963806187975</v>
      </c>
      <c r="O211" s="11"/>
      <c r="P211" s="6">
        <v>1105.5</v>
      </c>
      <c r="Q211" s="2"/>
      <c r="R211" s="7">
        <f t="shared" si="102"/>
        <v>2.766506117887415E-4</v>
      </c>
      <c r="S211" s="2"/>
      <c r="T211" s="6">
        <v>1149.28</v>
      </c>
      <c r="U211" s="2"/>
      <c r="V211" s="7">
        <f t="shared" si="103"/>
        <v>3.1393494812684427E-4</v>
      </c>
      <c r="W211" s="2"/>
      <c r="X211" s="6">
        <f t="shared" si="104"/>
        <v>-43.779999999999973</v>
      </c>
      <c r="Y211" s="2"/>
      <c r="Z211" s="7">
        <f t="shared" si="105"/>
        <v>-3.8093415007656943E-2</v>
      </c>
    </row>
    <row r="212" spans="1:26" s="24" customFormat="1" hidden="1" outlineLevel="2" x14ac:dyDescent="0.3">
      <c r="A212" s="27"/>
      <c r="B212" s="11" t="str">
        <f>CONCATENATE("          ", "6275", " - ", "SUBSCRIPTIONS")</f>
        <v xml:space="preserve">          6275 - SUBSCRIPTIONS</v>
      </c>
      <c r="C212" s="11"/>
      <c r="D212" s="6"/>
      <c r="E212" s="2"/>
      <c r="F212" s="7">
        <f t="shared" si="98"/>
        <v>0</v>
      </c>
      <c r="G212" s="2"/>
      <c r="H212" s="6"/>
      <c r="I212" s="2"/>
      <c r="J212" s="7">
        <f t="shared" si="99"/>
        <v>0</v>
      </c>
      <c r="K212" s="2"/>
      <c r="L212" s="6">
        <f t="shared" si="100"/>
        <v>0</v>
      </c>
      <c r="M212" s="2"/>
      <c r="N212" s="7">
        <f t="shared" si="101"/>
        <v>0</v>
      </c>
      <c r="O212" s="11"/>
      <c r="P212" s="6"/>
      <c r="Q212" s="2"/>
      <c r="R212" s="7">
        <f t="shared" si="102"/>
        <v>0</v>
      </c>
      <c r="S212" s="2"/>
      <c r="T212" s="6">
        <v>225.73</v>
      </c>
      <c r="U212" s="2"/>
      <c r="V212" s="7">
        <f t="shared" si="103"/>
        <v>6.1659939997800843E-5</v>
      </c>
      <c r="W212" s="2"/>
      <c r="X212" s="6">
        <f t="shared" si="104"/>
        <v>-225.73</v>
      </c>
      <c r="Y212" s="2"/>
      <c r="Z212" s="7">
        <f t="shared" si="105"/>
        <v>-1</v>
      </c>
    </row>
    <row r="213" spans="1:26" s="29" customFormat="1" outlineLevel="1" collapsed="1" x14ac:dyDescent="0.3">
      <c r="A213" s="28"/>
      <c r="B213" s="14" t="str">
        <f>CONCATENATE("     ","Supplies                                          ")</f>
        <v xml:space="preserve">     Supplies                                          </v>
      </c>
      <c r="C213" s="14"/>
      <c r="D213" s="1">
        <f>SUM(OSRRefD22_20x_0)</f>
        <v>6962.4400000000005</v>
      </c>
      <c r="E213" s="1"/>
      <c r="F213" s="5">
        <f t="shared" ref="F213:F220" si="106">IF(D$12=0,0,D213/D$12)</f>
        <v>1.7978432615246814E-2</v>
      </c>
      <c r="G213" s="1"/>
      <c r="H213" s="1">
        <f>SUM(OSRRefH22_20x_0)</f>
        <v>14973.19</v>
      </c>
      <c r="I213" s="1"/>
      <c r="J213" s="5">
        <f t="shared" ref="J213:J220" si="107">IF(H$12=0,0,H213/H$12)</f>
        <v>8.7688647816979798E-2</v>
      </c>
      <c r="K213" s="1"/>
      <c r="L213" s="1">
        <f t="shared" ref="L213:L220" si="108">+D213-H213</f>
        <v>-8010.75</v>
      </c>
      <c r="M213" s="1"/>
      <c r="N213" s="5">
        <f t="shared" ref="N213:N220" si="109">IF(H213=0,0,L213/H213)</f>
        <v>-0.53500623447642082</v>
      </c>
      <c r="O213" s="14"/>
      <c r="P213" s="1">
        <f>SUM(OSRRefP22_20x_0)</f>
        <v>50012.619999999995</v>
      </c>
      <c r="Q213" s="1"/>
      <c r="R213" s="5">
        <f t="shared" ref="R213:R220" si="110">IF(P$12=0,0,P213/P$12)</f>
        <v>1.2515623627460738E-2</v>
      </c>
      <c r="S213" s="1"/>
      <c r="T213" s="1">
        <f>SUM(OSRRefT22_20x_0)</f>
        <v>73096.63</v>
      </c>
      <c r="U213" s="1"/>
      <c r="V213" s="5">
        <f t="shared" ref="V213:V220" si="111">IF(T$12=0,0,T213/T$12)</f>
        <v>1.9966924289378681E-2</v>
      </c>
      <c r="W213" s="1"/>
      <c r="X213" s="1">
        <f t="shared" ref="X213:X220" si="112">+P213-T213</f>
        <v>-23084.010000000009</v>
      </c>
      <c r="Y213" s="1"/>
      <c r="Z213" s="5">
        <f t="shared" ref="Z213:Z220" si="113">IF(T213=0,0,X213/T213)</f>
        <v>-0.31580128933440582</v>
      </c>
    </row>
    <row r="214" spans="1:26" s="24" customFormat="1" hidden="1" outlineLevel="2" x14ac:dyDescent="0.3">
      <c r="A214" s="27"/>
      <c r="B214" s="11" t="str">
        <f>CONCATENATE("          ", "6234", " - ", "EXPENDABLE SUPPLIES &amp; EQUIPMEN")</f>
        <v xml:space="preserve">          6234 - EXPENDABLE SUPPLIES &amp; EQUIPMEN</v>
      </c>
      <c r="C214" s="11"/>
      <c r="D214" s="6">
        <v>2747.16</v>
      </c>
      <c r="E214" s="2"/>
      <c r="F214" s="7">
        <f t="shared" si="106"/>
        <v>7.093724462013523E-3</v>
      </c>
      <c r="G214" s="2"/>
      <c r="H214" s="6">
        <v>-550.67999999999995</v>
      </c>
      <c r="I214" s="2"/>
      <c r="J214" s="7">
        <f t="shared" si="107"/>
        <v>-3.224989770373209E-3</v>
      </c>
      <c r="K214" s="2"/>
      <c r="L214" s="6">
        <f t="shared" si="108"/>
        <v>3297.8399999999997</v>
      </c>
      <c r="M214" s="2"/>
      <c r="N214" s="7">
        <f t="shared" si="109"/>
        <v>-5.9886685552407934</v>
      </c>
      <c r="O214" s="11"/>
      <c r="P214" s="6">
        <v>5289.57</v>
      </c>
      <c r="Q214" s="2"/>
      <c r="R214" s="7">
        <f t="shared" si="110"/>
        <v>1.3237112407049961E-3</v>
      </c>
      <c r="S214" s="2"/>
      <c r="T214" s="6">
        <v>-449.34</v>
      </c>
      <c r="U214" s="2"/>
      <c r="V214" s="7">
        <f t="shared" si="111"/>
        <v>-1.2274078517969181E-4</v>
      </c>
      <c r="W214" s="2"/>
      <c r="X214" s="6">
        <f t="shared" si="112"/>
        <v>5738.91</v>
      </c>
      <c r="Y214" s="2"/>
      <c r="Z214" s="7">
        <f t="shared" si="113"/>
        <v>-12.771865402590466</v>
      </c>
    </row>
    <row r="215" spans="1:26" s="24" customFormat="1" hidden="1" outlineLevel="2" x14ac:dyDescent="0.3">
      <c r="A215" s="27"/>
      <c r="B215" s="11" t="str">
        <f>CONCATENATE("          ", "6235", " - ", "COVID-19 EXPENSES")</f>
        <v xml:space="preserve">          6235 - COVID-19 EXPENSES</v>
      </c>
      <c r="C215" s="11"/>
      <c r="D215" s="6"/>
      <c r="E215" s="2"/>
      <c r="F215" s="7">
        <f t="shared" si="106"/>
        <v>0</v>
      </c>
      <c r="G215" s="2"/>
      <c r="H215" s="6">
        <v>2556.84</v>
      </c>
      <c r="I215" s="2"/>
      <c r="J215" s="7">
        <f t="shared" si="107"/>
        <v>1.497381935875833E-2</v>
      </c>
      <c r="K215" s="2"/>
      <c r="L215" s="6">
        <f t="shared" si="108"/>
        <v>-2556.84</v>
      </c>
      <c r="M215" s="2"/>
      <c r="N215" s="7">
        <f t="shared" si="109"/>
        <v>-1</v>
      </c>
      <c r="O215" s="11"/>
      <c r="P215" s="6">
        <v>3430.32</v>
      </c>
      <c r="Q215" s="2"/>
      <c r="R215" s="7">
        <f t="shared" si="110"/>
        <v>8.5843521178756736E-4</v>
      </c>
      <c r="S215" s="2"/>
      <c r="T215" s="6">
        <v>29124.75</v>
      </c>
      <c r="U215" s="2"/>
      <c r="V215" s="7">
        <f t="shared" si="111"/>
        <v>7.9556564809770535E-3</v>
      </c>
      <c r="W215" s="2"/>
      <c r="X215" s="6">
        <f t="shared" si="112"/>
        <v>-25694.43</v>
      </c>
      <c r="Y215" s="2"/>
      <c r="Z215" s="7">
        <f t="shared" si="113"/>
        <v>-0.88221976154301751</v>
      </c>
    </row>
    <row r="216" spans="1:26" s="24" customFormat="1" hidden="1" outlineLevel="2" x14ac:dyDescent="0.3">
      <c r="A216" s="27"/>
      <c r="B216" s="11" t="str">
        <f>CONCATENATE("          ", "6237", " - ", "JANITORIAL SUPPLIES")</f>
        <v xml:space="preserve">          6237 - JANITORIAL SUPPLIES</v>
      </c>
      <c r="C216" s="11"/>
      <c r="D216" s="6">
        <v>489.67</v>
      </c>
      <c r="E216" s="2"/>
      <c r="F216" s="7">
        <f t="shared" si="106"/>
        <v>1.2644272839274604E-3</v>
      </c>
      <c r="G216" s="2"/>
      <c r="H216" s="6">
        <v>246.99</v>
      </c>
      <c r="I216" s="2"/>
      <c r="J216" s="7">
        <f t="shared" si="107"/>
        <v>1.4464665929114532E-3</v>
      </c>
      <c r="K216" s="2"/>
      <c r="L216" s="6">
        <f t="shared" si="108"/>
        <v>242.68</v>
      </c>
      <c r="M216" s="2"/>
      <c r="N216" s="7">
        <f t="shared" si="109"/>
        <v>0.98254990080570059</v>
      </c>
      <c r="O216" s="11"/>
      <c r="P216" s="6">
        <v>3866.14</v>
      </c>
      <c r="Q216" s="2"/>
      <c r="R216" s="7">
        <f t="shared" si="110"/>
        <v>9.6749886590766611E-4</v>
      </c>
      <c r="S216" s="2"/>
      <c r="T216" s="6">
        <v>1495.35</v>
      </c>
      <c r="U216" s="2"/>
      <c r="V216" s="7">
        <f t="shared" si="111"/>
        <v>4.084667136654919E-4</v>
      </c>
      <c r="W216" s="2"/>
      <c r="X216" s="6">
        <f t="shared" si="112"/>
        <v>2370.79</v>
      </c>
      <c r="Y216" s="2"/>
      <c r="Z216" s="7">
        <f t="shared" si="113"/>
        <v>1.5854415354264888</v>
      </c>
    </row>
    <row r="217" spans="1:26" s="24" customFormat="1" hidden="1" outlineLevel="2" x14ac:dyDescent="0.3">
      <c r="A217" s="27"/>
      <c r="B217" s="11" t="str">
        <f>CONCATENATE("          ", "6241", " - ", "OFFICE EXPENSE")</f>
        <v xml:space="preserve">          6241 - OFFICE EXPENSE</v>
      </c>
      <c r="C217" s="11"/>
      <c r="D217" s="6">
        <v>569.61</v>
      </c>
      <c r="E217" s="2"/>
      <c r="F217" s="7">
        <f t="shared" si="106"/>
        <v>1.4708485821020702E-3</v>
      </c>
      <c r="G217" s="2"/>
      <c r="H217" s="6">
        <v>845.39</v>
      </c>
      <c r="I217" s="2"/>
      <c r="J217" s="7">
        <f t="shared" si="107"/>
        <v>4.9509226810049529E-3</v>
      </c>
      <c r="K217" s="2"/>
      <c r="L217" s="6">
        <f t="shared" si="108"/>
        <v>-275.77999999999997</v>
      </c>
      <c r="M217" s="2"/>
      <c r="N217" s="7">
        <f t="shared" si="109"/>
        <v>-0.32621630253492467</v>
      </c>
      <c r="O217" s="11"/>
      <c r="P217" s="6">
        <v>7905.52</v>
      </c>
      <c r="Q217" s="2"/>
      <c r="R217" s="7">
        <f t="shared" si="110"/>
        <v>1.9783509222145016E-3</v>
      </c>
      <c r="S217" s="2"/>
      <c r="T217" s="6">
        <v>9511.4500000000007</v>
      </c>
      <c r="U217" s="2"/>
      <c r="V217" s="7">
        <f t="shared" si="111"/>
        <v>2.5981280126349308E-3</v>
      </c>
      <c r="W217" s="2"/>
      <c r="X217" s="6">
        <f t="shared" si="112"/>
        <v>-1605.9300000000003</v>
      </c>
      <c r="Y217" s="2"/>
      <c r="Z217" s="7">
        <f t="shared" si="113"/>
        <v>-0.16884176439974979</v>
      </c>
    </row>
    <row r="218" spans="1:26" s="24" customFormat="1" hidden="1" outlineLevel="2" x14ac:dyDescent="0.3">
      <c r="A218" s="27"/>
      <c r="B218" s="11" t="str">
        <f>CONCATENATE("          ", "6243", " - ", "PAPER SUPPLIES")</f>
        <v xml:space="preserve">          6243 - PAPER SUPPLIES</v>
      </c>
      <c r="C218" s="11"/>
      <c r="D218" s="6">
        <v>284.11</v>
      </c>
      <c r="E218" s="2"/>
      <c r="F218" s="7">
        <f t="shared" si="106"/>
        <v>7.3362966004989231E-4</v>
      </c>
      <c r="G218" s="2"/>
      <c r="H218" s="6">
        <v>1108.5999999999999</v>
      </c>
      <c r="I218" s="2"/>
      <c r="J218" s="7">
        <f t="shared" si="107"/>
        <v>6.4923797113309719E-3</v>
      </c>
      <c r="K218" s="2"/>
      <c r="L218" s="6">
        <f t="shared" si="108"/>
        <v>-824.4899999999999</v>
      </c>
      <c r="M218" s="2"/>
      <c r="N218" s="7">
        <f t="shared" si="109"/>
        <v>-0.74372181129352333</v>
      </c>
      <c r="O218" s="11"/>
      <c r="P218" s="6">
        <v>4470.8999999999996</v>
      </c>
      <c r="Q218" s="2"/>
      <c r="R218" s="7">
        <f t="shared" si="110"/>
        <v>1.1188396383955534E-3</v>
      </c>
      <c r="S218" s="2"/>
      <c r="T218" s="6">
        <v>4682.3</v>
      </c>
      <c r="U218" s="2"/>
      <c r="V218" s="7">
        <f t="shared" si="111"/>
        <v>1.279007385157945E-3</v>
      </c>
      <c r="W218" s="2"/>
      <c r="X218" s="6">
        <f t="shared" si="112"/>
        <v>-211.40000000000055</v>
      </c>
      <c r="Y218" s="2"/>
      <c r="Z218" s="7">
        <f t="shared" si="113"/>
        <v>-4.5148751681865863E-2</v>
      </c>
    </row>
    <row r="219" spans="1:26" s="24" customFormat="1" hidden="1" outlineLevel="2" x14ac:dyDescent="0.3">
      <c r="A219" s="27"/>
      <c r="B219" s="11" t="str">
        <f>CONCATENATE("          ", "6245", " - ", "PRINTING")</f>
        <v xml:space="preserve">          6245 - PRINTING</v>
      </c>
      <c r="C219" s="11"/>
      <c r="D219" s="6">
        <v>1092.56</v>
      </c>
      <c r="E219" s="2"/>
      <c r="F219" s="7">
        <f t="shared" si="106"/>
        <v>2.8212115778540364E-3</v>
      </c>
      <c r="G219" s="2"/>
      <c r="H219" s="6">
        <v>93.72</v>
      </c>
      <c r="I219" s="2"/>
      <c r="J219" s="7">
        <f t="shared" si="107"/>
        <v>5.4885966673817309E-4</v>
      </c>
      <c r="K219" s="2"/>
      <c r="L219" s="6">
        <f t="shared" si="108"/>
        <v>998.83999999999992</v>
      </c>
      <c r="M219" s="2"/>
      <c r="N219" s="7">
        <f t="shared" si="109"/>
        <v>10.657703798548868</v>
      </c>
      <c r="O219" s="11"/>
      <c r="P219" s="6">
        <v>1065.49</v>
      </c>
      <c r="Q219" s="2"/>
      <c r="R219" s="7">
        <f t="shared" si="110"/>
        <v>2.666381369107066E-4</v>
      </c>
      <c r="S219" s="2"/>
      <c r="T219" s="6">
        <v>508.27</v>
      </c>
      <c r="U219" s="2"/>
      <c r="V219" s="7">
        <f t="shared" si="111"/>
        <v>1.3883798211439434E-4</v>
      </c>
      <c r="W219" s="2"/>
      <c r="X219" s="6">
        <f t="shared" si="112"/>
        <v>557.22</v>
      </c>
      <c r="Y219" s="2"/>
      <c r="Z219" s="7">
        <f t="shared" si="113"/>
        <v>1.0963070808822084</v>
      </c>
    </row>
    <row r="220" spans="1:26" s="24" customFormat="1" hidden="1" outlineLevel="2" x14ac:dyDescent="0.3">
      <c r="A220" s="27"/>
      <c r="B220" s="11" t="str">
        <f>CONCATENATE("          ", "6247", " - ", "STORE SUPPLIES")</f>
        <v xml:space="preserve">          6247 - STORE SUPPLIES</v>
      </c>
      <c r="C220" s="11"/>
      <c r="D220" s="6">
        <v>1779.33</v>
      </c>
      <c r="E220" s="2"/>
      <c r="F220" s="7">
        <f t="shared" si="106"/>
        <v>4.5945910492998301E-3</v>
      </c>
      <c r="G220" s="2"/>
      <c r="H220" s="6">
        <v>10672.33</v>
      </c>
      <c r="I220" s="2"/>
      <c r="J220" s="7">
        <f t="shared" si="107"/>
        <v>6.250118957660912E-2</v>
      </c>
      <c r="K220" s="2"/>
      <c r="L220" s="6">
        <f t="shared" si="108"/>
        <v>-8893</v>
      </c>
      <c r="M220" s="2"/>
      <c r="N220" s="7">
        <f t="shared" si="109"/>
        <v>-0.83327633234729437</v>
      </c>
      <c r="O220" s="11"/>
      <c r="P220" s="6">
        <v>23984.68</v>
      </c>
      <c r="Q220" s="2"/>
      <c r="R220" s="7">
        <f t="shared" si="110"/>
        <v>6.0021496115397486E-3</v>
      </c>
      <c r="S220" s="2"/>
      <c r="T220" s="6">
        <v>28223.85</v>
      </c>
      <c r="U220" s="2"/>
      <c r="V220" s="7">
        <f t="shared" si="111"/>
        <v>7.7095685000085562E-3</v>
      </c>
      <c r="W220" s="2"/>
      <c r="X220" s="6">
        <f t="shared" si="112"/>
        <v>-4239.1699999999983</v>
      </c>
      <c r="Y220" s="2"/>
      <c r="Z220" s="7">
        <f t="shared" si="113"/>
        <v>-0.1501981480202027</v>
      </c>
    </row>
    <row r="221" spans="1:26" s="29" customFormat="1" outlineLevel="1" collapsed="1" x14ac:dyDescent="0.3">
      <c r="A221" s="28"/>
      <c r="B221" s="14" t="str">
        <f>CONCATENATE("     ","Telephone/Data Lines                              ")</f>
        <v xml:space="preserve">     Telephone/Data Lines                              </v>
      </c>
      <c r="C221" s="14"/>
      <c r="D221" s="1">
        <f>SUM(OSRRefD22_21x_0)</f>
        <v>2077.14</v>
      </c>
      <c r="E221" s="1"/>
      <c r="F221" s="5">
        <f t="shared" ref="F221:F223" si="114">IF(D$12=0,0,D221/D$12)</f>
        <v>5.3635968887967098E-3</v>
      </c>
      <c r="G221" s="1"/>
      <c r="H221" s="1">
        <f>SUM(OSRRefH22_21x_0)</f>
        <v>2981.03</v>
      </c>
      <c r="I221" s="1"/>
      <c r="J221" s="5">
        <f t="shared" ref="J221:J223" si="115">IF(H$12=0,0,H221/H$12)</f>
        <v>1.7458035983103887E-2</v>
      </c>
      <c r="K221" s="1"/>
      <c r="L221" s="1">
        <f t="shared" ref="L221:L223" si="116">+D221-H221</f>
        <v>-903.89000000000033</v>
      </c>
      <c r="M221" s="1"/>
      <c r="N221" s="5">
        <f t="shared" ref="N221:N223" si="117">IF(H221=0,0,L221/H221)</f>
        <v>-0.30321398979547348</v>
      </c>
      <c r="O221" s="14"/>
      <c r="P221" s="1">
        <f>SUM(OSRRefP22_21x_0)</f>
        <v>10548.75</v>
      </c>
      <c r="Q221" s="1"/>
      <c r="R221" s="5">
        <f t="shared" ref="R221:R223" si="118">IF(P$12=0,0,P221/P$12)</f>
        <v>2.6398174048905352E-3</v>
      </c>
      <c r="S221" s="1"/>
      <c r="T221" s="1">
        <f>SUM(OSRRefT22_21x_0)</f>
        <v>14627</v>
      </c>
      <c r="U221" s="1"/>
      <c r="V221" s="5">
        <f t="shared" ref="V221:V223" si="119">IF(T$12=0,0,T221/T$12)</f>
        <v>3.995481071846157E-3</v>
      </c>
      <c r="W221" s="1"/>
      <c r="X221" s="1">
        <f t="shared" ref="X221:X223" si="120">+P221-T221</f>
        <v>-4078.25</v>
      </c>
      <c r="Y221" s="1"/>
      <c r="Z221" s="5">
        <f t="shared" ref="Z221:Z223" si="121">IF(T221=0,0,X221/T221)</f>
        <v>-0.27881657209270527</v>
      </c>
    </row>
    <row r="222" spans="1:26" s="24" customFormat="1" hidden="1" outlineLevel="2" x14ac:dyDescent="0.3">
      <c r="A222" s="27"/>
      <c r="B222" s="11" t="str">
        <f>CONCATENATE("          ", "6303", " - ", "DATA PHONE LINES")</f>
        <v xml:space="preserve">          6303 - DATA PHONE LINES</v>
      </c>
      <c r="C222" s="11"/>
      <c r="D222" s="6"/>
      <c r="E222" s="2"/>
      <c r="F222" s="7">
        <f t="shared" si="114"/>
        <v>0</v>
      </c>
      <c r="G222" s="2"/>
      <c r="H222" s="6">
        <v>885</v>
      </c>
      <c r="I222" s="2"/>
      <c r="J222" s="7">
        <f t="shared" si="115"/>
        <v>5.18289378001796E-3</v>
      </c>
      <c r="K222" s="2"/>
      <c r="L222" s="6">
        <f t="shared" si="116"/>
        <v>-885</v>
      </c>
      <c r="M222" s="2"/>
      <c r="N222" s="7">
        <f t="shared" si="117"/>
        <v>-1</v>
      </c>
      <c r="O222" s="11"/>
      <c r="P222" s="6">
        <v>295</v>
      </c>
      <c r="Q222" s="2"/>
      <c r="R222" s="7">
        <f t="shared" si="118"/>
        <v>7.3823546338922414E-5</v>
      </c>
      <c r="S222" s="2"/>
      <c r="T222" s="6">
        <v>2065</v>
      </c>
      <c r="U222" s="2"/>
      <c r="V222" s="7">
        <f t="shared" si="119"/>
        <v>5.640711296480696E-4</v>
      </c>
      <c r="W222" s="2"/>
      <c r="X222" s="6">
        <f t="shared" si="120"/>
        <v>-1770</v>
      </c>
      <c r="Y222" s="2"/>
      <c r="Z222" s="7">
        <f t="shared" si="121"/>
        <v>-0.8571428571428571</v>
      </c>
    </row>
    <row r="223" spans="1:26" s="24" customFormat="1" hidden="1" outlineLevel="2" x14ac:dyDescent="0.3">
      <c r="A223" s="27"/>
      <c r="B223" s="11" t="str">
        <f>CONCATENATE("          ", "6309", " - ", "TELEPHONE")</f>
        <v xml:space="preserve">          6309 - TELEPHONE</v>
      </c>
      <c r="C223" s="11"/>
      <c r="D223" s="6">
        <v>2077.14</v>
      </c>
      <c r="E223" s="2"/>
      <c r="F223" s="7">
        <f t="shared" si="114"/>
        <v>5.3635968887967098E-3</v>
      </c>
      <c r="G223" s="2"/>
      <c r="H223" s="6">
        <v>2096.0300000000002</v>
      </c>
      <c r="I223" s="2"/>
      <c r="J223" s="7">
        <f t="shared" si="115"/>
        <v>1.2275142203085928E-2</v>
      </c>
      <c r="K223" s="2"/>
      <c r="L223" s="6">
        <f t="shared" si="116"/>
        <v>-18.890000000000327</v>
      </c>
      <c r="M223" s="2"/>
      <c r="N223" s="7">
        <f t="shared" si="117"/>
        <v>-9.0122755876587291E-3</v>
      </c>
      <c r="O223" s="11"/>
      <c r="P223" s="6">
        <v>10253.75</v>
      </c>
      <c r="Q223" s="2"/>
      <c r="R223" s="7">
        <f t="shared" si="118"/>
        <v>2.5659938585516125E-3</v>
      </c>
      <c r="S223" s="2"/>
      <c r="T223" s="6">
        <v>12562</v>
      </c>
      <c r="U223" s="2"/>
      <c r="V223" s="7">
        <f t="shared" si="119"/>
        <v>3.4314099421980872E-3</v>
      </c>
      <c r="W223" s="2"/>
      <c r="X223" s="6">
        <f t="shared" si="120"/>
        <v>-2308.25</v>
      </c>
      <c r="Y223" s="2"/>
      <c r="Z223" s="7">
        <f t="shared" si="121"/>
        <v>-0.18374860690972775</v>
      </c>
    </row>
    <row r="224" spans="1:26" s="29" customFormat="1" outlineLevel="1" collapsed="1" x14ac:dyDescent="0.3">
      <c r="A224" s="28"/>
      <c r="B224" s="14" t="str">
        <f>CONCATENATE("     ","Training                                          ")</f>
        <v xml:space="preserve">     Training                                          </v>
      </c>
      <c r="C224" s="14"/>
      <c r="D224" s="1">
        <f>SUM(OSRRefD22_22x_0)</f>
        <v>0</v>
      </c>
      <c r="E224" s="1"/>
      <c r="F224" s="5">
        <f t="shared" ref="F224:F229" si="122">IF(D$12=0,0,D224/D$12)</f>
        <v>0</v>
      </c>
      <c r="G224" s="1"/>
      <c r="H224" s="1">
        <f>SUM(OSRRefH22_22x_0)</f>
        <v>0</v>
      </c>
      <c r="I224" s="1"/>
      <c r="J224" s="5">
        <f t="shared" ref="J224:J229" si="123">IF(H$12=0,0,H224/H$12)</f>
        <v>0</v>
      </c>
      <c r="K224" s="1"/>
      <c r="L224" s="1">
        <f t="shared" ref="L224:L229" si="124">+D224-H224</f>
        <v>0</v>
      </c>
      <c r="M224" s="1"/>
      <c r="N224" s="5">
        <f t="shared" ref="N224:N229" si="125">IF(H224=0,0,L224/H224)</f>
        <v>0</v>
      </c>
      <c r="O224" s="14"/>
      <c r="P224" s="1">
        <f>SUM(OSRRefP22_22x_0)</f>
        <v>595</v>
      </c>
      <c r="Q224" s="1"/>
      <c r="R224" s="5">
        <f t="shared" ref="R224:R229" si="126">IF(P$12=0,0,P224/P$12)</f>
        <v>1.4889833922596216E-4</v>
      </c>
      <c r="S224" s="1"/>
      <c r="T224" s="1">
        <f>SUM(OSRRefT22_22x_0)</f>
        <v>245.63</v>
      </c>
      <c r="U224" s="1"/>
      <c r="V224" s="5">
        <f t="shared" ref="V224:V229" si="127">IF(T$12=0,0,T224/T$12)</f>
        <v>6.709578284525682E-5</v>
      </c>
      <c r="W224" s="1"/>
      <c r="X224" s="1">
        <f t="shared" ref="X224:X229" si="128">+P224-T224</f>
        <v>349.37</v>
      </c>
      <c r="Y224" s="1"/>
      <c r="Z224" s="5">
        <f t="shared" ref="Z224:Z229" si="129">IF(T224=0,0,X224/T224)</f>
        <v>1.4223425477343974</v>
      </c>
    </row>
    <row r="225" spans="1:26" s="24" customFormat="1" hidden="1" outlineLevel="2" x14ac:dyDescent="0.3">
      <c r="A225" s="27"/>
      <c r="B225" s="11" t="str">
        <f>CONCATENATE("          ", "6376", " - ", "TRAINING")</f>
        <v xml:space="preserve">          6376 - TRAINING</v>
      </c>
      <c r="C225" s="11"/>
      <c r="D225" s="6"/>
      <c r="E225" s="2"/>
      <c r="F225" s="7">
        <f t="shared" si="122"/>
        <v>0</v>
      </c>
      <c r="G225" s="2"/>
      <c r="H225" s="6"/>
      <c r="I225" s="2"/>
      <c r="J225" s="7">
        <f t="shared" si="123"/>
        <v>0</v>
      </c>
      <c r="K225" s="2"/>
      <c r="L225" s="6">
        <f t="shared" si="124"/>
        <v>0</v>
      </c>
      <c r="M225" s="2"/>
      <c r="N225" s="7">
        <f t="shared" si="125"/>
        <v>0</v>
      </c>
      <c r="O225" s="11"/>
      <c r="P225" s="6">
        <v>595</v>
      </c>
      <c r="Q225" s="2"/>
      <c r="R225" s="7">
        <f t="shared" si="126"/>
        <v>1.4889833922596216E-4</v>
      </c>
      <c r="S225" s="2"/>
      <c r="T225" s="6">
        <v>245.63</v>
      </c>
      <c r="U225" s="2"/>
      <c r="V225" s="7">
        <f t="shared" si="127"/>
        <v>6.709578284525682E-5</v>
      </c>
      <c r="W225" s="2"/>
      <c r="X225" s="6">
        <f t="shared" si="128"/>
        <v>349.37</v>
      </c>
      <c r="Y225" s="2"/>
      <c r="Z225" s="7">
        <f t="shared" si="129"/>
        <v>1.4223425477343974</v>
      </c>
    </row>
    <row r="226" spans="1:26" s="29" customFormat="1" outlineLevel="1" collapsed="1" x14ac:dyDescent="0.3">
      <c r="A226" s="28"/>
      <c r="B226" s="14" t="str">
        <f>CONCATENATE("     ","Travel                                            ")</f>
        <v xml:space="preserve">     Travel                                            </v>
      </c>
      <c r="C226" s="14"/>
      <c r="D226" s="1">
        <f>SUM(OSRRefD22_23x_0)</f>
        <v>97.08</v>
      </c>
      <c r="E226" s="1"/>
      <c r="F226" s="5">
        <f t="shared" si="122"/>
        <v>2.5068025552653388E-4</v>
      </c>
      <c r="G226" s="1"/>
      <c r="H226" s="1">
        <f>SUM(OSRRefH22_23x_0)</f>
        <v>299</v>
      </c>
      <c r="I226" s="1"/>
      <c r="J226" s="5">
        <f t="shared" si="123"/>
        <v>1.7510567686162375E-3</v>
      </c>
      <c r="K226" s="1"/>
      <c r="L226" s="1">
        <f t="shared" si="124"/>
        <v>-201.92000000000002</v>
      </c>
      <c r="M226" s="1"/>
      <c r="N226" s="5">
        <f t="shared" si="125"/>
        <v>-0.67531772575250837</v>
      </c>
      <c r="O226" s="14"/>
      <c r="P226" s="1">
        <f>SUM(OSRRefP22_23x_0)</f>
        <v>857.61</v>
      </c>
      <c r="Q226" s="1"/>
      <c r="R226" s="5">
        <f t="shared" si="126"/>
        <v>2.1461631042618052E-4</v>
      </c>
      <c r="S226" s="1"/>
      <c r="T226" s="1">
        <f>SUM(OSRRefT22_23x_0)</f>
        <v>680.93</v>
      </c>
      <c r="U226" s="1"/>
      <c r="V226" s="5">
        <f t="shared" si="127"/>
        <v>1.8600143065920582E-4</v>
      </c>
      <c r="W226" s="1"/>
      <c r="X226" s="1">
        <f t="shared" si="128"/>
        <v>176.68000000000006</v>
      </c>
      <c r="Y226" s="1"/>
      <c r="Z226" s="5">
        <f t="shared" si="129"/>
        <v>0.25946866785132111</v>
      </c>
    </row>
    <row r="227" spans="1:26" s="24" customFormat="1" hidden="1" outlineLevel="2" x14ac:dyDescent="0.3">
      <c r="A227" s="27"/>
      <c r="B227" s="11" t="str">
        <f>CONCATENATE("          ", "6292", " - ", "TRAVEL/CONFERENCE")</f>
        <v xml:space="preserve">          6292 - TRAVEL/CONFERENCE</v>
      </c>
      <c r="C227" s="11"/>
      <c r="D227" s="6"/>
      <c r="E227" s="2"/>
      <c r="F227" s="7">
        <f t="shared" si="122"/>
        <v>0</v>
      </c>
      <c r="G227" s="2"/>
      <c r="H227" s="6">
        <v>299</v>
      </c>
      <c r="I227" s="2"/>
      <c r="J227" s="7">
        <f t="shared" si="123"/>
        <v>1.7510567686162375E-3</v>
      </c>
      <c r="K227" s="2"/>
      <c r="L227" s="6">
        <f t="shared" si="124"/>
        <v>-299</v>
      </c>
      <c r="M227" s="2"/>
      <c r="N227" s="7">
        <f t="shared" si="125"/>
        <v>-1</v>
      </c>
      <c r="O227" s="11"/>
      <c r="P227" s="6">
        <v>495</v>
      </c>
      <c r="Q227" s="2"/>
      <c r="R227" s="7">
        <f t="shared" si="126"/>
        <v>1.2387340826361558E-4</v>
      </c>
      <c r="S227" s="2"/>
      <c r="T227" s="6">
        <v>299.16000000000003</v>
      </c>
      <c r="U227" s="2"/>
      <c r="V227" s="7">
        <f t="shared" si="127"/>
        <v>8.1717926946981361E-5</v>
      </c>
      <c r="W227" s="2"/>
      <c r="X227" s="6">
        <f t="shared" si="128"/>
        <v>195.83999999999997</v>
      </c>
      <c r="Y227" s="2"/>
      <c r="Z227" s="7">
        <f t="shared" si="129"/>
        <v>0.65463297232250284</v>
      </c>
    </row>
    <row r="228" spans="1:26" s="24" customFormat="1" hidden="1" outlineLevel="2" x14ac:dyDescent="0.3">
      <c r="A228" s="27"/>
      <c r="B228" s="11" t="str">
        <f>CONCATENATE("          ", "6294", " - ", "TRAVEL OPERATIONAL")</f>
        <v xml:space="preserve">          6294 - TRAVEL OPERATIONAL</v>
      </c>
      <c r="C228" s="11"/>
      <c r="D228" s="6"/>
      <c r="E228" s="2"/>
      <c r="F228" s="7">
        <f t="shared" si="122"/>
        <v>0</v>
      </c>
      <c r="G228" s="2"/>
      <c r="H228" s="6"/>
      <c r="I228" s="2"/>
      <c r="J228" s="7">
        <f t="shared" si="123"/>
        <v>0</v>
      </c>
      <c r="K228" s="2"/>
      <c r="L228" s="6">
        <f t="shared" si="124"/>
        <v>0</v>
      </c>
      <c r="M228" s="2"/>
      <c r="N228" s="7">
        <f t="shared" si="125"/>
        <v>0</v>
      </c>
      <c r="O228" s="11"/>
      <c r="P228" s="6">
        <v>215.53</v>
      </c>
      <c r="Q228" s="2"/>
      <c r="R228" s="7">
        <f t="shared" si="126"/>
        <v>5.3936233703145588E-5</v>
      </c>
      <c r="S228" s="2"/>
      <c r="T228" s="6">
        <v>321.88</v>
      </c>
      <c r="U228" s="2"/>
      <c r="V228" s="7">
        <f t="shared" si="127"/>
        <v>8.7924075162770289E-5</v>
      </c>
      <c r="W228" s="2"/>
      <c r="X228" s="6">
        <f t="shared" si="128"/>
        <v>-106.35</v>
      </c>
      <c r="Y228" s="2"/>
      <c r="Z228" s="7">
        <f t="shared" si="129"/>
        <v>-0.33040263452218216</v>
      </c>
    </row>
    <row r="229" spans="1:26" s="24" customFormat="1" hidden="1" outlineLevel="2" x14ac:dyDescent="0.3">
      <c r="A229" s="27"/>
      <c r="B229" s="11" t="str">
        <f>CONCATENATE("          ", "6298", " - ", "VEHICLE MILEAGE")</f>
        <v xml:space="preserve">          6298 - VEHICLE MILEAGE</v>
      </c>
      <c r="C229" s="11"/>
      <c r="D229" s="6">
        <v>97.08</v>
      </c>
      <c r="E229" s="2"/>
      <c r="F229" s="7">
        <f t="shared" si="122"/>
        <v>2.5068025552653388E-4</v>
      </c>
      <c r="G229" s="2"/>
      <c r="H229" s="6"/>
      <c r="I229" s="2"/>
      <c r="J229" s="7">
        <f t="shared" si="123"/>
        <v>0</v>
      </c>
      <c r="K229" s="2"/>
      <c r="L229" s="6">
        <f t="shared" si="124"/>
        <v>97.08</v>
      </c>
      <c r="M229" s="2"/>
      <c r="N229" s="7">
        <f t="shared" si="125"/>
        <v>0</v>
      </c>
      <c r="O229" s="11"/>
      <c r="P229" s="6">
        <v>147.08000000000001</v>
      </c>
      <c r="Q229" s="2"/>
      <c r="R229" s="7">
        <f t="shared" si="126"/>
        <v>3.6806668459419355E-5</v>
      </c>
      <c r="S229" s="2"/>
      <c r="T229" s="6">
        <v>59.89</v>
      </c>
      <c r="U229" s="2"/>
      <c r="V229" s="7">
        <f t="shared" si="127"/>
        <v>1.6359428549454184E-5</v>
      </c>
      <c r="W229" s="2"/>
      <c r="X229" s="6">
        <f t="shared" si="128"/>
        <v>87.190000000000012</v>
      </c>
      <c r="Y229" s="2"/>
      <c r="Z229" s="7">
        <f t="shared" si="129"/>
        <v>1.455835698781099</v>
      </c>
    </row>
    <row r="230" spans="1:26" s="29" customFormat="1" outlineLevel="1" collapsed="1" x14ac:dyDescent="0.3">
      <c r="A230" s="28"/>
      <c r="B230" s="14" t="str">
        <f>CONCATENATE("     ","Utilities                                         ")</f>
        <v xml:space="preserve">     Utilities                                         </v>
      </c>
      <c r="C230" s="14"/>
      <c r="D230" s="1">
        <f>SUM(OSRRefD22_24x_0)</f>
        <v>6033.61</v>
      </c>
      <c r="E230" s="1"/>
      <c r="F230" s="5">
        <f t="shared" ref="F230:F231" si="130">IF(D$12=0,0,D230/D$12)</f>
        <v>1.5580005114827463E-2</v>
      </c>
      <c r="G230" s="1"/>
      <c r="H230" s="1">
        <f>SUM(OSRRefH22_24x_0)</f>
        <v>6150.38</v>
      </c>
      <c r="I230" s="1"/>
      <c r="J230" s="5">
        <f t="shared" ref="J230:J231" si="131">IF(H$12=0,0,H230/H$12)</f>
        <v>3.6018944911578372E-2</v>
      </c>
      <c r="K230" s="1"/>
      <c r="L230" s="1">
        <f t="shared" ref="L230:L231" si="132">+D230-H230</f>
        <v>-116.77000000000044</v>
      </c>
      <c r="M230" s="1"/>
      <c r="N230" s="5">
        <f t="shared" ref="N230:N231" si="133">IF(H230=0,0,L230/H230)</f>
        <v>-1.8985818762418002E-2</v>
      </c>
      <c r="O230" s="14"/>
      <c r="P230" s="1">
        <f>SUM(OSRRefP22_24x_0)</f>
        <v>30183.59</v>
      </c>
      <c r="Q230" s="1"/>
      <c r="R230" s="5">
        <f t="shared" ref="R230:R231" si="134">IF(P$12=0,0,P230/P$12)</f>
        <v>7.5534225594577472E-3</v>
      </c>
      <c r="S230" s="1"/>
      <c r="T230" s="1">
        <f>SUM(OSRRefT22_24x_0)</f>
        <v>30585.81</v>
      </c>
      <c r="U230" s="1"/>
      <c r="V230" s="5">
        <f t="shared" ref="V230:V231" si="135">IF(T$12=0,0,T230/T$12)</f>
        <v>8.3547566091531356E-3</v>
      </c>
      <c r="W230" s="1"/>
      <c r="X230" s="1">
        <f t="shared" ref="X230:X231" si="136">+P230-T230</f>
        <v>-402.22000000000116</v>
      </c>
      <c r="Y230" s="1"/>
      <c r="Z230" s="5">
        <f t="shared" ref="Z230:Z231" si="137">IF(T230=0,0,X230/T230)</f>
        <v>-1.315054268629803E-2</v>
      </c>
    </row>
    <row r="231" spans="1:26" s="24" customFormat="1" hidden="1" outlineLevel="2" x14ac:dyDescent="0.3">
      <c r="A231" s="27"/>
      <c r="B231" s="11" t="str">
        <f>CONCATENATE("          ", "6274", " - ", "UTILITIES")</f>
        <v xml:space="preserve">          6274 - UTILITIES</v>
      </c>
      <c r="C231" s="11"/>
      <c r="D231" s="6">
        <v>6033.61</v>
      </c>
      <c r="E231" s="2"/>
      <c r="F231" s="7">
        <f t="shared" si="130"/>
        <v>1.5580005114827463E-2</v>
      </c>
      <c r="G231" s="2"/>
      <c r="H231" s="6">
        <v>6150.38</v>
      </c>
      <c r="I231" s="2"/>
      <c r="J231" s="7">
        <f t="shared" si="131"/>
        <v>3.6018944911578372E-2</v>
      </c>
      <c r="K231" s="2"/>
      <c r="L231" s="6">
        <f t="shared" si="132"/>
        <v>-116.77000000000044</v>
      </c>
      <c r="M231" s="2"/>
      <c r="N231" s="7">
        <f t="shared" si="133"/>
        <v>-1.8985818762418002E-2</v>
      </c>
      <c r="O231" s="11"/>
      <c r="P231" s="6">
        <v>30183.59</v>
      </c>
      <c r="Q231" s="2"/>
      <c r="R231" s="7">
        <f t="shared" si="134"/>
        <v>7.5534225594577472E-3</v>
      </c>
      <c r="S231" s="2"/>
      <c r="T231" s="6">
        <v>30585.81</v>
      </c>
      <c r="U231" s="2"/>
      <c r="V231" s="7">
        <f t="shared" si="135"/>
        <v>8.3547566091531356E-3</v>
      </c>
      <c r="W231" s="2"/>
      <c r="X231" s="6">
        <f t="shared" si="136"/>
        <v>-402.22000000000116</v>
      </c>
      <c r="Y231" s="2"/>
      <c r="Z231" s="7">
        <f t="shared" si="137"/>
        <v>-1.315054268629803E-2</v>
      </c>
    </row>
    <row r="232" spans="1:26" s="62" customFormat="1" x14ac:dyDescent="0.3">
      <c r="A232" s="37"/>
      <c r="B232" s="37"/>
      <c r="C232" s="37"/>
      <c r="D232" s="1"/>
      <c r="E232" s="1"/>
      <c r="F232" s="5"/>
      <c r="G232" s="1"/>
      <c r="H232" s="1"/>
      <c r="I232" s="1"/>
      <c r="J232" s="5"/>
      <c r="K232" s="1"/>
      <c r="L232" s="1"/>
      <c r="M232" s="1"/>
      <c r="N232" s="5"/>
      <c r="O232" s="37"/>
      <c r="P232" s="1"/>
      <c r="Q232" s="1"/>
      <c r="R232" s="5"/>
      <c r="S232" s="1"/>
      <c r="T232" s="1"/>
      <c r="U232" s="1"/>
      <c r="V232" s="5"/>
      <c r="W232" s="1"/>
      <c r="X232" s="1"/>
      <c r="Y232" s="1"/>
      <c r="Z232" s="5"/>
    </row>
    <row r="233" spans="1:26" s="23" customFormat="1" collapsed="1" x14ac:dyDescent="0.3">
      <c r="A233" s="10"/>
      <c r="B233" s="26" t="s">
        <v>292</v>
      </c>
      <c r="C233" s="10"/>
      <c r="D233" s="4">
        <f>SUM(OSRRefD25x_0)</f>
        <v>54509.97</v>
      </c>
      <c r="E233" s="4"/>
      <c r="F233" s="12">
        <f t="shared" ref="F233:F239" si="138">IF(D$12=0,0,D233/D$12)</f>
        <v>0.14075580148685307</v>
      </c>
      <c r="G233" s="4"/>
      <c r="H233" s="4">
        <f>SUM(OSRRefH25x_0)</f>
        <v>72016.7</v>
      </c>
      <c r="I233" s="4"/>
      <c r="J233" s="12">
        <f t="shared" ref="J233:J239" si="139">IF(H$12=0,0,H233/H$12)</f>
        <v>0.4217569564829598</v>
      </c>
      <c r="K233" s="4"/>
      <c r="L233" s="4">
        <f t="shared" ref="L233:L239" si="140">+D233-H233</f>
        <v>-17506.729999999996</v>
      </c>
      <c r="M233" s="4"/>
      <c r="N233" s="12">
        <f t="shared" ref="N233:N239" si="141">IF(H233=0,0,L233/H233)</f>
        <v>-0.24309264378956544</v>
      </c>
      <c r="O233" s="10"/>
      <c r="P233" s="4">
        <f>SUM(OSRRefP25x_0)</f>
        <v>457956.19999999995</v>
      </c>
      <c r="Q233" s="4"/>
      <c r="R233" s="12">
        <f t="shared" ref="R233:R239" si="142">IF(P$12=0,0,P233/P$12)</f>
        <v>0.11460322288778584</v>
      </c>
      <c r="S233" s="4"/>
      <c r="T233" s="4">
        <f>SUM(OSRRefT25x_0)</f>
        <v>525135.35999999999</v>
      </c>
      <c r="U233" s="4"/>
      <c r="V233" s="12">
        <f t="shared" ref="V233:V239" si="143">IF(T$12=0,0,T233/T$12)</f>
        <v>0.14344488897498581</v>
      </c>
      <c r="W233" s="4"/>
      <c r="X233" s="4">
        <f t="shared" ref="X233:X239" si="144">+P233-T233</f>
        <v>-67179.160000000033</v>
      </c>
      <c r="Y233" s="4"/>
      <c r="Z233" s="12">
        <f t="shared" ref="Z233:Z239" si="145">IF(T233=0,0,X233/T233)</f>
        <v>-0.12792732144337041</v>
      </c>
    </row>
    <row r="234" spans="1:26" s="24" customFormat="1" hidden="1" outlineLevel="1" x14ac:dyDescent="0.3">
      <c r="A234" s="44"/>
      <c r="B234" s="11" t="str">
        <f>CONCATENATE("          ", "4187", " - ", "NON-TAXABLE SALES-COMPUTER REP")</f>
        <v xml:space="preserve">          4187 - NON-TAXABLE SALES-COMPUTER REP</v>
      </c>
      <c r="C234" s="11"/>
      <c r="D234" s="2">
        <f>0</f>
        <v>0</v>
      </c>
      <c r="E234" s="2"/>
      <c r="F234" s="19">
        <f t="shared" si="138"/>
        <v>0</v>
      </c>
      <c r="G234" s="2"/>
      <c r="H234" s="2">
        <f>-374.75</f>
        <v>-374.75</v>
      </c>
      <c r="I234" s="2"/>
      <c r="J234" s="19">
        <f t="shared" si="139"/>
        <v>-2.1946773379228593E-3</v>
      </c>
      <c r="K234" s="2"/>
      <c r="L234" s="2">
        <f t="shared" si="140"/>
        <v>374.75</v>
      </c>
      <c r="M234" s="2"/>
      <c r="N234" s="19">
        <f t="shared" si="141"/>
        <v>-1</v>
      </c>
      <c r="O234" s="11"/>
      <c r="P234" s="2">
        <f>0</f>
        <v>0</v>
      </c>
      <c r="Q234" s="2"/>
      <c r="R234" s="19">
        <f t="shared" si="142"/>
        <v>0</v>
      </c>
      <c r="S234" s="2"/>
      <c r="T234" s="2">
        <f>--563.21</f>
        <v>563.21</v>
      </c>
      <c r="U234" s="2"/>
      <c r="V234" s="19">
        <f t="shared" si="143"/>
        <v>1.5384527890028538E-4</v>
      </c>
      <c r="W234" s="2"/>
      <c r="X234" s="2">
        <f t="shared" si="144"/>
        <v>-563.21</v>
      </c>
      <c r="Y234" s="2"/>
      <c r="Z234" s="19">
        <f t="shared" si="145"/>
        <v>-1</v>
      </c>
    </row>
    <row r="235" spans="1:26" s="24" customFormat="1" hidden="1" outlineLevel="1" x14ac:dyDescent="0.3">
      <c r="A235" s="44"/>
      <c r="B235" s="11" t="str">
        <f>CONCATENATE("          ", "9087", " - ", "")</f>
        <v xml:space="preserve">          9087 - </v>
      </c>
      <c r="C235" s="11"/>
      <c r="D235" s="2">
        <f>--74.01</f>
        <v>74.010000000000005</v>
      </c>
      <c r="E235" s="2"/>
      <c r="F235" s="19">
        <f t="shared" si="138"/>
        <v>1.91108835100111E-4</v>
      </c>
      <c r="G235" s="2"/>
      <c r="H235" s="2">
        <f>0</f>
        <v>0</v>
      </c>
      <c r="I235" s="2"/>
      <c r="J235" s="19">
        <f t="shared" si="139"/>
        <v>0</v>
      </c>
      <c r="K235" s="2"/>
      <c r="L235" s="2">
        <f t="shared" si="140"/>
        <v>74.010000000000005</v>
      </c>
      <c r="M235" s="2"/>
      <c r="N235" s="19">
        <f t="shared" si="141"/>
        <v>0</v>
      </c>
      <c r="O235" s="11"/>
      <c r="P235" s="2">
        <f>-392.38</f>
        <v>-392.38</v>
      </c>
      <c r="Q235" s="2"/>
      <c r="R235" s="19">
        <f t="shared" si="142"/>
        <v>-9.8192824110055518E-5</v>
      </c>
      <c r="S235" s="2"/>
      <c r="T235" s="2">
        <f>0</f>
        <v>0</v>
      </c>
      <c r="U235" s="2"/>
      <c r="V235" s="19">
        <f t="shared" si="143"/>
        <v>0</v>
      </c>
      <c r="W235" s="2"/>
      <c r="X235" s="2">
        <f t="shared" si="144"/>
        <v>-392.38</v>
      </c>
      <c r="Y235" s="2"/>
      <c r="Z235" s="19">
        <f t="shared" si="145"/>
        <v>0</v>
      </c>
    </row>
    <row r="236" spans="1:26" s="24" customFormat="1" hidden="1" outlineLevel="1" x14ac:dyDescent="0.3">
      <c r="A236" s="44"/>
      <c r="B236" s="11" t="str">
        <f>CONCATENATE("          ", "9150", " - ", "MISC. INCOME")</f>
        <v xml:space="preserve">          9150 - MISC. INCOME</v>
      </c>
      <c r="C236" s="11"/>
      <c r="D236" s="2">
        <f>--54435.96</f>
        <v>54435.96</v>
      </c>
      <c r="E236" s="2"/>
      <c r="F236" s="19">
        <f t="shared" si="138"/>
        <v>0.14056469265175298</v>
      </c>
      <c r="G236" s="2"/>
      <c r="H236" s="2">
        <f>--57394.3</f>
        <v>57394.3</v>
      </c>
      <c r="I236" s="2"/>
      <c r="J236" s="19">
        <f t="shared" si="139"/>
        <v>0.33612266720732747</v>
      </c>
      <c r="K236" s="2"/>
      <c r="L236" s="2">
        <f t="shared" si="140"/>
        <v>-2958.3400000000038</v>
      </c>
      <c r="M236" s="2"/>
      <c r="N236" s="19">
        <f t="shared" si="141"/>
        <v>-5.1544142885269158E-2</v>
      </c>
      <c r="O236" s="11"/>
      <c r="P236" s="2">
        <f>--214941.61</f>
        <v>214941.61</v>
      </c>
      <c r="Q236" s="2"/>
      <c r="R236" s="19">
        <f t="shared" si="142"/>
        <v>5.3788989511856233E-2</v>
      </c>
      <c r="S236" s="2"/>
      <c r="T236" s="2">
        <f>--199274.69</f>
        <v>199274.69</v>
      </c>
      <c r="U236" s="2"/>
      <c r="V236" s="19">
        <f t="shared" si="143"/>
        <v>5.4433462226909868E-2</v>
      </c>
      <c r="W236" s="2"/>
      <c r="X236" s="2">
        <f t="shared" si="144"/>
        <v>15666.919999999984</v>
      </c>
      <c r="Y236" s="2"/>
      <c r="Z236" s="19">
        <f t="shared" si="145"/>
        <v>7.861971833954419E-2</v>
      </c>
    </row>
    <row r="237" spans="1:26" s="24" customFormat="1" hidden="1" outlineLevel="1" x14ac:dyDescent="0.3">
      <c r="A237" s="44"/>
      <c r="B237" s="11" t="str">
        <f>CONCATENATE("          ", "9151", " - ", "MISC. INCOME")</f>
        <v xml:space="preserve">          9151 - MISC. INCOME</v>
      </c>
      <c r="C237" s="11"/>
      <c r="D237" s="2">
        <f t="shared" ref="D237:D239" si="146">0</f>
        <v>0</v>
      </c>
      <c r="E237" s="2"/>
      <c r="F237" s="19">
        <f t="shared" si="138"/>
        <v>0</v>
      </c>
      <c r="G237" s="2"/>
      <c r="H237" s="2">
        <f>0</f>
        <v>0</v>
      </c>
      <c r="I237" s="2"/>
      <c r="J237" s="19">
        <f t="shared" si="139"/>
        <v>0</v>
      </c>
      <c r="K237" s="2"/>
      <c r="L237" s="2">
        <f t="shared" si="140"/>
        <v>0</v>
      </c>
      <c r="M237" s="2"/>
      <c r="N237" s="19">
        <f t="shared" si="141"/>
        <v>0</v>
      </c>
      <c r="O237" s="11"/>
      <c r="P237" s="2">
        <f>--168463.36</f>
        <v>168463.35999999999</v>
      </c>
      <c r="Q237" s="2"/>
      <c r="R237" s="19">
        <f t="shared" si="142"/>
        <v>4.2157839536849387E-2</v>
      </c>
      <c r="S237" s="2"/>
      <c r="T237" s="2">
        <f>--147285.39</f>
        <v>147285.39000000001</v>
      </c>
      <c r="U237" s="2"/>
      <c r="V237" s="19">
        <f t="shared" si="143"/>
        <v>4.0232172551068521E-2</v>
      </c>
      <c r="W237" s="2"/>
      <c r="X237" s="2">
        <f t="shared" si="144"/>
        <v>21177.969999999972</v>
      </c>
      <c r="Y237" s="2"/>
      <c r="Z237" s="19">
        <f t="shared" si="145"/>
        <v>0.14378866770152809</v>
      </c>
    </row>
    <row r="238" spans="1:26" s="24" customFormat="1" hidden="1" outlineLevel="1" x14ac:dyDescent="0.3">
      <c r="A238" s="44"/>
      <c r="B238" s="11" t="str">
        <f>CONCATENATE("          ", "9152", " - ", "MISC. INCOME")</f>
        <v xml:space="preserve">          9152 - MISC. INCOME</v>
      </c>
      <c r="C238" s="11"/>
      <c r="D238" s="2">
        <f t="shared" si="146"/>
        <v>0</v>
      </c>
      <c r="E238" s="2"/>
      <c r="F238" s="19">
        <f t="shared" si="138"/>
        <v>0</v>
      </c>
      <c r="G238" s="2"/>
      <c r="H238" s="2">
        <f>--255.21</f>
        <v>255.21</v>
      </c>
      <c r="I238" s="2"/>
      <c r="J238" s="19">
        <f t="shared" si="139"/>
        <v>1.4946060131055183E-3</v>
      </c>
      <c r="K238" s="2"/>
      <c r="L238" s="2">
        <f t="shared" si="140"/>
        <v>-255.21</v>
      </c>
      <c r="M238" s="2"/>
      <c r="N238" s="19">
        <f t="shared" si="141"/>
        <v>-1</v>
      </c>
      <c r="O238" s="11"/>
      <c r="P238" s="2">
        <f>--2195.41</f>
        <v>2195.41</v>
      </c>
      <c r="Q238" s="2"/>
      <c r="R238" s="19">
        <f t="shared" si="142"/>
        <v>5.4939983684045306E-4</v>
      </c>
      <c r="S238" s="2"/>
      <c r="T238" s="2">
        <f>--2606.23</f>
        <v>2606.23</v>
      </c>
      <c r="U238" s="2"/>
      <c r="V238" s="19">
        <f t="shared" si="143"/>
        <v>7.1191239720227041E-4</v>
      </c>
      <c r="W238" s="2"/>
      <c r="X238" s="2">
        <f t="shared" si="144"/>
        <v>-410.82000000000016</v>
      </c>
      <c r="Y238" s="2"/>
      <c r="Z238" s="19">
        <f t="shared" si="145"/>
        <v>-0.15762998660901001</v>
      </c>
    </row>
    <row r="239" spans="1:26" s="24" customFormat="1" hidden="1" outlineLevel="1" x14ac:dyDescent="0.3">
      <c r="A239" s="44"/>
      <c r="B239" s="11" t="str">
        <f>CONCATENATE("          ", "9163", " - ", "MISC. INCOME")</f>
        <v xml:space="preserve">          9163 - MISC. INCOME</v>
      </c>
      <c r="C239" s="11"/>
      <c r="D239" s="2">
        <f t="shared" si="146"/>
        <v>0</v>
      </c>
      <c r="E239" s="2"/>
      <c r="F239" s="19">
        <f t="shared" si="138"/>
        <v>0</v>
      </c>
      <c r="G239" s="2"/>
      <c r="H239" s="2">
        <f>--14741.94</f>
        <v>14741.94</v>
      </c>
      <c r="I239" s="2"/>
      <c r="J239" s="19">
        <f t="shared" si="139"/>
        <v>8.6334360600449689E-2</v>
      </c>
      <c r="K239" s="2"/>
      <c r="L239" s="2">
        <f t="shared" si="140"/>
        <v>-14741.94</v>
      </c>
      <c r="M239" s="2"/>
      <c r="N239" s="19">
        <f t="shared" si="141"/>
        <v>-1</v>
      </c>
      <c r="O239" s="11"/>
      <c r="P239" s="2">
        <f>--72748.2</f>
        <v>72748.2</v>
      </c>
      <c r="Q239" s="2"/>
      <c r="R239" s="19">
        <f t="shared" si="142"/>
        <v>1.8205186826349817E-2</v>
      </c>
      <c r="S239" s="2"/>
      <c r="T239" s="2">
        <f>--175405.84</f>
        <v>175405.84</v>
      </c>
      <c r="U239" s="2"/>
      <c r="V239" s="19">
        <f t="shared" si="143"/>
        <v>4.7913496520904868E-2</v>
      </c>
      <c r="W239" s="2"/>
      <c r="X239" s="2">
        <f t="shared" si="144"/>
        <v>-102657.64</v>
      </c>
      <c r="Y239" s="2"/>
      <c r="Z239" s="19">
        <f t="shared" si="145"/>
        <v>-0.58525782265858428</v>
      </c>
    </row>
    <row r="240" spans="1:26" x14ac:dyDescent="0.3">
      <c r="A240" s="9"/>
      <c r="B240" s="10"/>
      <c r="C240" s="10"/>
      <c r="D240" s="3"/>
      <c r="E240" s="3"/>
      <c r="F240" s="8"/>
      <c r="G240" s="3"/>
      <c r="H240" s="3"/>
      <c r="I240" s="3"/>
      <c r="J240" s="8"/>
      <c r="K240" s="3"/>
      <c r="L240" s="3"/>
      <c r="M240" s="3"/>
      <c r="N240" s="8"/>
      <c r="O240" s="10"/>
      <c r="P240" s="3"/>
      <c r="Q240" s="3"/>
      <c r="R240" s="8"/>
      <c r="S240" s="3"/>
      <c r="T240" s="3"/>
      <c r="U240" s="3"/>
      <c r="V240" s="8"/>
      <c r="W240" s="3"/>
      <c r="X240" s="3"/>
      <c r="Y240" s="3"/>
      <c r="Z240" s="8"/>
    </row>
    <row r="241" spans="1:26" s="23" customFormat="1" x14ac:dyDescent="0.3">
      <c r="A241" s="10"/>
      <c r="B241" s="25" t="s">
        <v>276</v>
      </c>
      <c r="C241" s="25"/>
      <c r="D241" s="21">
        <f>+D142-D144+D233</f>
        <v>-56864.959999999905</v>
      </c>
      <c r="E241" s="13"/>
      <c r="F241" s="22">
        <f>IF(D$12=0,0,D241/D$12)</f>
        <v>-0.14683686344567476</v>
      </c>
      <c r="G241" s="13"/>
      <c r="H241" s="21">
        <f>+H142-H144+H233</f>
        <v>-126974.84000000004</v>
      </c>
      <c r="I241" s="13"/>
      <c r="J241" s="22">
        <f>IF(H$12=0,0,H241/H$12)</f>
        <v>-0.74361255192630049</v>
      </c>
      <c r="K241" s="16"/>
      <c r="L241" s="21">
        <f>+D241-H241</f>
        <v>70109.880000000136</v>
      </c>
      <c r="M241" s="16"/>
      <c r="N241" s="22">
        <f>IF(H241=0,0,L241/H241)</f>
        <v>-0.55215568690616279</v>
      </c>
      <c r="O241" s="26"/>
      <c r="P241" s="21">
        <f>+P142-P144+P233</f>
        <v>134366.07000000053</v>
      </c>
      <c r="Q241" s="13"/>
      <c r="R241" s="22">
        <f>IF(P$12=0,0,P241/P$12)</f>
        <v>3.3625016254318414E-2</v>
      </c>
      <c r="S241" s="13"/>
      <c r="T241" s="21">
        <f>+T142-T144+T233</f>
        <v>17424.760000000359</v>
      </c>
      <c r="U241" s="13"/>
      <c r="V241" s="22">
        <f>IF(T$12=0,0,T241/T$12)</f>
        <v>4.7597114077707987E-3</v>
      </c>
      <c r="W241" s="16"/>
      <c r="X241" s="21">
        <f>+P241-T241</f>
        <v>116941.31000000017</v>
      </c>
      <c r="Y241" s="16"/>
      <c r="Z241" s="22">
        <f>IF(T241=0,0,X241/T241)</f>
        <v>6.7112149607798193</v>
      </c>
    </row>
    <row r="242" spans="1:26" x14ac:dyDescent="0.3">
      <c r="A242" s="9"/>
      <c r="B242" s="10"/>
      <c r="C242" s="9"/>
      <c r="D242" s="3"/>
      <c r="E242" s="3"/>
      <c r="F242" s="8"/>
      <c r="G242" s="3"/>
      <c r="H242" s="3"/>
      <c r="I242" s="3"/>
      <c r="J242" s="8"/>
      <c r="K242" s="3"/>
      <c r="L242" s="3"/>
      <c r="M242" s="3"/>
      <c r="N242" s="8"/>
      <c r="P242" s="3"/>
      <c r="Q242" s="3"/>
      <c r="R242" s="8"/>
      <c r="S242" s="3"/>
      <c r="T242" s="3"/>
      <c r="U242" s="3"/>
      <c r="V242" s="8"/>
      <c r="W242" s="3"/>
      <c r="X242" s="3"/>
      <c r="Y242" s="3"/>
      <c r="Z242" s="8"/>
    </row>
    <row r="243" spans="1:26" s="23" customFormat="1" x14ac:dyDescent="0.3">
      <c r="A243" s="51"/>
      <c r="B243" s="10" t="s">
        <v>127</v>
      </c>
      <c r="C243" s="10"/>
      <c r="D243" s="4">
        <v>58830.74</v>
      </c>
      <c r="E243" s="4"/>
      <c r="F243" s="12">
        <f>IF(D$12=0,0,D243/D$12)</f>
        <v>0.15191290622182815</v>
      </c>
      <c r="G243" s="4"/>
      <c r="H243" s="4">
        <v>-174329.22</v>
      </c>
      <c r="I243" s="4"/>
      <c r="J243" s="12">
        <f>IF(H$12=0,0,H243/H$12)</f>
        <v>-1.0209376610320706</v>
      </c>
      <c r="K243" s="4"/>
      <c r="L243" s="4">
        <f>+D243-H243</f>
        <v>233159.96</v>
      </c>
      <c r="M243" s="4"/>
      <c r="N243" s="12">
        <f>IF(H243=0,0,L243/H243)</f>
        <v>-1.3374691861754444</v>
      </c>
      <c r="O243" s="10"/>
      <c r="P243" s="4">
        <v>475972.29</v>
      </c>
      <c r="Q243" s="4"/>
      <c r="R243" s="12">
        <f>IF(P$12=0,0,P243/P$12)</f>
        <v>0.11911173697240006</v>
      </c>
      <c r="S243" s="4"/>
      <c r="T243" s="4">
        <v>581708.49</v>
      </c>
      <c r="U243" s="4"/>
      <c r="V243" s="12">
        <f>IF(T$12=0,0,T243/T$12)</f>
        <v>0.15889828817441781</v>
      </c>
      <c r="W243" s="4"/>
      <c r="X243" s="4">
        <f>+P243-T243</f>
        <v>-105736.20000000001</v>
      </c>
      <c r="Y243" s="4"/>
      <c r="Z243" s="12">
        <f>IF(T243=0,0,X243/T243)</f>
        <v>-0.18176836305070948</v>
      </c>
    </row>
    <row r="244" spans="1:26" x14ac:dyDescent="0.3">
      <c r="A244" s="9"/>
      <c r="B244" s="10"/>
      <c r="C244" s="10"/>
      <c r="D244" s="3"/>
      <c r="E244" s="3"/>
      <c r="F244" s="8"/>
      <c r="G244" s="3"/>
      <c r="H244" s="3"/>
      <c r="I244" s="3"/>
      <c r="J244" s="8"/>
      <c r="K244" s="3"/>
      <c r="L244" s="3"/>
      <c r="M244" s="3"/>
      <c r="N244" s="8"/>
      <c r="O244" s="10"/>
      <c r="P244" s="3"/>
      <c r="Q244" s="3"/>
      <c r="R244" s="8"/>
      <c r="S244" s="3"/>
      <c r="T244" s="3"/>
      <c r="U244" s="3"/>
      <c r="V244" s="8"/>
      <c r="W244" s="3"/>
      <c r="X244" s="3"/>
      <c r="Y244" s="3"/>
      <c r="Z244" s="8"/>
    </row>
    <row r="245" spans="1:26" s="23" customFormat="1" ht="15" thickBot="1" x14ac:dyDescent="0.35">
      <c r="A245" s="10"/>
      <c r="B245" s="25" t="s">
        <v>125</v>
      </c>
      <c r="C245" s="25"/>
      <c r="D245" s="35">
        <f>+D241-D243</f>
        <v>-115695.6999999999</v>
      </c>
      <c r="E245" s="13"/>
      <c r="F245" s="31">
        <f>IF(D$12=0,0,D245/D$12)</f>
        <v>-0.29874976966750288</v>
      </c>
      <c r="G245" s="13"/>
      <c r="H245" s="35">
        <f>+H241-H243</f>
        <v>47354.379999999961</v>
      </c>
      <c r="I245" s="13"/>
      <c r="J245" s="31">
        <f>IF(H$12=0,0,H245/H$12)</f>
        <v>0.27732510910577024</v>
      </c>
      <c r="K245" s="16"/>
      <c r="L245" s="35">
        <f>D245-H245</f>
        <v>-163050.07999999984</v>
      </c>
      <c r="M245" s="16"/>
      <c r="N245" s="31">
        <f>IF(H245=0,0,L245/H245)</f>
        <v>-3.4431889932884765</v>
      </c>
      <c r="O245" s="26"/>
      <c r="P245" s="35">
        <f>+P241-P243</f>
        <v>-341606.21999999945</v>
      </c>
      <c r="Q245" s="13"/>
      <c r="R245" s="31">
        <f>IF(P$12=0,0,P245/P$12)</f>
        <v>-8.5486720718081652E-2</v>
      </c>
      <c r="S245" s="13"/>
      <c r="T245" s="35">
        <f>+T241-T243</f>
        <v>-564283.72999999963</v>
      </c>
      <c r="U245" s="13"/>
      <c r="V245" s="31">
        <f>IF(T$12=0,0,T245/T$12)</f>
        <v>-0.15413857676664702</v>
      </c>
      <c r="W245" s="16"/>
      <c r="X245" s="35">
        <f>P245-T245</f>
        <v>222677.51000000018</v>
      </c>
      <c r="Y245" s="16"/>
      <c r="Z245" s="31">
        <f>IF(T245=0,0,X245/T245)</f>
        <v>-0.39461975981480157</v>
      </c>
    </row>
    <row r="246" spans="1:26" ht="15" thickTop="1" x14ac:dyDescent="0.3">
      <c r="A246" s="9"/>
      <c r="B246" s="9"/>
      <c r="C246" s="9"/>
      <c r="D246" s="3"/>
      <c r="E246" s="3"/>
      <c r="F246" s="8"/>
      <c r="G246" s="3"/>
      <c r="H246" s="3"/>
      <c r="I246" s="3"/>
      <c r="J246" s="8"/>
      <c r="K246" s="3"/>
      <c r="L246" s="3"/>
      <c r="M246" s="3"/>
      <c r="N246" s="8"/>
      <c r="P246" s="3"/>
      <c r="Q246" s="3"/>
      <c r="R246" s="8"/>
      <c r="S246" s="3"/>
      <c r="T246" s="3"/>
      <c r="U246" s="3"/>
      <c r="V246" s="8"/>
      <c r="W246" s="3"/>
      <c r="X246" s="3"/>
      <c r="Y246" s="3"/>
      <c r="Z246" s="8"/>
    </row>
    <row r="247" spans="1:26" x14ac:dyDescent="0.3">
      <c r="A247" s="9"/>
      <c r="B247" s="9"/>
      <c r="C247" s="9"/>
      <c r="D247" s="3"/>
      <c r="E247" s="3"/>
      <c r="F247" s="8"/>
      <c r="G247" s="3"/>
      <c r="H247" s="3"/>
      <c r="I247" s="3"/>
      <c r="J247" s="8"/>
      <c r="K247" s="3"/>
      <c r="L247" s="3"/>
      <c r="M247" s="3"/>
      <c r="N247" s="8"/>
      <c r="P247" s="3"/>
      <c r="Q247" s="3"/>
      <c r="R247" s="8"/>
      <c r="S247" s="3"/>
      <c r="T247" s="3"/>
      <c r="U247" s="3"/>
      <c r="V247" s="8"/>
      <c r="W247" s="3"/>
      <c r="X247" s="3"/>
      <c r="Y247" s="3"/>
      <c r="Z247" s="8"/>
    </row>
    <row r="248" spans="1:26" s="23" customFormat="1" ht="15" thickBot="1" x14ac:dyDescent="0.35">
      <c r="A248" s="10"/>
      <c r="B248" s="25" t="s">
        <v>293</v>
      </c>
      <c r="C248" s="25"/>
      <c r="D248" s="36">
        <f>SUM(D245:D247)</f>
        <v>-115695.6999999999</v>
      </c>
      <c r="E248" s="13"/>
      <c r="F248" s="33">
        <f>IF(D$12=0,0,D248/D$12)</f>
        <v>-0.29874976966750288</v>
      </c>
      <c r="G248" s="13"/>
      <c r="H248" s="36">
        <f>SUM(H245:H247)</f>
        <v>47354.379999999961</v>
      </c>
      <c r="I248" s="13"/>
      <c r="J248" s="33">
        <f>IF(H$12=0,0,H248/H$12)</f>
        <v>0.27732510910577024</v>
      </c>
      <c r="K248" s="16"/>
      <c r="L248" s="36">
        <f>+D248-H248</f>
        <v>-163050.07999999984</v>
      </c>
      <c r="M248" s="16"/>
      <c r="N248" s="33">
        <f>IF(H248=0,0,L248/H248)</f>
        <v>-3.4431889932884765</v>
      </c>
      <c r="O248" s="26"/>
      <c r="P248" s="36">
        <f>SUM(P245:P247)</f>
        <v>-341606.21999999945</v>
      </c>
      <c r="Q248" s="13"/>
      <c r="R248" s="33">
        <f>IF(P$12=0,0,P248/P$12)</f>
        <v>-8.5486720718081652E-2</v>
      </c>
      <c r="S248" s="13"/>
      <c r="T248" s="36">
        <f>SUM(T245:T247)</f>
        <v>-564283.72999999963</v>
      </c>
      <c r="U248" s="13"/>
      <c r="V248" s="33">
        <f>IF(T$12=0,0,T248/T$12)</f>
        <v>-0.15413857676664702</v>
      </c>
      <c r="W248" s="16"/>
      <c r="X248" s="36">
        <f>+P248-T248</f>
        <v>222677.51000000018</v>
      </c>
      <c r="Y248" s="16"/>
      <c r="Z248" s="33">
        <f>IF(T248=0,0,X248/T248)</f>
        <v>-0.39461975981480157</v>
      </c>
    </row>
    <row r="249" spans="1:26" ht="15" thickTop="1" x14ac:dyDescent="0.3">
      <c r="A249" s="9"/>
      <c r="C249" s="9"/>
      <c r="D249" s="17"/>
      <c r="E249" s="17"/>
      <c r="G249" s="17"/>
      <c r="H249" s="17"/>
      <c r="I249" s="17"/>
      <c r="J249" s="42"/>
      <c r="K249" s="17"/>
      <c r="L249" s="17"/>
      <c r="M249" s="17"/>
      <c r="P249" s="17"/>
      <c r="Q249" s="17"/>
      <c r="R249" s="42"/>
      <c r="S249" s="17"/>
      <c r="T249" s="17"/>
      <c r="U249" s="17"/>
      <c r="V249" s="42"/>
      <c r="W249" s="17"/>
      <c r="X249" s="17"/>
    </row>
    <row r="250" spans="1:26" x14ac:dyDescent="0.3">
      <c r="A250" s="9"/>
      <c r="B250" s="52">
        <v>44543.765576736114</v>
      </c>
      <c r="D250" s="17"/>
      <c r="E250" s="17"/>
      <c r="G250" s="17"/>
      <c r="H250" s="17"/>
      <c r="I250" s="17"/>
      <c r="J250" s="42"/>
      <c r="K250" s="17"/>
      <c r="L250" s="17"/>
      <c r="M250" s="17"/>
      <c r="P250" s="17"/>
      <c r="Q250" s="17"/>
      <c r="R250" s="42"/>
      <c r="S250" s="17"/>
      <c r="T250" s="17"/>
      <c r="U250" s="17"/>
      <c r="V250" s="42"/>
      <c r="W250" s="17"/>
      <c r="X250" s="17"/>
    </row>
    <row r="251" spans="1:26" x14ac:dyDescent="0.3">
      <c r="A251" s="9"/>
      <c r="B251" s="59" t="s">
        <v>56</v>
      </c>
      <c r="D251" s="17"/>
      <c r="E251" s="17"/>
      <c r="G251" s="17"/>
      <c r="H251" s="17"/>
      <c r="I251" s="17"/>
      <c r="J251" s="42"/>
      <c r="K251" s="17"/>
      <c r="L251" s="17"/>
      <c r="M251" s="17"/>
      <c r="P251" s="17"/>
      <c r="Q251" s="17"/>
      <c r="R251" s="42"/>
      <c r="S251" s="17"/>
      <c r="T251" s="17"/>
      <c r="U251" s="17"/>
      <c r="V251" s="42"/>
      <c r="W251" s="17"/>
      <c r="X251" s="17"/>
    </row>
    <row r="252" spans="1:26" x14ac:dyDescent="0.3">
      <c r="A252" s="9"/>
      <c r="B252" s="61"/>
      <c r="D252" s="17"/>
      <c r="E252" s="17"/>
      <c r="G252" s="17"/>
      <c r="H252" s="17"/>
      <c r="I252" s="17"/>
      <c r="J252" s="42"/>
      <c r="K252" s="17"/>
      <c r="L252" s="17"/>
      <c r="M252" s="17"/>
      <c r="P252" s="17"/>
      <c r="Q252" s="17"/>
      <c r="R252" s="42"/>
      <c r="S252" s="17"/>
      <c r="T252" s="17"/>
      <c r="U252" s="17"/>
      <c r="V252" s="42"/>
      <c r="W252" s="17"/>
      <c r="X252" s="17"/>
    </row>
    <row r="253" spans="1:26" x14ac:dyDescent="0.3">
      <c r="D253" s="17"/>
      <c r="E253" s="17"/>
      <c r="G253" s="17"/>
      <c r="H253" s="17"/>
      <c r="I253" s="17"/>
      <c r="J253" s="42"/>
      <c r="K253" s="17"/>
      <c r="L253" s="17"/>
      <c r="M253" s="17"/>
      <c r="P253" s="17"/>
      <c r="Q253" s="17"/>
      <c r="R253" s="42"/>
      <c r="S253" s="17"/>
      <c r="T253" s="17"/>
      <c r="U253" s="17"/>
      <c r="V253" s="42"/>
      <c r="W253" s="17"/>
      <c r="X253" s="17"/>
    </row>
  </sheetData>
  <pageMargins left="0.25" right="0.25" top="0.75" bottom="0.75" header="0.3" footer="0.3"/>
  <pageSetup scale="55" fitToWidth="2" orientation="landscape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92D050"/>
    <outlinePr summaryBelow="0" summaryRight="0"/>
  </sheetPr>
  <dimension ref="A2:Z11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","301", " - ", "Bookstore Operations")</f>
        <v>Department 301 - Bookstore Operations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0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"5000", " - ", "PURCHASES @ COST")</f>
        <v xml:space="preserve">          5000 - PURCHASES @ COST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0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0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0</v>
      </c>
      <c r="Y17" s="16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124679.02999999998</v>
      </c>
      <c r="E19" s="20"/>
      <c r="F19" s="32">
        <f t="shared" ref="F19:F30" si="8">IF(D$12=0,0,D19/D$12)</f>
        <v>0</v>
      </c>
      <c r="G19" s="20"/>
      <c r="H19" s="20">
        <f>SUM(OSRRefH22x_0)</f>
        <v>96301.599999999962</v>
      </c>
      <c r="I19" s="20"/>
      <c r="J19" s="32">
        <f t="shared" ref="J19:J30" si="9">IF(H$12=0,0,H19/H$12)</f>
        <v>0</v>
      </c>
      <c r="K19" s="4"/>
      <c r="L19" s="20">
        <f t="shared" ref="L19:L30" si="10">+D19-H19</f>
        <v>28377.430000000022</v>
      </c>
      <c r="M19" s="4"/>
      <c r="N19" s="32">
        <f t="shared" ref="N19:N30" si="11">IF(H19=0,0,L19/H19)</f>
        <v>0.29467246650107615</v>
      </c>
      <c r="O19" s="10"/>
      <c r="P19" s="20">
        <f>SUM(OSRRefP22x_0)</f>
        <v>745338.94999999972</v>
      </c>
      <c r="Q19" s="20"/>
      <c r="R19" s="32">
        <f t="shared" ref="R19:R30" si="12">IF(P$12=0,0,P19/P$12)</f>
        <v>0</v>
      </c>
      <c r="S19" s="20"/>
      <c r="T19" s="20">
        <f>SUM(OSRRefT22x_0)</f>
        <v>631392.1100000001</v>
      </c>
      <c r="U19" s="20"/>
      <c r="V19" s="32">
        <f t="shared" ref="V19:V30" si="13">IF(T$12=0,0,T19/T$12)</f>
        <v>0</v>
      </c>
      <c r="W19" s="4"/>
      <c r="X19" s="20">
        <f t="shared" ref="X19:X30" si="14">+P19-T19</f>
        <v>113946.83999999962</v>
      </c>
      <c r="Y19" s="4"/>
      <c r="Z19" s="32">
        <f t="shared" ref="Z19:Z30" si="15">IF(T19=0,0,X19/T19)</f>
        <v>0.18046921745664449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13803.459999999997</v>
      </c>
      <c r="E20" s="1"/>
      <c r="F20" s="5">
        <f t="shared" si="8"/>
        <v>0</v>
      </c>
      <c r="G20" s="1"/>
      <c r="H20" s="1">
        <f>SUM(OSRRefH22_0x_0)</f>
        <v>7735.4699999999993</v>
      </c>
      <c r="I20" s="1"/>
      <c r="J20" s="5">
        <f t="shared" si="9"/>
        <v>0</v>
      </c>
      <c r="K20" s="1"/>
      <c r="L20" s="1">
        <f t="shared" si="10"/>
        <v>6067.989999999998</v>
      </c>
      <c r="M20" s="1"/>
      <c r="N20" s="5">
        <f t="shared" si="11"/>
        <v>0.78443714473716508</v>
      </c>
      <c r="O20" s="14"/>
      <c r="P20" s="1">
        <f>SUM(OSRRefP22_0x_0)</f>
        <v>71770.599999999991</v>
      </c>
      <c r="Q20" s="1"/>
      <c r="R20" s="5">
        <f t="shared" si="12"/>
        <v>0</v>
      </c>
      <c r="S20" s="1"/>
      <c r="T20" s="1">
        <f>SUM(OSRRefT22_0x_0)</f>
        <v>42540.499999999993</v>
      </c>
      <c r="U20" s="1"/>
      <c r="V20" s="5">
        <f t="shared" si="13"/>
        <v>0</v>
      </c>
      <c r="W20" s="1"/>
      <c r="X20" s="1">
        <f t="shared" si="14"/>
        <v>29230.1</v>
      </c>
      <c r="Y20" s="1"/>
      <c r="Z20" s="5">
        <f t="shared" si="15"/>
        <v>0.68711228123787926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1945.46</v>
      </c>
      <c r="E21" s="2"/>
      <c r="F21" s="7">
        <f t="shared" si="8"/>
        <v>0</v>
      </c>
      <c r="G21" s="2"/>
      <c r="H21" s="6">
        <v>1393.44</v>
      </c>
      <c r="I21" s="2"/>
      <c r="J21" s="7">
        <f t="shared" si="9"/>
        <v>0</v>
      </c>
      <c r="K21" s="2"/>
      <c r="L21" s="6">
        <f t="shared" si="10"/>
        <v>552.02</v>
      </c>
      <c r="M21" s="2"/>
      <c r="N21" s="7">
        <f t="shared" si="11"/>
        <v>0.3961562751176943</v>
      </c>
      <c r="O21" s="11"/>
      <c r="P21" s="6">
        <v>14435.84</v>
      </c>
      <c r="Q21" s="2"/>
      <c r="R21" s="7">
        <f t="shared" si="12"/>
        <v>0</v>
      </c>
      <c r="S21" s="2"/>
      <c r="T21" s="6">
        <v>13237.54</v>
      </c>
      <c r="U21" s="2"/>
      <c r="V21" s="7">
        <f t="shared" si="13"/>
        <v>0</v>
      </c>
      <c r="W21" s="2"/>
      <c r="X21" s="6">
        <f t="shared" si="14"/>
        <v>1198.2999999999993</v>
      </c>
      <c r="Y21" s="2"/>
      <c r="Z21" s="7">
        <f t="shared" si="15"/>
        <v>9.0522861498435456E-2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587.38</v>
      </c>
      <c r="E22" s="2"/>
      <c r="F22" s="7">
        <f t="shared" si="8"/>
        <v>0</v>
      </c>
      <c r="G22" s="2"/>
      <c r="H22" s="6">
        <v>841.14</v>
      </c>
      <c r="I22" s="2"/>
      <c r="J22" s="7">
        <f t="shared" si="9"/>
        <v>0</v>
      </c>
      <c r="K22" s="2"/>
      <c r="L22" s="6">
        <f t="shared" si="10"/>
        <v>-253.76</v>
      </c>
      <c r="M22" s="2"/>
      <c r="N22" s="7">
        <f t="shared" si="11"/>
        <v>-0.3016858073566826</v>
      </c>
      <c r="O22" s="11"/>
      <c r="P22" s="6">
        <v>3887.65</v>
      </c>
      <c r="Q22" s="2"/>
      <c r="R22" s="7">
        <f t="shared" si="12"/>
        <v>0</v>
      </c>
      <c r="S22" s="2"/>
      <c r="T22" s="6">
        <v>3787.93</v>
      </c>
      <c r="U22" s="2"/>
      <c r="V22" s="7">
        <f t="shared" si="13"/>
        <v>0</v>
      </c>
      <c r="W22" s="2"/>
      <c r="X22" s="6">
        <f t="shared" si="14"/>
        <v>99.720000000000255</v>
      </c>
      <c r="Y22" s="2"/>
      <c r="Z22" s="7">
        <f t="shared" si="15"/>
        <v>2.6325724076210557E-2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5752.3</v>
      </c>
      <c r="E23" s="2"/>
      <c r="F23" s="7">
        <f t="shared" si="8"/>
        <v>0</v>
      </c>
      <c r="G23" s="2"/>
      <c r="H23" s="6">
        <v>1588.12</v>
      </c>
      <c r="I23" s="2"/>
      <c r="J23" s="7">
        <f t="shared" si="9"/>
        <v>0</v>
      </c>
      <c r="K23" s="2"/>
      <c r="L23" s="6">
        <f t="shared" si="10"/>
        <v>4164.18</v>
      </c>
      <c r="M23" s="2"/>
      <c r="N23" s="7">
        <f t="shared" si="11"/>
        <v>2.6220814548019047</v>
      </c>
      <c r="O23" s="11"/>
      <c r="P23" s="6">
        <v>26648.78</v>
      </c>
      <c r="Q23" s="2"/>
      <c r="R23" s="7">
        <f t="shared" si="12"/>
        <v>0</v>
      </c>
      <c r="S23" s="2"/>
      <c r="T23" s="6">
        <v>8123.78</v>
      </c>
      <c r="U23" s="2"/>
      <c r="V23" s="7">
        <f t="shared" si="13"/>
        <v>0</v>
      </c>
      <c r="W23" s="2"/>
      <c r="X23" s="6">
        <f t="shared" si="14"/>
        <v>18525</v>
      </c>
      <c r="Y23" s="2"/>
      <c r="Z23" s="7">
        <f t="shared" si="15"/>
        <v>2.2803424021822356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104.73</v>
      </c>
      <c r="E24" s="2"/>
      <c r="F24" s="7">
        <f t="shared" si="8"/>
        <v>0</v>
      </c>
      <c r="G24" s="2"/>
      <c r="H24" s="6">
        <v>144.61000000000001</v>
      </c>
      <c r="I24" s="2"/>
      <c r="J24" s="7">
        <f t="shared" si="9"/>
        <v>0</v>
      </c>
      <c r="K24" s="2"/>
      <c r="L24" s="6">
        <f t="shared" si="10"/>
        <v>-39.88000000000001</v>
      </c>
      <c r="M24" s="2"/>
      <c r="N24" s="7">
        <f t="shared" si="11"/>
        <v>-0.27577622571053184</v>
      </c>
      <c r="O24" s="11"/>
      <c r="P24" s="6">
        <v>694.84</v>
      </c>
      <c r="Q24" s="2"/>
      <c r="R24" s="7">
        <f t="shared" si="12"/>
        <v>0</v>
      </c>
      <c r="S24" s="2"/>
      <c r="T24" s="6">
        <v>599.66999999999996</v>
      </c>
      <c r="U24" s="2"/>
      <c r="V24" s="7">
        <f t="shared" si="13"/>
        <v>0</v>
      </c>
      <c r="W24" s="2"/>
      <c r="X24" s="6">
        <f t="shared" si="14"/>
        <v>95.170000000000073</v>
      </c>
      <c r="Y24" s="2"/>
      <c r="Z24" s="7">
        <f t="shared" si="15"/>
        <v>0.1587039538412795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1579.6</v>
      </c>
      <c r="E25" s="2"/>
      <c r="F25" s="7">
        <f t="shared" si="8"/>
        <v>0</v>
      </c>
      <c r="G25" s="2"/>
      <c r="H25" s="6">
        <v>1850.14</v>
      </c>
      <c r="I25" s="2"/>
      <c r="J25" s="7">
        <f t="shared" si="9"/>
        <v>0</v>
      </c>
      <c r="K25" s="2"/>
      <c r="L25" s="6">
        <f t="shared" si="10"/>
        <v>-270.54000000000019</v>
      </c>
      <c r="M25" s="2"/>
      <c r="N25" s="7">
        <f t="shared" si="11"/>
        <v>-0.14622677202806283</v>
      </c>
      <c r="O25" s="11"/>
      <c r="P25" s="6">
        <v>8414.4599999999991</v>
      </c>
      <c r="Q25" s="2"/>
      <c r="R25" s="7">
        <f t="shared" si="12"/>
        <v>0</v>
      </c>
      <c r="S25" s="2"/>
      <c r="T25" s="6">
        <v>6535.86</v>
      </c>
      <c r="U25" s="2"/>
      <c r="V25" s="7">
        <f t="shared" si="13"/>
        <v>0</v>
      </c>
      <c r="W25" s="2"/>
      <c r="X25" s="6">
        <f t="shared" si="14"/>
        <v>1878.5999999999995</v>
      </c>
      <c r="Y25" s="2"/>
      <c r="Z25" s="7">
        <f t="shared" si="15"/>
        <v>0.28742965730600095</v>
      </c>
    </row>
    <row r="26" spans="1:26" s="24" customFormat="1" hidden="1" outlineLevel="2" x14ac:dyDescent="0.3">
      <c r="A26" s="27"/>
      <c r="B26" s="11" t="str">
        <f>CONCATENATE("          ", "6116", " - ", "EDUCATIONAL BENEFITS")</f>
        <v xml:space="preserve">          6116 - EDUCATIONAL BENEFITS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401.9</v>
      </c>
      <c r="U26" s="2"/>
      <c r="V26" s="7">
        <f t="shared" si="13"/>
        <v>0</v>
      </c>
      <c r="W26" s="2"/>
      <c r="X26" s="6">
        <f t="shared" si="14"/>
        <v>-401.9</v>
      </c>
      <c r="Y26" s="2"/>
      <c r="Z26" s="7">
        <f t="shared" si="15"/>
        <v>-1</v>
      </c>
    </row>
    <row r="27" spans="1:26" s="24" customFormat="1" hidden="1" outlineLevel="2" x14ac:dyDescent="0.3">
      <c r="A27" s="27"/>
      <c r="B27" s="11" t="str">
        <f>CONCATENATE("          ", "6117", " - ", "RETIREMENT STAFF HOURLY")</f>
        <v xml:space="preserve">          6117 - RETIREMENT STAFF HOURLY</v>
      </c>
      <c r="C27" s="11"/>
      <c r="D27" s="6">
        <v>313.81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313.81</v>
      </c>
      <c r="M27" s="2"/>
      <c r="N27" s="7">
        <f t="shared" si="11"/>
        <v>0</v>
      </c>
      <c r="O27" s="11"/>
      <c r="P27" s="6">
        <v>1581.28</v>
      </c>
      <c r="Q27" s="2"/>
      <c r="R27" s="7">
        <f t="shared" si="12"/>
        <v>0</v>
      </c>
      <c r="S27" s="2"/>
      <c r="T27" s="6"/>
      <c r="U27" s="2"/>
      <c r="V27" s="7">
        <f t="shared" si="13"/>
        <v>0</v>
      </c>
      <c r="W27" s="2"/>
      <c r="X27" s="6">
        <f t="shared" si="14"/>
        <v>1581.28</v>
      </c>
      <c r="Y27" s="2"/>
      <c r="Z27" s="7">
        <f t="shared" si="15"/>
        <v>0</v>
      </c>
    </row>
    <row r="28" spans="1:26" s="24" customFormat="1" hidden="1" outlineLevel="2" x14ac:dyDescent="0.3">
      <c r="A28" s="27"/>
      <c r="B28" s="11" t="str">
        <f>CONCATENATE("          ", "6118", " - ", "VACATION")</f>
        <v xml:space="preserve">          6118 - VACATION</v>
      </c>
      <c r="C28" s="11"/>
      <c r="D28" s="6">
        <v>1623.97</v>
      </c>
      <c r="E28" s="2"/>
      <c r="F28" s="7">
        <f t="shared" si="8"/>
        <v>0</v>
      </c>
      <c r="G28" s="2"/>
      <c r="H28" s="6">
        <v>1008.09</v>
      </c>
      <c r="I28" s="2"/>
      <c r="J28" s="7">
        <f t="shared" si="9"/>
        <v>0</v>
      </c>
      <c r="K28" s="2"/>
      <c r="L28" s="6">
        <f t="shared" si="10"/>
        <v>615.88</v>
      </c>
      <c r="M28" s="2"/>
      <c r="N28" s="7">
        <f t="shared" si="11"/>
        <v>0.61093751549960817</v>
      </c>
      <c r="O28" s="11"/>
      <c r="P28" s="6">
        <v>7235.72</v>
      </c>
      <c r="Q28" s="2"/>
      <c r="R28" s="7">
        <f t="shared" si="12"/>
        <v>0</v>
      </c>
      <c r="S28" s="2"/>
      <c r="T28" s="6">
        <v>5343.71</v>
      </c>
      <c r="U28" s="2"/>
      <c r="V28" s="7">
        <f t="shared" si="13"/>
        <v>0</v>
      </c>
      <c r="W28" s="2"/>
      <c r="X28" s="6">
        <f t="shared" si="14"/>
        <v>1892.0100000000002</v>
      </c>
      <c r="Y28" s="2"/>
      <c r="Z28" s="7">
        <f t="shared" si="15"/>
        <v>0.35406300117334216</v>
      </c>
    </row>
    <row r="29" spans="1:26" s="24" customFormat="1" hidden="1" outlineLevel="2" x14ac:dyDescent="0.3">
      <c r="A29" s="27"/>
      <c r="B29" s="11" t="str">
        <f>CONCATENATE("          ", "6119", " - ", "SICK LEAVE")</f>
        <v xml:space="preserve">          6119 - SICK LEAVE</v>
      </c>
      <c r="C29" s="11"/>
      <c r="D29" s="6">
        <v>1115.22</v>
      </c>
      <c r="E29" s="2"/>
      <c r="F29" s="7">
        <f t="shared" si="8"/>
        <v>0</v>
      </c>
      <c r="G29" s="2"/>
      <c r="H29" s="6">
        <v>712.99</v>
      </c>
      <c r="I29" s="2"/>
      <c r="J29" s="7">
        <f t="shared" si="9"/>
        <v>0</v>
      </c>
      <c r="K29" s="2"/>
      <c r="L29" s="6">
        <f t="shared" si="10"/>
        <v>402.23</v>
      </c>
      <c r="M29" s="2"/>
      <c r="N29" s="7">
        <f t="shared" si="11"/>
        <v>0.56414535968246404</v>
      </c>
      <c r="O29" s="11"/>
      <c r="P29" s="6">
        <v>5784.44</v>
      </c>
      <c r="Q29" s="2"/>
      <c r="R29" s="7">
        <f t="shared" si="12"/>
        <v>0</v>
      </c>
      <c r="S29" s="2"/>
      <c r="T29" s="6">
        <v>3628.34</v>
      </c>
      <c r="U29" s="2"/>
      <c r="V29" s="7">
        <f t="shared" si="13"/>
        <v>0</v>
      </c>
      <c r="W29" s="2"/>
      <c r="X29" s="6">
        <f t="shared" si="14"/>
        <v>2156.0999999999995</v>
      </c>
      <c r="Y29" s="2"/>
      <c r="Z29" s="7">
        <f t="shared" si="15"/>
        <v>0.59423868766433119</v>
      </c>
    </row>
    <row r="30" spans="1:26" s="24" customFormat="1" hidden="1" outlineLevel="2" x14ac:dyDescent="0.3">
      <c r="A30" s="27"/>
      <c r="B30" s="11" t="str">
        <f>CONCATENATE("          ", "6156", " - ", "EMPLOYEE MEALS")</f>
        <v xml:space="preserve">          6156 - EMPLOYEE MEALS</v>
      </c>
      <c r="C30" s="11"/>
      <c r="D30" s="6">
        <v>780.99</v>
      </c>
      <c r="E30" s="2"/>
      <c r="F30" s="7">
        <f t="shared" si="8"/>
        <v>0</v>
      </c>
      <c r="G30" s="2"/>
      <c r="H30" s="6">
        <v>196.94</v>
      </c>
      <c r="I30" s="2"/>
      <c r="J30" s="7">
        <f t="shared" si="9"/>
        <v>0</v>
      </c>
      <c r="K30" s="2"/>
      <c r="L30" s="6">
        <f t="shared" si="10"/>
        <v>584.04999999999995</v>
      </c>
      <c r="M30" s="2"/>
      <c r="N30" s="7">
        <f t="shared" si="11"/>
        <v>2.9656240479333804</v>
      </c>
      <c r="O30" s="11"/>
      <c r="P30" s="6">
        <v>3087.59</v>
      </c>
      <c r="Q30" s="2"/>
      <c r="R30" s="7">
        <f t="shared" si="12"/>
        <v>0</v>
      </c>
      <c r="S30" s="2"/>
      <c r="T30" s="6">
        <v>881.77</v>
      </c>
      <c r="U30" s="2"/>
      <c r="V30" s="7">
        <f t="shared" si="13"/>
        <v>0</v>
      </c>
      <c r="W30" s="2"/>
      <c r="X30" s="6">
        <f t="shared" si="14"/>
        <v>2205.8200000000002</v>
      </c>
      <c r="Y30" s="2"/>
      <c r="Z30" s="7">
        <f t="shared" si="15"/>
        <v>2.5015820452045321</v>
      </c>
    </row>
    <row r="31" spans="1:26" s="29" customFormat="1" outlineLevel="1" collapsed="1" x14ac:dyDescent="0.3">
      <c r="A31" s="28"/>
      <c r="B31" s="14" t="str">
        <f>CONCATENATE("     ","*Payroll                                          ")</f>
        <v xml:space="preserve">     *Payroll                                          </v>
      </c>
      <c r="C31" s="14"/>
      <c r="D31" s="1">
        <f>SUM(OSRRefD22_1x_0)</f>
        <v>39015.51</v>
      </c>
      <c r="E31" s="1"/>
      <c r="F31" s="5">
        <f t="shared" ref="F31:F38" si="16">IF(D$12=0,0,D31/D$12)</f>
        <v>0</v>
      </c>
      <c r="G31" s="1"/>
      <c r="H31" s="1">
        <f>SUM(OSRRefH22_1x_0)</f>
        <v>26933.769999999997</v>
      </c>
      <c r="I31" s="1"/>
      <c r="J31" s="5">
        <f t="shared" ref="J31:J38" si="17">IF(H$12=0,0,H31/H$12)</f>
        <v>0</v>
      </c>
      <c r="K31" s="1"/>
      <c r="L31" s="1">
        <f t="shared" ref="L31:L38" si="18">+D31-H31</f>
        <v>12081.740000000005</v>
      </c>
      <c r="M31" s="1"/>
      <c r="N31" s="5">
        <f t="shared" ref="N31:N38" si="19">IF(H31=0,0,L31/H31)</f>
        <v>0.44857218280248207</v>
      </c>
      <c r="O31" s="14"/>
      <c r="P31" s="1">
        <f>SUM(OSRRefP22_1x_0)</f>
        <v>263739.28000000003</v>
      </c>
      <c r="Q31" s="1"/>
      <c r="R31" s="5">
        <f t="shared" ref="R31:R38" si="20">IF(P$12=0,0,P31/P$12)</f>
        <v>0</v>
      </c>
      <c r="S31" s="1"/>
      <c r="T31" s="1">
        <f>SUM(OSRRefT22_1x_0)</f>
        <v>208563.39</v>
      </c>
      <c r="U31" s="1"/>
      <c r="V31" s="5">
        <f t="shared" ref="V31:V38" si="21">IF(T$12=0,0,T31/T$12)</f>
        <v>0</v>
      </c>
      <c r="W31" s="1"/>
      <c r="X31" s="1">
        <f t="shared" ref="X31:X38" si="22">+P31-T31</f>
        <v>55175.890000000014</v>
      </c>
      <c r="Y31" s="1"/>
      <c r="Z31" s="5">
        <f t="shared" ref="Z31:Z38" si="23">IF(T31=0,0,X31/T31)</f>
        <v>0.26455213448534765</v>
      </c>
    </row>
    <row r="32" spans="1:26" s="24" customFormat="1" hidden="1" outlineLevel="2" x14ac:dyDescent="0.3">
      <c r="A32" s="27"/>
      <c r="B32" s="11" t="str">
        <f>CONCATENATE("          ", "6001", " - ", "ADMINISTRATIVE SALARIES")</f>
        <v xml:space="preserve">          6001 - ADMINISTRATIVE SALARIES</v>
      </c>
      <c r="C32" s="11"/>
      <c r="D32" s="6">
        <v>4192.43</v>
      </c>
      <c r="E32" s="2"/>
      <c r="F32" s="7">
        <f t="shared" si="16"/>
        <v>0</v>
      </c>
      <c r="G32" s="2"/>
      <c r="H32" s="6">
        <v>3995.45</v>
      </c>
      <c r="I32" s="2"/>
      <c r="J32" s="7">
        <f t="shared" si="17"/>
        <v>0</v>
      </c>
      <c r="K32" s="2"/>
      <c r="L32" s="6">
        <f t="shared" si="18"/>
        <v>196.98000000000047</v>
      </c>
      <c r="M32" s="2"/>
      <c r="N32" s="7">
        <f t="shared" si="19"/>
        <v>4.9301079978475638E-2</v>
      </c>
      <c r="O32" s="11"/>
      <c r="P32" s="6">
        <v>23676.51</v>
      </c>
      <c r="Q32" s="2"/>
      <c r="R32" s="7">
        <f t="shared" si="20"/>
        <v>0</v>
      </c>
      <c r="S32" s="2"/>
      <c r="T32" s="6">
        <v>21449.27</v>
      </c>
      <c r="U32" s="2"/>
      <c r="V32" s="7">
        <f t="shared" si="21"/>
        <v>0</v>
      </c>
      <c r="W32" s="2"/>
      <c r="X32" s="6">
        <f t="shared" si="22"/>
        <v>2227.239999999998</v>
      </c>
      <c r="Y32" s="2"/>
      <c r="Z32" s="7">
        <f t="shared" si="23"/>
        <v>0.10383756649993207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10400.02</v>
      </c>
      <c r="E33" s="2"/>
      <c r="F33" s="7">
        <f t="shared" si="16"/>
        <v>0</v>
      </c>
      <c r="G33" s="2"/>
      <c r="H33" s="6">
        <v>7220.99</v>
      </c>
      <c r="I33" s="2"/>
      <c r="J33" s="7">
        <f t="shared" si="17"/>
        <v>0</v>
      </c>
      <c r="K33" s="2"/>
      <c r="L33" s="6">
        <f t="shared" si="18"/>
        <v>3179.0300000000007</v>
      </c>
      <c r="M33" s="2"/>
      <c r="N33" s="7">
        <f t="shared" si="19"/>
        <v>0.44024849778216019</v>
      </c>
      <c r="O33" s="11"/>
      <c r="P33" s="6">
        <v>54192.43</v>
      </c>
      <c r="Q33" s="2"/>
      <c r="R33" s="7">
        <f t="shared" si="20"/>
        <v>0</v>
      </c>
      <c r="S33" s="2"/>
      <c r="T33" s="6">
        <v>42995.360000000001</v>
      </c>
      <c r="U33" s="2"/>
      <c r="V33" s="7">
        <f t="shared" si="21"/>
        <v>0</v>
      </c>
      <c r="W33" s="2"/>
      <c r="X33" s="6">
        <f t="shared" si="22"/>
        <v>11197.07</v>
      </c>
      <c r="Y33" s="2"/>
      <c r="Z33" s="7">
        <f t="shared" si="23"/>
        <v>0.26042507842706747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7599.34</v>
      </c>
      <c r="E34" s="2"/>
      <c r="F34" s="7">
        <f t="shared" si="16"/>
        <v>0</v>
      </c>
      <c r="G34" s="2"/>
      <c r="H34" s="6">
        <v>1330.8</v>
      </c>
      <c r="I34" s="2"/>
      <c r="J34" s="7">
        <f t="shared" si="17"/>
        <v>0</v>
      </c>
      <c r="K34" s="2"/>
      <c r="L34" s="6">
        <f t="shared" si="18"/>
        <v>6268.54</v>
      </c>
      <c r="M34" s="2"/>
      <c r="N34" s="7">
        <f t="shared" si="19"/>
        <v>4.7103546738803725</v>
      </c>
      <c r="O34" s="11"/>
      <c r="P34" s="6">
        <v>35113.870000000003</v>
      </c>
      <c r="Q34" s="2"/>
      <c r="R34" s="7">
        <f t="shared" si="20"/>
        <v>0</v>
      </c>
      <c r="S34" s="2"/>
      <c r="T34" s="6">
        <v>4796.3999999999996</v>
      </c>
      <c r="U34" s="2"/>
      <c r="V34" s="7">
        <f t="shared" si="21"/>
        <v>0</v>
      </c>
      <c r="W34" s="2"/>
      <c r="X34" s="6">
        <f t="shared" si="22"/>
        <v>30317.47</v>
      </c>
      <c r="Y34" s="2"/>
      <c r="Z34" s="7">
        <f t="shared" si="23"/>
        <v>6.3208802435159708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1976.27</v>
      </c>
      <c r="E35" s="2"/>
      <c r="F35" s="7">
        <f t="shared" si="16"/>
        <v>0</v>
      </c>
      <c r="G35" s="2"/>
      <c r="H35" s="6">
        <v>2492.1799999999998</v>
      </c>
      <c r="I35" s="2"/>
      <c r="J35" s="7">
        <f t="shared" si="17"/>
        <v>0</v>
      </c>
      <c r="K35" s="2"/>
      <c r="L35" s="6">
        <f t="shared" si="18"/>
        <v>-515.90999999999985</v>
      </c>
      <c r="M35" s="2"/>
      <c r="N35" s="7">
        <f t="shared" si="19"/>
        <v>-0.20701153207232217</v>
      </c>
      <c r="O35" s="11"/>
      <c r="P35" s="6">
        <v>15842.48</v>
      </c>
      <c r="Q35" s="2"/>
      <c r="R35" s="7">
        <f t="shared" si="20"/>
        <v>0</v>
      </c>
      <c r="S35" s="2"/>
      <c r="T35" s="6">
        <v>43578.75</v>
      </c>
      <c r="U35" s="2"/>
      <c r="V35" s="7">
        <f t="shared" si="21"/>
        <v>0</v>
      </c>
      <c r="W35" s="2"/>
      <c r="X35" s="6">
        <f t="shared" si="22"/>
        <v>-27736.27</v>
      </c>
      <c r="Y35" s="2"/>
      <c r="Z35" s="7">
        <f t="shared" si="23"/>
        <v>-0.63646318446490546</v>
      </c>
    </row>
    <row r="36" spans="1:26" s="24" customFormat="1" hidden="1" outlineLevel="2" x14ac:dyDescent="0.3">
      <c r="A36" s="27"/>
      <c r="B36" s="11" t="str">
        <f>CONCATENATE("          ", "6006", " - ", "TEMPORARY PART TIME")</f>
        <v xml:space="preserve">          6006 - TEMPORARY PART TIME</v>
      </c>
      <c r="C36" s="11"/>
      <c r="D36" s="6"/>
      <c r="E36" s="2"/>
      <c r="F36" s="7">
        <f t="shared" si="16"/>
        <v>0</v>
      </c>
      <c r="G36" s="2"/>
      <c r="H36" s="6">
        <v>1048.44</v>
      </c>
      <c r="I36" s="2"/>
      <c r="J36" s="7">
        <f t="shared" si="17"/>
        <v>0</v>
      </c>
      <c r="K36" s="2"/>
      <c r="L36" s="6">
        <f t="shared" si="18"/>
        <v>-1048.44</v>
      </c>
      <c r="M36" s="2"/>
      <c r="N36" s="7">
        <f t="shared" si="19"/>
        <v>-1</v>
      </c>
      <c r="O36" s="11"/>
      <c r="P36" s="6">
        <v>9877.6200000000008</v>
      </c>
      <c r="Q36" s="2"/>
      <c r="R36" s="7">
        <f t="shared" si="20"/>
        <v>0</v>
      </c>
      <c r="S36" s="2"/>
      <c r="T36" s="6">
        <v>8053.32</v>
      </c>
      <c r="U36" s="2"/>
      <c r="V36" s="7">
        <f t="shared" si="21"/>
        <v>0</v>
      </c>
      <c r="W36" s="2"/>
      <c r="X36" s="6">
        <f t="shared" si="22"/>
        <v>1824.3000000000011</v>
      </c>
      <c r="Y36" s="2"/>
      <c r="Z36" s="7">
        <f t="shared" si="23"/>
        <v>0.22652769292664407</v>
      </c>
    </row>
    <row r="37" spans="1:26" s="24" customFormat="1" hidden="1" outlineLevel="2" x14ac:dyDescent="0.3">
      <c r="A37" s="27"/>
      <c r="B37" s="11" t="str">
        <f>CONCATENATE("          ", "6007", " - ", "STUDENT HOURLY")</f>
        <v xml:space="preserve">          6007 - STUDENT HOURLY</v>
      </c>
      <c r="C37" s="11"/>
      <c r="D37" s="6">
        <v>14386.71</v>
      </c>
      <c r="E37" s="2"/>
      <c r="F37" s="7">
        <f t="shared" si="16"/>
        <v>0</v>
      </c>
      <c r="G37" s="2"/>
      <c r="H37" s="6">
        <v>10845.91</v>
      </c>
      <c r="I37" s="2"/>
      <c r="J37" s="7">
        <f t="shared" si="17"/>
        <v>0</v>
      </c>
      <c r="K37" s="2"/>
      <c r="L37" s="6">
        <f t="shared" si="18"/>
        <v>3540.7999999999993</v>
      </c>
      <c r="M37" s="2"/>
      <c r="N37" s="7">
        <f t="shared" si="19"/>
        <v>0.3264640772420202</v>
      </c>
      <c r="O37" s="11"/>
      <c r="P37" s="6">
        <v>115243.44</v>
      </c>
      <c r="Q37" s="2"/>
      <c r="R37" s="7">
        <f t="shared" si="20"/>
        <v>0</v>
      </c>
      <c r="S37" s="2"/>
      <c r="T37" s="6">
        <v>87690.29</v>
      </c>
      <c r="U37" s="2"/>
      <c r="V37" s="7">
        <f t="shared" si="21"/>
        <v>0</v>
      </c>
      <c r="W37" s="2"/>
      <c r="X37" s="6">
        <f t="shared" si="22"/>
        <v>27553.150000000009</v>
      </c>
      <c r="Y37" s="2"/>
      <c r="Z37" s="7">
        <f t="shared" si="23"/>
        <v>0.31420981730132275</v>
      </c>
    </row>
    <row r="38" spans="1:26" s="24" customFormat="1" hidden="1" outlineLevel="2" x14ac:dyDescent="0.3">
      <c r="A38" s="27"/>
      <c r="B38" s="11" t="str">
        <f>CONCATENATE("          ", "6008", " - ", "STUDENT HOURLY-FICA EXEMPT")</f>
        <v xml:space="preserve">          6008 - STUDENT HOURLY-FICA EXEMPT</v>
      </c>
      <c r="C38" s="11"/>
      <c r="D38" s="6">
        <v>460.74</v>
      </c>
      <c r="E38" s="2"/>
      <c r="F38" s="7">
        <f t="shared" si="16"/>
        <v>0</v>
      </c>
      <c r="G38" s="2"/>
      <c r="H38" s="6"/>
      <c r="I38" s="2"/>
      <c r="J38" s="7">
        <f t="shared" si="17"/>
        <v>0</v>
      </c>
      <c r="K38" s="2"/>
      <c r="L38" s="6">
        <f t="shared" si="18"/>
        <v>460.74</v>
      </c>
      <c r="M38" s="2"/>
      <c r="N38" s="7">
        <f t="shared" si="19"/>
        <v>0</v>
      </c>
      <c r="O38" s="11"/>
      <c r="P38" s="6">
        <v>9792.93</v>
      </c>
      <c r="Q38" s="2"/>
      <c r="R38" s="7">
        <f t="shared" si="20"/>
        <v>0</v>
      </c>
      <c r="S38" s="2"/>
      <c r="T38" s="6"/>
      <c r="U38" s="2"/>
      <c r="V38" s="7">
        <f t="shared" si="21"/>
        <v>0</v>
      </c>
      <c r="W38" s="2"/>
      <c r="X38" s="6">
        <f t="shared" si="22"/>
        <v>9792.93</v>
      </c>
      <c r="Y38" s="2"/>
      <c r="Z38" s="7">
        <f t="shared" si="23"/>
        <v>0</v>
      </c>
    </row>
    <row r="39" spans="1:26" s="29" customFormat="1" outlineLevel="1" collapsed="1" x14ac:dyDescent="0.3">
      <c r="A39" s="28"/>
      <c r="B39" s="14" t="str">
        <f>CONCATENATE("     ","Advertising/Promo                                 ")</f>
        <v xml:space="preserve">     Advertising/Promo                                 </v>
      </c>
      <c r="C39" s="14"/>
      <c r="D39" s="1">
        <f>SUM(OSRRefD22_2x_0)</f>
        <v>0</v>
      </c>
      <c r="E39" s="1"/>
      <c r="F39" s="5">
        <f t="shared" ref="F39:F47" si="24">IF(D$12=0,0,D39/D$12)</f>
        <v>0</v>
      </c>
      <c r="G39" s="1"/>
      <c r="H39" s="1">
        <f>SUM(OSRRefH22_2x_0)</f>
        <v>100</v>
      </c>
      <c r="I39" s="1"/>
      <c r="J39" s="5">
        <f t="shared" ref="J39:J47" si="25">IF(H$12=0,0,H39/H$12)</f>
        <v>0</v>
      </c>
      <c r="K39" s="1"/>
      <c r="L39" s="1">
        <f t="shared" ref="L39:L47" si="26">+D39-H39</f>
        <v>-100</v>
      </c>
      <c r="M39" s="1"/>
      <c r="N39" s="5">
        <f t="shared" ref="N39:N47" si="27">IF(H39=0,0,L39/H39)</f>
        <v>-1</v>
      </c>
      <c r="O39" s="14"/>
      <c r="P39" s="1">
        <f>SUM(OSRRefP22_2x_0)</f>
        <v>160</v>
      </c>
      <c r="Q39" s="1"/>
      <c r="R39" s="5">
        <f t="shared" ref="R39:R47" si="28">IF(P$12=0,0,P39/P$12)</f>
        <v>0</v>
      </c>
      <c r="S39" s="1"/>
      <c r="T39" s="1">
        <f>SUM(OSRRefT22_2x_0)</f>
        <v>100</v>
      </c>
      <c r="U39" s="1"/>
      <c r="V39" s="5">
        <f t="shared" ref="V39:V47" si="29">IF(T$12=0,0,T39/T$12)</f>
        <v>0</v>
      </c>
      <c r="W39" s="1"/>
      <c r="X39" s="1">
        <f t="shared" ref="X39:X47" si="30">+P39-T39</f>
        <v>60</v>
      </c>
      <c r="Y39" s="1"/>
      <c r="Z39" s="5">
        <f t="shared" ref="Z39:Z47" si="31">IF(T39=0,0,X39/T39)</f>
        <v>0.6</v>
      </c>
    </row>
    <row r="40" spans="1:26" s="24" customFormat="1" hidden="1" outlineLevel="2" x14ac:dyDescent="0.3">
      <c r="A40" s="27"/>
      <c r="B40" s="11" t="str">
        <f>CONCATENATE("          ", "6362", " - ", "ADVERTISING EXPENSE")</f>
        <v xml:space="preserve">          6362 - ADVERTISING EXPENSE</v>
      </c>
      <c r="C40" s="11"/>
      <c r="D40" s="6"/>
      <c r="E40" s="2"/>
      <c r="F40" s="7">
        <f t="shared" si="24"/>
        <v>0</v>
      </c>
      <c r="G40" s="2"/>
      <c r="H40" s="6">
        <v>100</v>
      </c>
      <c r="I40" s="2"/>
      <c r="J40" s="7">
        <f t="shared" si="25"/>
        <v>0</v>
      </c>
      <c r="K40" s="2"/>
      <c r="L40" s="6">
        <f t="shared" si="26"/>
        <v>-100</v>
      </c>
      <c r="M40" s="2"/>
      <c r="N40" s="7">
        <f t="shared" si="27"/>
        <v>-1</v>
      </c>
      <c r="O40" s="11"/>
      <c r="P40" s="6">
        <v>160</v>
      </c>
      <c r="Q40" s="2"/>
      <c r="R40" s="7">
        <f t="shared" si="28"/>
        <v>0</v>
      </c>
      <c r="S40" s="2"/>
      <c r="T40" s="6">
        <v>100</v>
      </c>
      <c r="U40" s="2"/>
      <c r="V40" s="7">
        <f t="shared" si="29"/>
        <v>0</v>
      </c>
      <c r="W40" s="2"/>
      <c r="X40" s="6">
        <f t="shared" si="30"/>
        <v>60</v>
      </c>
      <c r="Y40" s="2"/>
      <c r="Z40" s="7">
        <f t="shared" si="31"/>
        <v>0.6</v>
      </c>
    </row>
    <row r="41" spans="1:26" s="29" customFormat="1" outlineLevel="1" collapsed="1" x14ac:dyDescent="0.3">
      <c r="A41" s="28"/>
      <c r="B41" s="14" t="str">
        <f>CONCATENATE("     ","Bad Debts/Over/Short                              ")</f>
        <v xml:space="preserve">     Bad Debts/Over/Short                              </v>
      </c>
      <c r="C41" s="14"/>
      <c r="D41" s="1">
        <f>SUM(OSRRefD22_3x_0)</f>
        <v>-39.53</v>
      </c>
      <c r="E41" s="1"/>
      <c r="F41" s="5">
        <f t="shared" si="24"/>
        <v>0</v>
      </c>
      <c r="G41" s="1"/>
      <c r="H41" s="1">
        <f>SUM(OSRRefH22_3x_0)</f>
        <v>1.22</v>
      </c>
      <c r="I41" s="1"/>
      <c r="J41" s="5">
        <f t="shared" si="25"/>
        <v>0</v>
      </c>
      <c r="K41" s="1"/>
      <c r="L41" s="1">
        <f t="shared" si="26"/>
        <v>-40.75</v>
      </c>
      <c r="M41" s="1"/>
      <c r="N41" s="5">
        <f t="shared" si="27"/>
        <v>-33.401639344262293</v>
      </c>
      <c r="O41" s="14"/>
      <c r="P41" s="1">
        <f>SUM(OSRRefP22_3x_0)</f>
        <v>190.21</v>
      </c>
      <c r="Q41" s="1"/>
      <c r="R41" s="5">
        <f t="shared" si="28"/>
        <v>0</v>
      </c>
      <c r="S41" s="1"/>
      <c r="T41" s="1">
        <f>SUM(OSRRefT22_3x_0)</f>
        <v>51.21</v>
      </c>
      <c r="U41" s="1"/>
      <c r="V41" s="5">
        <f t="shared" si="29"/>
        <v>0</v>
      </c>
      <c r="W41" s="1"/>
      <c r="X41" s="1">
        <f t="shared" si="30"/>
        <v>139</v>
      </c>
      <c r="Y41" s="1"/>
      <c r="Z41" s="5">
        <f t="shared" si="31"/>
        <v>2.7143136106229253</v>
      </c>
    </row>
    <row r="42" spans="1:26" s="24" customFormat="1" hidden="1" outlineLevel="2" x14ac:dyDescent="0.3">
      <c r="A42" s="27"/>
      <c r="B42" s="11" t="str">
        <f>CONCATENATE("          ", "6272", " - ", "CASH (OVER/SHORT)")</f>
        <v xml:space="preserve">          6272 - CASH (OVER/SHORT)</v>
      </c>
      <c r="C42" s="11"/>
      <c r="D42" s="6">
        <v>-39.53</v>
      </c>
      <c r="E42" s="2"/>
      <c r="F42" s="7">
        <f t="shared" si="24"/>
        <v>0</v>
      </c>
      <c r="G42" s="2"/>
      <c r="H42" s="6">
        <v>1.22</v>
      </c>
      <c r="I42" s="2"/>
      <c r="J42" s="7">
        <f t="shared" si="25"/>
        <v>0</v>
      </c>
      <c r="K42" s="2"/>
      <c r="L42" s="6">
        <f t="shared" si="26"/>
        <v>-40.75</v>
      </c>
      <c r="M42" s="2"/>
      <c r="N42" s="7">
        <f t="shared" si="27"/>
        <v>-33.401639344262293</v>
      </c>
      <c r="O42" s="11"/>
      <c r="P42" s="6">
        <v>190.21</v>
      </c>
      <c r="Q42" s="2"/>
      <c r="R42" s="7">
        <f t="shared" si="28"/>
        <v>0</v>
      </c>
      <c r="S42" s="2"/>
      <c r="T42" s="6">
        <v>51.21</v>
      </c>
      <c r="U42" s="2"/>
      <c r="V42" s="7">
        <f t="shared" si="29"/>
        <v>0</v>
      </c>
      <c r="W42" s="2"/>
      <c r="X42" s="6">
        <f t="shared" si="30"/>
        <v>139</v>
      </c>
      <c r="Y42" s="2"/>
      <c r="Z42" s="7">
        <f t="shared" si="31"/>
        <v>2.7143136106229253</v>
      </c>
    </row>
    <row r="43" spans="1:26" s="29" customFormat="1" outlineLevel="1" collapsed="1" x14ac:dyDescent="0.3">
      <c r="A43" s="28"/>
      <c r="B43" s="14" t="str">
        <f>CONCATENATE("     ","Bank/card Fees                                    ")</f>
        <v xml:space="preserve">     Bank/card Fees                                    </v>
      </c>
      <c r="C43" s="14"/>
      <c r="D43" s="1">
        <f>SUM(OSRRefD22_4x_0)</f>
        <v>7325.16</v>
      </c>
      <c r="E43" s="1"/>
      <c r="F43" s="5">
        <f t="shared" si="24"/>
        <v>0</v>
      </c>
      <c r="G43" s="1"/>
      <c r="H43" s="1">
        <f>SUM(OSRRefH22_4x_0)</f>
        <v>2127.38</v>
      </c>
      <c r="I43" s="1"/>
      <c r="J43" s="5">
        <f t="shared" si="25"/>
        <v>0</v>
      </c>
      <c r="K43" s="1"/>
      <c r="L43" s="1">
        <f t="shared" si="26"/>
        <v>5197.78</v>
      </c>
      <c r="M43" s="1"/>
      <c r="N43" s="5">
        <f t="shared" si="27"/>
        <v>2.4432776466827737</v>
      </c>
      <c r="O43" s="14"/>
      <c r="P43" s="1">
        <f>SUM(OSRRefP22_4x_0)</f>
        <v>55732.71</v>
      </c>
      <c r="Q43" s="1"/>
      <c r="R43" s="5">
        <f t="shared" si="28"/>
        <v>0</v>
      </c>
      <c r="S43" s="1"/>
      <c r="T43" s="1">
        <f>SUM(OSRRefT22_4x_0)</f>
        <v>39909.46</v>
      </c>
      <c r="U43" s="1"/>
      <c r="V43" s="5">
        <f t="shared" si="29"/>
        <v>0</v>
      </c>
      <c r="W43" s="1"/>
      <c r="X43" s="1">
        <f t="shared" si="30"/>
        <v>15823.25</v>
      </c>
      <c r="Y43" s="1"/>
      <c r="Z43" s="5">
        <f t="shared" si="31"/>
        <v>0.39647867949102794</v>
      </c>
    </row>
    <row r="44" spans="1:26" s="24" customFormat="1" hidden="1" outlineLevel="2" x14ac:dyDescent="0.3">
      <c r="A44" s="27"/>
      <c r="B44" s="11" t="str">
        <f>CONCATENATE("          ", "6381", " - ", "BANK/CREDIT CARD FEES")</f>
        <v xml:space="preserve">          6381 - BANK/CREDIT CARD FEES</v>
      </c>
      <c r="C44" s="11"/>
      <c r="D44" s="6">
        <v>7325.16</v>
      </c>
      <c r="E44" s="2"/>
      <c r="F44" s="7">
        <f t="shared" si="24"/>
        <v>0</v>
      </c>
      <c r="G44" s="2"/>
      <c r="H44" s="6">
        <v>2127.38</v>
      </c>
      <c r="I44" s="2"/>
      <c r="J44" s="7">
        <f t="shared" si="25"/>
        <v>0</v>
      </c>
      <c r="K44" s="2"/>
      <c r="L44" s="6">
        <f t="shared" si="26"/>
        <v>5197.78</v>
      </c>
      <c r="M44" s="2"/>
      <c r="N44" s="7">
        <f t="shared" si="27"/>
        <v>2.4432776466827737</v>
      </c>
      <c r="O44" s="11"/>
      <c r="P44" s="6">
        <v>55732.71</v>
      </c>
      <c r="Q44" s="2"/>
      <c r="R44" s="7">
        <f t="shared" si="28"/>
        <v>0</v>
      </c>
      <c r="S44" s="2"/>
      <c r="T44" s="6">
        <v>39909.46</v>
      </c>
      <c r="U44" s="2"/>
      <c r="V44" s="7">
        <f t="shared" si="29"/>
        <v>0</v>
      </c>
      <c r="W44" s="2"/>
      <c r="X44" s="6">
        <f t="shared" si="30"/>
        <v>15823.25</v>
      </c>
      <c r="Y44" s="2"/>
      <c r="Z44" s="7">
        <f t="shared" si="31"/>
        <v>0.39647867949102794</v>
      </c>
    </row>
    <row r="45" spans="1:26" s="29" customFormat="1" outlineLevel="1" collapsed="1" x14ac:dyDescent="0.3">
      <c r="A45" s="28"/>
      <c r="B45" s="14" t="str">
        <f>CONCATENATE("     ","Depreciation                                      ")</f>
        <v xml:space="preserve">     Depreciation                                      </v>
      </c>
      <c r="C45" s="14"/>
      <c r="D45" s="1">
        <f>SUM(OSRRefD22_5x_0)</f>
        <v>30444.97</v>
      </c>
      <c r="E45" s="1"/>
      <c r="F45" s="5">
        <f t="shared" si="24"/>
        <v>0</v>
      </c>
      <c r="G45" s="1"/>
      <c r="H45" s="1">
        <f>SUM(OSRRefH22_5x_0)</f>
        <v>30565.97</v>
      </c>
      <c r="I45" s="1"/>
      <c r="J45" s="5">
        <f t="shared" si="25"/>
        <v>0</v>
      </c>
      <c r="K45" s="1"/>
      <c r="L45" s="1">
        <f t="shared" si="26"/>
        <v>-121</v>
      </c>
      <c r="M45" s="1"/>
      <c r="N45" s="5">
        <f t="shared" si="27"/>
        <v>-3.9586507478741881E-3</v>
      </c>
      <c r="O45" s="14"/>
      <c r="P45" s="1">
        <f>SUM(OSRRefP22_5x_0)</f>
        <v>152542.35</v>
      </c>
      <c r="Q45" s="1"/>
      <c r="R45" s="5">
        <f t="shared" si="28"/>
        <v>0</v>
      </c>
      <c r="S45" s="1"/>
      <c r="T45" s="1">
        <f>SUM(OSRRefT22_5x_0)</f>
        <v>153125.34000000003</v>
      </c>
      <c r="U45" s="1"/>
      <c r="V45" s="5">
        <f t="shared" si="29"/>
        <v>0</v>
      </c>
      <c r="W45" s="1"/>
      <c r="X45" s="1">
        <f t="shared" si="30"/>
        <v>-582.99000000001979</v>
      </c>
      <c r="Y45" s="1"/>
      <c r="Z45" s="5">
        <f t="shared" si="31"/>
        <v>-3.8072731789527436E-3</v>
      </c>
    </row>
    <row r="46" spans="1:26" s="24" customFormat="1" hidden="1" outlineLevel="2" x14ac:dyDescent="0.3">
      <c r="A46" s="27"/>
      <c r="B46" s="11" t="str">
        <f>CONCATENATE("          ", "6321", " - ", "BUILDING DEPRECIATION")</f>
        <v xml:space="preserve">          6321 - BUILDING DEPRECIATION</v>
      </c>
      <c r="C46" s="11"/>
      <c r="D46" s="6">
        <v>16396.52</v>
      </c>
      <c r="E46" s="2"/>
      <c r="F46" s="7">
        <f t="shared" si="24"/>
        <v>0</v>
      </c>
      <c r="G46" s="2"/>
      <c r="H46" s="6">
        <v>16396.52</v>
      </c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81982.600000000006</v>
      </c>
      <c r="Q46" s="2"/>
      <c r="R46" s="7">
        <f t="shared" si="28"/>
        <v>0</v>
      </c>
      <c r="S46" s="2"/>
      <c r="T46" s="6">
        <v>81982.600000000006</v>
      </c>
      <c r="U46" s="2"/>
      <c r="V46" s="7">
        <f t="shared" si="29"/>
        <v>0</v>
      </c>
      <c r="W46" s="2"/>
      <c r="X46" s="6">
        <f t="shared" si="30"/>
        <v>0</v>
      </c>
      <c r="Y46" s="2"/>
      <c r="Z46" s="7">
        <f t="shared" si="31"/>
        <v>0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14048.45</v>
      </c>
      <c r="E47" s="2"/>
      <c r="F47" s="7">
        <f t="shared" si="24"/>
        <v>0</v>
      </c>
      <c r="G47" s="2"/>
      <c r="H47" s="6">
        <v>14169.45</v>
      </c>
      <c r="I47" s="2"/>
      <c r="J47" s="7">
        <f t="shared" si="25"/>
        <v>0</v>
      </c>
      <c r="K47" s="2"/>
      <c r="L47" s="6">
        <f t="shared" si="26"/>
        <v>-121</v>
      </c>
      <c r="M47" s="2"/>
      <c r="N47" s="7">
        <f t="shared" si="27"/>
        <v>-8.5394987102533973E-3</v>
      </c>
      <c r="O47" s="11"/>
      <c r="P47" s="6">
        <v>70559.75</v>
      </c>
      <c r="Q47" s="2"/>
      <c r="R47" s="7">
        <f t="shared" si="28"/>
        <v>0</v>
      </c>
      <c r="S47" s="2"/>
      <c r="T47" s="6">
        <v>71142.740000000005</v>
      </c>
      <c r="U47" s="2"/>
      <c r="V47" s="7">
        <f t="shared" si="29"/>
        <v>0</v>
      </c>
      <c r="W47" s="2"/>
      <c r="X47" s="6">
        <f t="shared" si="30"/>
        <v>-582.99000000000524</v>
      </c>
      <c r="Y47" s="2"/>
      <c r="Z47" s="7">
        <f t="shared" si="31"/>
        <v>-8.194652047419107E-3</v>
      </c>
    </row>
    <row r="48" spans="1:26" s="29" customFormat="1" outlineLevel="1" collapsed="1" x14ac:dyDescent="0.3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SUM(OSRRefD22_6x_0)</f>
        <v>3407.68</v>
      </c>
      <c r="E48" s="1"/>
      <c r="F48" s="5">
        <f t="shared" ref="F48:F50" si="32">IF(D$12=0,0,D48/D$12)</f>
        <v>0</v>
      </c>
      <c r="G48" s="1"/>
      <c r="H48" s="1">
        <f>SUM(OSRRefH22_6x_0)</f>
        <v>0</v>
      </c>
      <c r="I48" s="1"/>
      <c r="J48" s="5">
        <f t="shared" ref="J48:J50" si="33">IF(H$12=0,0,H48/H$12)</f>
        <v>0</v>
      </c>
      <c r="K48" s="1"/>
      <c r="L48" s="1">
        <f t="shared" ref="L48:L50" si="34">+D48-H48</f>
        <v>3407.68</v>
      </c>
      <c r="M48" s="1"/>
      <c r="N48" s="5">
        <f t="shared" ref="N48:N50" si="35">IF(H48=0,0,L48/H48)</f>
        <v>0</v>
      </c>
      <c r="O48" s="14"/>
      <c r="P48" s="1">
        <f>SUM(OSRRefP22_6x_0)</f>
        <v>3384.98</v>
      </c>
      <c r="Q48" s="1"/>
      <c r="R48" s="5">
        <f t="shared" ref="R48:R50" si="36">IF(P$12=0,0,P48/P$12)</f>
        <v>0</v>
      </c>
      <c r="S48" s="1"/>
      <c r="T48" s="1">
        <f>SUM(OSRRefT22_6x_0)</f>
        <v>0</v>
      </c>
      <c r="U48" s="1"/>
      <c r="V48" s="5">
        <f t="shared" ref="V48:V50" si="37">IF(T$12=0,0,T48/T$12)</f>
        <v>0</v>
      </c>
      <c r="W48" s="1"/>
      <c r="X48" s="1">
        <f t="shared" ref="X48:X50" si="38">+P48-T48</f>
        <v>3384.98</v>
      </c>
      <c r="Y48" s="1"/>
      <c r="Z48" s="5">
        <f t="shared" ref="Z48:Z50" si="39">IF(T48=0,0,X48/T48)</f>
        <v>0</v>
      </c>
    </row>
    <row r="49" spans="1:26" s="24" customFormat="1" hidden="1" outlineLevel="2" x14ac:dyDescent="0.3">
      <c r="A49" s="27"/>
      <c r="B49" s="11" t="str">
        <f>CONCATENATE("          ", "6382", " - ", "DISCOUNTS/MARK DOWNS")</f>
        <v xml:space="preserve">          6382 - DISCOUNTS/MARK DOWNS</v>
      </c>
      <c r="C49" s="11"/>
      <c r="D49" s="6">
        <v>3410</v>
      </c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3410</v>
      </c>
      <c r="M49" s="2"/>
      <c r="N49" s="7">
        <f t="shared" si="35"/>
        <v>0</v>
      </c>
      <c r="O49" s="11"/>
      <c r="P49" s="6">
        <v>3410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3410</v>
      </c>
      <c r="Y49" s="2"/>
      <c r="Z49" s="7">
        <f t="shared" si="39"/>
        <v>0</v>
      </c>
    </row>
    <row r="50" spans="1:26" s="24" customFormat="1" hidden="1" outlineLevel="2" x14ac:dyDescent="0.3">
      <c r="A50" s="27"/>
      <c r="B50" s="11" t="str">
        <f>CONCATENATE("          ", "9175", " - ", "EARNED DISCOUNTS")</f>
        <v xml:space="preserve">          9175 - EARNED DISCOUNTS</v>
      </c>
      <c r="C50" s="11"/>
      <c r="D50" s="6">
        <v>-2.3199999999999998</v>
      </c>
      <c r="E50" s="2"/>
      <c r="F50" s="7">
        <f t="shared" si="32"/>
        <v>0</v>
      </c>
      <c r="G50" s="2"/>
      <c r="H50" s="6"/>
      <c r="I50" s="2"/>
      <c r="J50" s="7">
        <f t="shared" si="33"/>
        <v>0</v>
      </c>
      <c r="K50" s="2"/>
      <c r="L50" s="6">
        <f t="shared" si="34"/>
        <v>-2.3199999999999998</v>
      </c>
      <c r="M50" s="2"/>
      <c r="N50" s="7">
        <f t="shared" si="35"/>
        <v>0</v>
      </c>
      <c r="O50" s="11"/>
      <c r="P50" s="6">
        <v>-25.02</v>
      </c>
      <c r="Q50" s="2"/>
      <c r="R50" s="7">
        <f t="shared" si="36"/>
        <v>0</v>
      </c>
      <c r="S50" s="2"/>
      <c r="T50" s="6"/>
      <c r="U50" s="2"/>
      <c r="V50" s="7">
        <f t="shared" si="37"/>
        <v>0</v>
      </c>
      <c r="W50" s="2"/>
      <c r="X50" s="6">
        <f t="shared" si="38"/>
        <v>-25.02</v>
      </c>
      <c r="Y50" s="2"/>
      <c r="Z50" s="7">
        <f t="shared" si="39"/>
        <v>0</v>
      </c>
    </row>
    <row r="51" spans="1:26" s="29" customFormat="1" outlineLevel="1" collapsed="1" x14ac:dyDescent="0.3">
      <c r="A51" s="28"/>
      <c r="B51" s="14" t="str">
        <f>CONCATENATE("     ","Donations                                         ")</f>
        <v xml:space="preserve">     Donations                                         </v>
      </c>
      <c r="C51" s="14"/>
      <c r="D51" s="1">
        <f>SUM(OSRRefD22_7x_0)</f>
        <v>1336.74</v>
      </c>
      <c r="E51" s="1"/>
      <c r="F51" s="5">
        <f t="shared" ref="F51:F71" si="40">IF(D$12=0,0,D51/D$12)</f>
        <v>0</v>
      </c>
      <c r="G51" s="1"/>
      <c r="H51" s="1">
        <f>SUM(OSRRefH22_7x_0)</f>
        <v>0</v>
      </c>
      <c r="I51" s="1"/>
      <c r="J51" s="5">
        <f t="shared" ref="J51:J71" si="41">IF(H$12=0,0,H51/H$12)</f>
        <v>0</v>
      </c>
      <c r="K51" s="1"/>
      <c r="L51" s="1">
        <f t="shared" ref="L51:L71" si="42">+D51-H51</f>
        <v>1336.74</v>
      </c>
      <c r="M51" s="1"/>
      <c r="N51" s="5">
        <f t="shared" ref="N51:N71" si="43">IF(H51=0,0,L51/H51)</f>
        <v>0</v>
      </c>
      <c r="O51" s="14"/>
      <c r="P51" s="1">
        <f>SUM(OSRRefP22_7x_0)</f>
        <v>2820.22</v>
      </c>
      <c r="Q51" s="1"/>
      <c r="R51" s="5">
        <f t="shared" ref="R51:R71" si="44">IF(P$12=0,0,P51/P$12)</f>
        <v>0</v>
      </c>
      <c r="S51" s="1"/>
      <c r="T51" s="1">
        <f>SUM(OSRRefT22_7x_0)</f>
        <v>0</v>
      </c>
      <c r="U51" s="1"/>
      <c r="V51" s="5">
        <f t="shared" ref="V51:V71" si="45">IF(T$12=0,0,T51/T$12)</f>
        <v>0</v>
      </c>
      <c r="W51" s="1"/>
      <c r="X51" s="1">
        <f t="shared" ref="X51:X71" si="46">+P51-T51</f>
        <v>2820.22</v>
      </c>
      <c r="Y51" s="1"/>
      <c r="Z51" s="5">
        <f t="shared" ref="Z51:Z71" si="47">IF(T51=0,0,X51/T51)</f>
        <v>0</v>
      </c>
    </row>
    <row r="52" spans="1:26" s="24" customFormat="1" hidden="1" outlineLevel="2" x14ac:dyDescent="0.3">
      <c r="A52" s="27"/>
      <c r="B52" s="11" t="str">
        <f>CONCATENATE("          ", "6399", " - ", "DONATION-ON CAMPUS")</f>
        <v xml:space="preserve">          6399 - DONATION-ON CAMPUS</v>
      </c>
      <c r="C52" s="11"/>
      <c r="D52" s="6">
        <v>1336.74</v>
      </c>
      <c r="E52" s="2"/>
      <c r="F52" s="7">
        <f t="shared" si="40"/>
        <v>0</v>
      </c>
      <c r="G52" s="2"/>
      <c r="H52" s="6"/>
      <c r="I52" s="2"/>
      <c r="J52" s="7">
        <f t="shared" si="41"/>
        <v>0</v>
      </c>
      <c r="K52" s="2"/>
      <c r="L52" s="6">
        <f t="shared" si="42"/>
        <v>1336.74</v>
      </c>
      <c r="M52" s="2"/>
      <c r="N52" s="7">
        <f t="shared" si="43"/>
        <v>0</v>
      </c>
      <c r="O52" s="11"/>
      <c r="P52" s="6">
        <v>2820.22</v>
      </c>
      <c r="Q52" s="2"/>
      <c r="R52" s="7">
        <f t="shared" si="44"/>
        <v>0</v>
      </c>
      <c r="S52" s="2"/>
      <c r="T52" s="6"/>
      <c r="U52" s="2"/>
      <c r="V52" s="7">
        <f t="shared" si="45"/>
        <v>0</v>
      </c>
      <c r="W52" s="2"/>
      <c r="X52" s="6">
        <f t="shared" si="46"/>
        <v>2820.22</v>
      </c>
      <c r="Y52" s="2"/>
      <c r="Z52" s="7">
        <f t="shared" si="47"/>
        <v>0</v>
      </c>
    </row>
    <row r="53" spans="1:26" s="29" customFormat="1" outlineLevel="1" collapsed="1" x14ac:dyDescent="0.3">
      <c r="A53" s="28"/>
      <c r="B53" s="14" t="str">
        <f>CONCATENATE("     ","Employees' Appreciation                           ")</f>
        <v xml:space="preserve">     Employees' Appreciation                           </v>
      </c>
      <c r="C53" s="14"/>
      <c r="D53" s="1">
        <f>SUM(OSRRefD22_8x_0)</f>
        <v>490.02</v>
      </c>
      <c r="E53" s="1"/>
      <c r="F53" s="5">
        <f t="shared" si="40"/>
        <v>0</v>
      </c>
      <c r="G53" s="1"/>
      <c r="H53" s="1">
        <f>SUM(OSRRefH22_8x_0)</f>
        <v>0</v>
      </c>
      <c r="I53" s="1"/>
      <c r="J53" s="5">
        <f t="shared" si="41"/>
        <v>0</v>
      </c>
      <c r="K53" s="1"/>
      <c r="L53" s="1">
        <f t="shared" si="42"/>
        <v>490.02</v>
      </c>
      <c r="M53" s="1"/>
      <c r="N53" s="5">
        <f t="shared" si="43"/>
        <v>0</v>
      </c>
      <c r="O53" s="14"/>
      <c r="P53" s="1">
        <f>SUM(OSRRefP22_8x_0)</f>
        <v>1658.21</v>
      </c>
      <c r="Q53" s="1"/>
      <c r="R53" s="5">
        <f t="shared" si="44"/>
        <v>0</v>
      </c>
      <c r="S53" s="1"/>
      <c r="T53" s="1">
        <f>SUM(OSRRefT22_8x_0)</f>
        <v>0</v>
      </c>
      <c r="U53" s="1"/>
      <c r="V53" s="5">
        <f t="shared" si="45"/>
        <v>0</v>
      </c>
      <c r="W53" s="1"/>
      <c r="X53" s="1">
        <f t="shared" si="46"/>
        <v>1658.21</v>
      </c>
      <c r="Y53" s="1"/>
      <c r="Z53" s="5">
        <f t="shared" si="47"/>
        <v>0</v>
      </c>
    </row>
    <row r="54" spans="1:26" s="24" customFormat="1" hidden="1" outlineLevel="2" x14ac:dyDescent="0.3">
      <c r="A54" s="27"/>
      <c r="B54" s="11" t="str">
        <f>CONCATENATE("          ", "6277", " - ", "EMPLOYEE APPRECIATION")</f>
        <v xml:space="preserve">          6277 - EMPLOYEE APPRECIATION</v>
      </c>
      <c r="C54" s="11"/>
      <c r="D54" s="6">
        <v>490.02</v>
      </c>
      <c r="E54" s="2"/>
      <c r="F54" s="7">
        <f t="shared" si="40"/>
        <v>0</v>
      </c>
      <c r="G54" s="2"/>
      <c r="H54" s="6"/>
      <c r="I54" s="2"/>
      <c r="J54" s="7">
        <f t="shared" si="41"/>
        <v>0</v>
      </c>
      <c r="K54" s="2"/>
      <c r="L54" s="6">
        <f t="shared" si="42"/>
        <v>490.02</v>
      </c>
      <c r="M54" s="2"/>
      <c r="N54" s="7">
        <f t="shared" si="43"/>
        <v>0</v>
      </c>
      <c r="O54" s="11"/>
      <c r="P54" s="6">
        <v>1658.21</v>
      </c>
      <c r="Q54" s="2"/>
      <c r="R54" s="7">
        <f t="shared" si="44"/>
        <v>0</v>
      </c>
      <c r="S54" s="2"/>
      <c r="T54" s="6"/>
      <c r="U54" s="2"/>
      <c r="V54" s="7">
        <f t="shared" si="45"/>
        <v>0</v>
      </c>
      <c r="W54" s="2"/>
      <c r="X54" s="6">
        <f t="shared" si="46"/>
        <v>1658.21</v>
      </c>
      <c r="Y54" s="2"/>
      <c r="Z54" s="7">
        <f t="shared" si="47"/>
        <v>0</v>
      </c>
    </row>
    <row r="55" spans="1:26" s="29" customFormat="1" outlineLevel="1" collapsed="1" x14ac:dyDescent="0.3">
      <c r="A55" s="28"/>
      <c r="B55" s="14" t="str">
        <f>CONCATENATE("     ","Equipment Rental                                  ")</f>
        <v xml:space="preserve">     Equipment Rental                                  </v>
      </c>
      <c r="C55" s="14"/>
      <c r="D55" s="1">
        <f>SUM(OSRRefD22_9x_0)</f>
        <v>415.15</v>
      </c>
      <c r="E55" s="1"/>
      <c r="F55" s="5">
        <f t="shared" si="40"/>
        <v>0</v>
      </c>
      <c r="G55" s="1"/>
      <c r="H55" s="1">
        <f>SUM(OSRRefH22_9x_0)</f>
        <v>415.15</v>
      </c>
      <c r="I55" s="1"/>
      <c r="J55" s="5">
        <f t="shared" si="41"/>
        <v>0</v>
      </c>
      <c r="K55" s="1"/>
      <c r="L55" s="1">
        <f t="shared" si="42"/>
        <v>0</v>
      </c>
      <c r="M55" s="1"/>
      <c r="N55" s="5">
        <f t="shared" si="43"/>
        <v>0</v>
      </c>
      <c r="O55" s="14"/>
      <c r="P55" s="1">
        <f>SUM(OSRRefP22_9x_0)</f>
        <v>1838.95</v>
      </c>
      <c r="Q55" s="1"/>
      <c r="R55" s="5">
        <f t="shared" si="44"/>
        <v>0</v>
      </c>
      <c r="S55" s="1"/>
      <c r="T55" s="1">
        <f>SUM(OSRRefT22_9x_0)</f>
        <v>1104.08</v>
      </c>
      <c r="U55" s="1"/>
      <c r="V55" s="5">
        <f t="shared" si="45"/>
        <v>0</v>
      </c>
      <c r="W55" s="1"/>
      <c r="X55" s="1">
        <f t="shared" si="46"/>
        <v>734.87000000000012</v>
      </c>
      <c r="Y55" s="1"/>
      <c r="Z55" s="5">
        <f t="shared" si="47"/>
        <v>0.66559488442866477</v>
      </c>
    </row>
    <row r="56" spans="1:26" s="24" customFormat="1" hidden="1" outlineLevel="2" x14ac:dyDescent="0.3">
      <c r="A56" s="27"/>
      <c r="B56" s="11" t="str">
        <f>CONCATENATE("          ", "6351", " - ", "EQUIPMENT RENTAL")</f>
        <v xml:space="preserve">          6351 - EQUIPMENT RENTAL</v>
      </c>
      <c r="C56" s="11"/>
      <c r="D56" s="6">
        <v>415.15</v>
      </c>
      <c r="E56" s="2"/>
      <c r="F56" s="7">
        <f t="shared" si="40"/>
        <v>0</v>
      </c>
      <c r="G56" s="2"/>
      <c r="H56" s="6">
        <v>415.15</v>
      </c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1"/>
      <c r="P56" s="6">
        <v>1838.95</v>
      </c>
      <c r="Q56" s="2"/>
      <c r="R56" s="7">
        <f t="shared" si="44"/>
        <v>0</v>
      </c>
      <c r="S56" s="2"/>
      <c r="T56" s="6">
        <v>1104.08</v>
      </c>
      <c r="U56" s="2"/>
      <c r="V56" s="7">
        <f t="shared" si="45"/>
        <v>0</v>
      </c>
      <c r="W56" s="2"/>
      <c r="X56" s="6">
        <f t="shared" si="46"/>
        <v>734.87000000000012</v>
      </c>
      <c r="Y56" s="2"/>
      <c r="Z56" s="7">
        <f t="shared" si="47"/>
        <v>0.66559488442866477</v>
      </c>
    </row>
    <row r="57" spans="1:26" s="29" customFormat="1" outlineLevel="1" collapsed="1" x14ac:dyDescent="0.3">
      <c r="A57" s="28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SUM(OSRRefD22_10x_0)</f>
        <v>7326.06</v>
      </c>
      <c r="E57" s="1"/>
      <c r="F57" s="5">
        <f t="shared" si="40"/>
        <v>0</v>
      </c>
      <c r="G57" s="1"/>
      <c r="H57" s="1">
        <f>SUM(OSRRefH22_10x_0)</f>
        <v>15.95</v>
      </c>
      <c r="I57" s="1"/>
      <c r="J57" s="5">
        <f t="shared" si="41"/>
        <v>0</v>
      </c>
      <c r="K57" s="1"/>
      <c r="L57" s="1">
        <f t="shared" si="42"/>
        <v>7310.1100000000006</v>
      </c>
      <c r="M57" s="1"/>
      <c r="N57" s="5">
        <f t="shared" si="43"/>
        <v>458.31410658307215</v>
      </c>
      <c r="O57" s="14"/>
      <c r="P57" s="1">
        <f>SUM(OSRRefP22_10x_0)</f>
        <v>9490.2900000000009</v>
      </c>
      <c r="Q57" s="1"/>
      <c r="R57" s="5">
        <f t="shared" si="44"/>
        <v>0</v>
      </c>
      <c r="S57" s="1"/>
      <c r="T57" s="1">
        <f>SUM(OSRRefT22_10x_0)</f>
        <v>663.8</v>
      </c>
      <c r="U57" s="1"/>
      <c r="V57" s="5">
        <f t="shared" si="45"/>
        <v>0</v>
      </c>
      <c r="W57" s="1"/>
      <c r="X57" s="1">
        <f t="shared" si="46"/>
        <v>8826.4900000000016</v>
      </c>
      <c r="Y57" s="1"/>
      <c r="Z57" s="5">
        <f t="shared" si="47"/>
        <v>13.296911720397713</v>
      </c>
    </row>
    <row r="58" spans="1:26" s="24" customFormat="1" hidden="1" outlineLevel="2" x14ac:dyDescent="0.3">
      <c r="A58" s="27"/>
      <c r="B58" s="11" t="str">
        <f>CONCATENATE("          ", "6307", " - ", "POSTAGE")</f>
        <v xml:space="preserve">          6307 - POSTAGE</v>
      </c>
      <c r="C58" s="11"/>
      <c r="D58" s="6">
        <v>7326.06</v>
      </c>
      <c r="E58" s="2"/>
      <c r="F58" s="7">
        <f t="shared" si="40"/>
        <v>0</v>
      </c>
      <c r="G58" s="2"/>
      <c r="H58" s="6">
        <v>15.95</v>
      </c>
      <c r="I58" s="2"/>
      <c r="J58" s="7">
        <f t="shared" si="41"/>
        <v>0</v>
      </c>
      <c r="K58" s="2"/>
      <c r="L58" s="6">
        <f t="shared" si="42"/>
        <v>7310.1100000000006</v>
      </c>
      <c r="M58" s="2"/>
      <c r="N58" s="7">
        <f t="shared" si="43"/>
        <v>458.31410658307215</v>
      </c>
      <c r="O58" s="11"/>
      <c r="P58" s="6">
        <v>9490.2900000000009</v>
      </c>
      <c r="Q58" s="2"/>
      <c r="R58" s="7">
        <f t="shared" si="44"/>
        <v>0</v>
      </c>
      <c r="S58" s="2"/>
      <c r="T58" s="6">
        <v>663.8</v>
      </c>
      <c r="U58" s="2"/>
      <c r="V58" s="7">
        <f t="shared" si="45"/>
        <v>0</v>
      </c>
      <c r="W58" s="2"/>
      <c r="X58" s="6">
        <f t="shared" si="46"/>
        <v>8826.4900000000016</v>
      </c>
      <c r="Y58" s="2"/>
      <c r="Z58" s="7">
        <f t="shared" si="47"/>
        <v>13.296911720397713</v>
      </c>
    </row>
    <row r="59" spans="1:26" s="29" customFormat="1" outlineLevel="1" collapsed="1" x14ac:dyDescent="0.3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SUM(OSRRefD22_11x_0)</f>
        <v>0</v>
      </c>
      <c r="E59" s="1"/>
      <c r="F59" s="5">
        <f t="shared" si="40"/>
        <v>0</v>
      </c>
      <c r="G59" s="1"/>
      <c r="H59" s="1">
        <f>SUM(OSRRefH22_11x_0)</f>
        <v>0</v>
      </c>
      <c r="I59" s="1"/>
      <c r="J59" s="5">
        <f t="shared" si="41"/>
        <v>0</v>
      </c>
      <c r="K59" s="1"/>
      <c r="L59" s="1">
        <f t="shared" si="42"/>
        <v>0</v>
      </c>
      <c r="M59" s="1"/>
      <c r="N59" s="5">
        <f t="shared" si="43"/>
        <v>0</v>
      </c>
      <c r="O59" s="14"/>
      <c r="P59" s="1">
        <f>SUM(OSRRefP22_11x_0)</f>
        <v>1874.75</v>
      </c>
      <c r="Q59" s="1"/>
      <c r="R59" s="5">
        <f t="shared" si="44"/>
        <v>0</v>
      </c>
      <c r="S59" s="1"/>
      <c r="T59" s="1">
        <f>SUM(OSRRefT22_11x_0)</f>
        <v>867.81</v>
      </c>
      <c r="U59" s="1"/>
      <c r="V59" s="5">
        <f t="shared" si="45"/>
        <v>0</v>
      </c>
      <c r="W59" s="1"/>
      <c r="X59" s="1">
        <f t="shared" si="46"/>
        <v>1006.94</v>
      </c>
      <c r="Y59" s="1"/>
      <c r="Z59" s="5">
        <f t="shared" si="47"/>
        <v>1.1603231122019799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40"/>
        <v>0</v>
      </c>
      <c r="G60" s="2"/>
      <c r="H60" s="6"/>
      <c r="I60" s="2"/>
      <c r="J60" s="7">
        <f t="shared" si="41"/>
        <v>0</v>
      </c>
      <c r="K60" s="2"/>
      <c r="L60" s="6">
        <f t="shared" si="42"/>
        <v>0</v>
      </c>
      <c r="M60" s="2"/>
      <c r="N60" s="7">
        <f t="shared" si="43"/>
        <v>0</v>
      </c>
      <c r="O60" s="11"/>
      <c r="P60" s="6">
        <v>1874.75</v>
      </c>
      <c r="Q60" s="2"/>
      <c r="R60" s="7">
        <f t="shared" si="44"/>
        <v>0</v>
      </c>
      <c r="S60" s="2"/>
      <c r="T60" s="6">
        <v>867.81</v>
      </c>
      <c r="U60" s="2"/>
      <c r="V60" s="7">
        <f t="shared" si="45"/>
        <v>0</v>
      </c>
      <c r="W60" s="2"/>
      <c r="X60" s="6">
        <f t="shared" si="46"/>
        <v>1006.94</v>
      </c>
      <c r="Y60" s="2"/>
      <c r="Z60" s="7">
        <f t="shared" si="47"/>
        <v>1.1603231122019799</v>
      </c>
    </row>
    <row r="61" spans="1:26" s="29" customFormat="1" outlineLevel="1" collapsed="1" x14ac:dyDescent="0.3">
      <c r="A61" s="28"/>
      <c r="B61" s="14" t="str">
        <f>CONCATENATE("     ","Insurance                                         ")</f>
        <v xml:space="preserve">     Insurance                                         </v>
      </c>
      <c r="C61" s="14"/>
      <c r="D61" s="1">
        <f>SUM(OSRRefD22_12x_0)</f>
        <v>5275.49</v>
      </c>
      <c r="E61" s="1"/>
      <c r="F61" s="5">
        <f t="shared" si="40"/>
        <v>0</v>
      </c>
      <c r="G61" s="1"/>
      <c r="H61" s="1">
        <f>SUM(OSRRefH22_12x_0)</f>
        <v>3883.56</v>
      </c>
      <c r="I61" s="1"/>
      <c r="J61" s="5">
        <f t="shared" si="41"/>
        <v>0</v>
      </c>
      <c r="K61" s="1"/>
      <c r="L61" s="1">
        <f t="shared" si="42"/>
        <v>1391.9299999999998</v>
      </c>
      <c r="M61" s="1"/>
      <c r="N61" s="5">
        <f t="shared" si="43"/>
        <v>0.35841598945297609</v>
      </c>
      <c r="O61" s="14"/>
      <c r="P61" s="1">
        <f>SUM(OSRRefP22_12x_0)</f>
        <v>26377.45</v>
      </c>
      <c r="Q61" s="1"/>
      <c r="R61" s="5">
        <f t="shared" si="44"/>
        <v>0</v>
      </c>
      <c r="S61" s="1"/>
      <c r="T61" s="1">
        <f>SUM(OSRRefT22_12x_0)</f>
        <v>19417.8</v>
      </c>
      <c r="U61" s="1"/>
      <c r="V61" s="5">
        <f t="shared" si="45"/>
        <v>0</v>
      </c>
      <c r="W61" s="1"/>
      <c r="X61" s="1">
        <f t="shared" si="46"/>
        <v>6959.6500000000015</v>
      </c>
      <c r="Y61" s="1"/>
      <c r="Z61" s="5">
        <f t="shared" si="47"/>
        <v>0.3584159894529762</v>
      </c>
    </row>
    <row r="62" spans="1:26" s="24" customFormat="1" hidden="1" outlineLevel="2" x14ac:dyDescent="0.3">
      <c r="A62" s="27"/>
      <c r="B62" s="11" t="str">
        <f>CONCATENATE("          ", "6314", " - ", "LIABILITY INSURANCE")</f>
        <v xml:space="preserve">          6314 - LIABILITY INSURANCE</v>
      </c>
      <c r="C62" s="11"/>
      <c r="D62" s="6">
        <v>5275.49</v>
      </c>
      <c r="E62" s="2"/>
      <c r="F62" s="7">
        <f t="shared" si="40"/>
        <v>0</v>
      </c>
      <c r="G62" s="2"/>
      <c r="H62" s="6">
        <v>3883.56</v>
      </c>
      <c r="I62" s="2"/>
      <c r="J62" s="7">
        <f t="shared" si="41"/>
        <v>0</v>
      </c>
      <c r="K62" s="2"/>
      <c r="L62" s="6">
        <f t="shared" si="42"/>
        <v>1391.9299999999998</v>
      </c>
      <c r="M62" s="2"/>
      <c r="N62" s="7">
        <f t="shared" si="43"/>
        <v>0.35841598945297609</v>
      </c>
      <c r="O62" s="11"/>
      <c r="P62" s="6">
        <v>26377.45</v>
      </c>
      <c r="Q62" s="2"/>
      <c r="R62" s="7">
        <f t="shared" si="44"/>
        <v>0</v>
      </c>
      <c r="S62" s="2"/>
      <c r="T62" s="6">
        <v>19417.8</v>
      </c>
      <c r="U62" s="2"/>
      <c r="V62" s="7">
        <f t="shared" si="45"/>
        <v>0</v>
      </c>
      <c r="W62" s="2"/>
      <c r="X62" s="6">
        <f t="shared" si="46"/>
        <v>6959.6500000000015</v>
      </c>
      <c r="Y62" s="2"/>
      <c r="Z62" s="7">
        <f t="shared" si="47"/>
        <v>0.3584159894529762</v>
      </c>
    </row>
    <row r="63" spans="1:26" s="29" customFormat="1" outlineLevel="1" collapsed="1" x14ac:dyDescent="0.3">
      <c r="A63" s="28"/>
      <c r="B63" s="14" t="str">
        <f>CONCATENATE("     ","Professional Services                             ")</f>
        <v xml:space="preserve">     Professional Services                             </v>
      </c>
      <c r="C63" s="14"/>
      <c r="D63" s="1">
        <f>SUM(OSRRefD22_13x_0)</f>
        <v>0</v>
      </c>
      <c r="E63" s="1"/>
      <c r="F63" s="5">
        <f t="shared" si="40"/>
        <v>0</v>
      </c>
      <c r="G63" s="1"/>
      <c r="H63" s="1">
        <f>SUM(OSRRefH22_13x_0)</f>
        <v>0</v>
      </c>
      <c r="I63" s="1"/>
      <c r="J63" s="5">
        <f t="shared" si="41"/>
        <v>0</v>
      </c>
      <c r="K63" s="1"/>
      <c r="L63" s="1">
        <f t="shared" si="42"/>
        <v>0</v>
      </c>
      <c r="M63" s="1"/>
      <c r="N63" s="5">
        <f t="shared" si="43"/>
        <v>0</v>
      </c>
      <c r="O63" s="14"/>
      <c r="P63" s="1">
        <f>SUM(OSRRefP22_13x_0)</f>
        <v>7517.43</v>
      </c>
      <c r="Q63" s="1"/>
      <c r="R63" s="5">
        <f t="shared" si="44"/>
        <v>0</v>
      </c>
      <c r="S63" s="1"/>
      <c r="T63" s="1">
        <f>SUM(OSRRefT22_13x_0)</f>
        <v>0</v>
      </c>
      <c r="U63" s="1"/>
      <c r="V63" s="5">
        <f t="shared" si="45"/>
        <v>0</v>
      </c>
      <c r="W63" s="1"/>
      <c r="X63" s="1">
        <f t="shared" si="46"/>
        <v>7517.43</v>
      </c>
      <c r="Y63" s="1"/>
      <c r="Z63" s="5">
        <f t="shared" si="47"/>
        <v>0</v>
      </c>
    </row>
    <row r="64" spans="1:26" s="24" customFormat="1" hidden="1" outlineLevel="2" x14ac:dyDescent="0.3">
      <c r="A64" s="27"/>
      <c r="B64" s="11" t="str">
        <f>CONCATENATE("          ", "6336", " - ", "PROFESSIONAL SERVICES")</f>
        <v xml:space="preserve">          6336 - PROFESSIONAL SERVICES</v>
      </c>
      <c r="C64" s="11"/>
      <c r="D64" s="6"/>
      <c r="E64" s="2"/>
      <c r="F64" s="7">
        <f t="shared" si="40"/>
        <v>0</v>
      </c>
      <c r="G64" s="2"/>
      <c r="H64" s="6"/>
      <c r="I64" s="2"/>
      <c r="J64" s="7">
        <f t="shared" si="41"/>
        <v>0</v>
      </c>
      <c r="K64" s="2"/>
      <c r="L64" s="6">
        <f t="shared" si="42"/>
        <v>0</v>
      </c>
      <c r="M64" s="2"/>
      <c r="N64" s="7">
        <f t="shared" si="43"/>
        <v>0</v>
      </c>
      <c r="O64" s="11"/>
      <c r="P64" s="6">
        <v>7517.43</v>
      </c>
      <c r="Q64" s="2"/>
      <c r="R64" s="7">
        <f t="shared" si="44"/>
        <v>0</v>
      </c>
      <c r="S64" s="2"/>
      <c r="T64" s="6"/>
      <c r="U64" s="2"/>
      <c r="V64" s="7">
        <f t="shared" si="45"/>
        <v>0</v>
      </c>
      <c r="W64" s="2"/>
      <c r="X64" s="6">
        <f t="shared" si="46"/>
        <v>7517.43</v>
      </c>
      <c r="Y64" s="2"/>
      <c r="Z64" s="7">
        <f t="shared" si="47"/>
        <v>0</v>
      </c>
    </row>
    <row r="65" spans="1:26" s="29" customFormat="1" outlineLevel="1" collapsed="1" x14ac:dyDescent="0.3">
      <c r="A65" s="28"/>
      <c r="B65" s="14" t="str">
        <f>CONCATENATE("     ","Rent                                              ")</f>
        <v xml:space="preserve">     Rent                                              </v>
      </c>
      <c r="C65" s="14"/>
      <c r="D65" s="1">
        <f>SUM(OSRRefD22_14x_0)</f>
        <v>-800</v>
      </c>
      <c r="E65" s="1"/>
      <c r="F65" s="5">
        <f t="shared" si="40"/>
        <v>0</v>
      </c>
      <c r="G65" s="1"/>
      <c r="H65" s="1">
        <f>SUM(OSRRefH22_14x_0)</f>
        <v>-800</v>
      </c>
      <c r="I65" s="1"/>
      <c r="J65" s="5">
        <f t="shared" si="41"/>
        <v>0</v>
      </c>
      <c r="K65" s="1"/>
      <c r="L65" s="1">
        <f t="shared" si="42"/>
        <v>0</v>
      </c>
      <c r="M65" s="1"/>
      <c r="N65" s="5">
        <f t="shared" si="43"/>
        <v>0</v>
      </c>
      <c r="O65" s="14"/>
      <c r="P65" s="1">
        <f>SUM(OSRRefP22_14x_0)</f>
        <v>-4000</v>
      </c>
      <c r="Q65" s="1"/>
      <c r="R65" s="5">
        <f t="shared" si="44"/>
        <v>0</v>
      </c>
      <c r="S65" s="1"/>
      <c r="T65" s="1">
        <f>SUM(OSRRefT22_14x_0)</f>
        <v>-4000</v>
      </c>
      <c r="U65" s="1"/>
      <c r="V65" s="5">
        <f t="shared" si="45"/>
        <v>0</v>
      </c>
      <c r="W65" s="1"/>
      <c r="X65" s="1">
        <f t="shared" si="46"/>
        <v>0</v>
      </c>
      <c r="Y65" s="1"/>
      <c r="Z65" s="5">
        <f t="shared" si="47"/>
        <v>0</v>
      </c>
    </row>
    <row r="66" spans="1:26" s="24" customFormat="1" hidden="1" outlineLevel="2" x14ac:dyDescent="0.3">
      <c r="A66" s="27"/>
      <c r="B66" s="11" t="str">
        <f>CONCATENATE("          ", "6273", " - ", "RENT")</f>
        <v xml:space="preserve">          6273 - RENT</v>
      </c>
      <c r="C66" s="11"/>
      <c r="D66" s="6">
        <v>-800</v>
      </c>
      <c r="E66" s="2"/>
      <c r="F66" s="7">
        <f t="shared" si="40"/>
        <v>0</v>
      </c>
      <c r="G66" s="2"/>
      <c r="H66" s="6">
        <v>-800</v>
      </c>
      <c r="I66" s="2"/>
      <c r="J66" s="7">
        <f t="shared" si="41"/>
        <v>0</v>
      </c>
      <c r="K66" s="2"/>
      <c r="L66" s="6">
        <f t="shared" si="42"/>
        <v>0</v>
      </c>
      <c r="M66" s="2"/>
      <c r="N66" s="7">
        <f t="shared" si="43"/>
        <v>0</v>
      </c>
      <c r="O66" s="11"/>
      <c r="P66" s="6">
        <v>-4000</v>
      </c>
      <c r="Q66" s="2"/>
      <c r="R66" s="7">
        <f t="shared" si="44"/>
        <v>0</v>
      </c>
      <c r="S66" s="2"/>
      <c r="T66" s="6">
        <v>-4000</v>
      </c>
      <c r="U66" s="2"/>
      <c r="V66" s="7">
        <f t="shared" si="45"/>
        <v>0</v>
      </c>
      <c r="W66" s="2"/>
      <c r="X66" s="6">
        <f t="shared" si="46"/>
        <v>0</v>
      </c>
      <c r="Y66" s="2"/>
      <c r="Z66" s="7">
        <f t="shared" si="47"/>
        <v>0</v>
      </c>
    </row>
    <row r="67" spans="1:26" s="29" customFormat="1" outlineLevel="1" collapsed="1" x14ac:dyDescent="0.3">
      <c r="A67" s="28"/>
      <c r="B67" s="14" t="str">
        <f>CONCATENATE("     ","Repair and Maintenance                            ")</f>
        <v xml:space="preserve">     Repair and Maintenance                            </v>
      </c>
      <c r="C67" s="14"/>
      <c r="D67" s="1">
        <f>SUM(OSRRefD22_15x_0)</f>
        <v>1174.1600000000001</v>
      </c>
      <c r="E67" s="1"/>
      <c r="F67" s="5">
        <f t="shared" si="40"/>
        <v>0</v>
      </c>
      <c r="G67" s="1"/>
      <c r="H67" s="1">
        <f>SUM(OSRRefH22_15x_0)</f>
        <v>2812.5</v>
      </c>
      <c r="I67" s="1"/>
      <c r="J67" s="5">
        <f t="shared" si="41"/>
        <v>0</v>
      </c>
      <c r="K67" s="1"/>
      <c r="L67" s="1">
        <f t="shared" si="42"/>
        <v>-1638.34</v>
      </c>
      <c r="M67" s="1"/>
      <c r="N67" s="5">
        <f t="shared" si="43"/>
        <v>-0.58252088888888887</v>
      </c>
      <c r="O67" s="14"/>
      <c r="P67" s="1">
        <f>SUM(OSRRefP22_15x_0)</f>
        <v>71155.72</v>
      </c>
      <c r="Q67" s="1"/>
      <c r="R67" s="5">
        <f t="shared" si="44"/>
        <v>0</v>
      </c>
      <c r="S67" s="1"/>
      <c r="T67" s="1">
        <f>SUM(OSRRefT22_15x_0)</f>
        <v>76336.72</v>
      </c>
      <c r="U67" s="1"/>
      <c r="V67" s="5">
        <f t="shared" si="45"/>
        <v>0</v>
      </c>
      <c r="W67" s="1"/>
      <c r="X67" s="1">
        <f t="shared" si="46"/>
        <v>-5181</v>
      </c>
      <c r="Y67" s="1"/>
      <c r="Z67" s="5">
        <f t="shared" si="47"/>
        <v>-6.7870351254284964E-2</v>
      </c>
    </row>
    <row r="68" spans="1:26" s="24" customFormat="1" hidden="1" outlineLevel="2" x14ac:dyDescent="0.3">
      <c r="A68" s="27"/>
      <c r="B68" s="11" t="str">
        <f>CONCATENATE("          ", "6371", " - ", "COMPUTER SOFTWARE MAINTENANCE")</f>
        <v xml:space="preserve">          6371 - COMPUTER SOFTWARE MAINTENANCE</v>
      </c>
      <c r="C68" s="11"/>
      <c r="D68" s="6"/>
      <c r="E68" s="2"/>
      <c r="F68" s="7">
        <f t="shared" si="40"/>
        <v>0</v>
      </c>
      <c r="G68" s="2"/>
      <c r="H68" s="6"/>
      <c r="I68" s="2"/>
      <c r="J68" s="7">
        <f t="shared" si="41"/>
        <v>0</v>
      </c>
      <c r="K68" s="2"/>
      <c r="L68" s="6">
        <f t="shared" si="42"/>
        <v>0</v>
      </c>
      <c r="M68" s="2"/>
      <c r="N68" s="7">
        <f t="shared" si="43"/>
        <v>0</v>
      </c>
      <c r="O68" s="11"/>
      <c r="P68" s="6">
        <v>56736</v>
      </c>
      <c r="Q68" s="2"/>
      <c r="R68" s="7">
        <f t="shared" si="44"/>
        <v>0</v>
      </c>
      <c r="S68" s="2"/>
      <c r="T68" s="6">
        <v>58428.78</v>
      </c>
      <c r="U68" s="2"/>
      <c r="V68" s="7">
        <f t="shared" si="45"/>
        <v>0</v>
      </c>
      <c r="W68" s="2"/>
      <c r="X68" s="6">
        <f t="shared" si="46"/>
        <v>-1692.7799999999988</v>
      </c>
      <c r="Y68" s="2"/>
      <c r="Z68" s="7">
        <f t="shared" si="47"/>
        <v>-2.8971681421381703E-2</v>
      </c>
    </row>
    <row r="69" spans="1:26" s="24" customFormat="1" hidden="1" outlineLevel="2" x14ac:dyDescent="0.3">
      <c r="A69" s="27"/>
      <c r="B69" s="11" t="str">
        <f>CONCATENATE("          ", "6372", " - ", "COMPUTER HARDWARE MAINTENANCE")</f>
        <v xml:space="preserve">          6372 - COMPUTER HARDWARE MAINTENANCE</v>
      </c>
      <c r="C69" s="11"/>
      <c r="D69" s="6"/>
      <c r="E69" s="2"/>
      <c r="F69" s="7">
        <f t="shared" si="40"/>
        <v>0</v>
      </c>
      <c r="G69" s="2"/>
      <c r="H69" s="6"/>
      <c r="I69" s="2"/>
      <c r="J69" s="7">
        <f t="shared" si="41"/>
        <v>0</v>
      </c>
      <c r="K69" s="2"/>
      <c r="L69" s="6">
        <f t="shared" si="42"/>
        <v>0</v>
      </c>
      <c r="M69" s="2"/>
      <c r="N69" s="7">
        <f t="shared" si="43"/>
        <v>0</v>
      </c>
      <c r="O69" s="11"/>
      <c r="P69" s="6"/>
      <c r="Q69" s="2"/>
      <c r="R69" s="7">
        <f t="shared" si="44"/>
        <v>0</v>
      </c>
      <c r="S69" s="2"/>
      <c r="T69" s="6">
        <v>0</v>
      </c>
      <c r="U69" s="2"/>
      <c r="V69" s="7">
        <f t="shared" si="45"/>
        <v>0</v>
      </c>
      <c r="W69" s="2"/>
      <c r="X69" s="6">
        <f t="shared" si="46"/>
        <v>0</v>
      </c>
      <c r="Y69" s="2"/>
      <c r="Z69" s="7">
        <f t="shared" si="47"/>
        <v>0</v>
      </c>
    </row>
    <row r="70" spans="1:26" s="24" customFormat="1" hidden="1" outlineLevel="2" x14ac:dyDescent="0.3">
      <c r="A70" s="27"/>
      <c r="B70" s="11" t="str">
        <f>CONCATENATE("          ", "6373", " - ", "MAINTENANCE CONTRACTS")</f>
        <v xml:space="preserve">          6373 - MAINTENANCE CONTRACTS</v>
      </c>
      <c r="C70" s="11"/>
      <c r="D70" s="6">
        <v>15.4</v>
      </c>
      <c r="E70" s="2"/>
      <c r="F70" s="7">
        <f t="shared" si="40"/>
        <v>0</v>
      </c>
      <c r="G70" s="2"/>
      <c r="H70" s="6">
        <v>18.010000000000002</v>
      </c>
      <c r="I70" s="2"/>
      <c r="J70" s="7">
        <f t="shared" si="41"/>
        <v>0</v>
      </c>
      <c r="K70" s="2"/>
      <c r="L70" s="6">
        <f t="shared" si="42"/>
        <v>-2.6100000000000012</v>
      </c>
      <c r="M70" s="2"/>
      <c r="N70" s="7">
        <f t="shared" si="43"/>
        <v>-0.14491948917268191</v>
      </c>
      <c r="O70" s="11"/>
      <c r="P70" s="6">
        <v>7238.44</v>
      </c>
      <c r="Q70" s="2"/>
      <c r="R70" s="7">
        <f t="shared" si="44"/>
        <v>0</v>
      </c>
      <c r="S70" s="2"/>
      <c r="T70" s="6">
        <v>6216.38</v>
      </c>
      <c r="U70" s="2"/>
      <c r="V70" s="7">
        <f t="shared" si="45"/>
        <v>0</v>
      </c>
      <c r="W70" s="2"/>
      <c r="X70" s="6">
        <f t="shared" si="46"/>
        <v>1022.0599999999995</v>
      </c>
      <c r="Y70" s="2"/>
      <c r="Z70" s="7">
        <f t="shared" si="47"/>
        <v>0.16441401587419036</v>
      </c>
    </row>
    <row r="71" spans="1:26" s="24" customFormat="1" hidden="1" outlineLevel="2" x14ac:dyDescent="0.3">
      <c r="A71" s="27"/>
      <c r="B71" s="11" t="str">
        <f>CONCATENATE("          ", "6375", " - ", "OUTSIDE REPAIRS &amp; MAINTENANCE")</f>
        <v xml:space="preserve">          6375 - OUTSIDE REPAIRS &amp; MAINTENANCE</v>
      </c>
      <c r="C71" s="11"/>
      <c r="D71" s="6">
        <v>1158.76</v>
      </c>
      <c r="E71" s="2"/>
      <c r="F71" s="7">
        <f t="shared" si="40"/>
        <v>0</v>
      </c>
      <c r="G71" s="2"/>
      <c r="H71" s="6">
        <v>2794.49</v>
      </c>
      <c r="I71" s="2"/>
      <c r="J71" s="7">
        <f t="shared" si="41"/>
        <v>0</v>
      </c>
      <c r="K71" s="2"/>
      <c r="L71" s="6">
        <f t="shared" si="42"/>
        <v>-1635.7299999999998</v>
      </c>
      <c r="M71" s="2"/>
      <c r="N71" s="7">
        <f t="shared" si="43"/>
        <v>-0.58534115348417781</v>
      </c>
      <c r="O71" s="11"/>
      <c r="P71" s="6">
        <v>7181.28</v>
      </c>
      <c r="Q71" s="2"/>
      <c r="R71" s="7">
        <f t="shared" si="44"/>
        <v>0</v>
      </c>
      <c r="S71" s="2"/>
      <c r="T71" s="6">
        <v>11691.56</v>
      </c>
      <c r="U71" s="2"/>
      <c r="V71" s="7">
        <f t="shared" si="45"/>
        <v>0</v>
      </c>
      <c r="W71" s="2"/>
      <c r="X71" s="6">
        <f t="shared" si="46"/>
        <v>-4510.28</v>
      </c>
      <c r="Y71" s="2"/>
      <c r="Z71" s="7">
        <f t="shared" si="47"/>
        <v>-0.38577230070238699</v>
      </c>
    </row>
    <row r="72" spans="1:26" s="29" customFormat="1" outlineLevel="1" collapsed="1" x14ac:dyDescent="0.3">
      <c r="A72" s="28"/>
      <c r="B72" s="14" t="str">
        <f>CONCATENATE("     ","Services                                          ")</f>
        <v xml:space="preserve">     Services                                          </v>
      </c>
      <c r="C72" s="14"/>
      <c r="D72" s="1">
        <f>SUM(OSRRefD22_16x_0)</f>
        <v>4214.8099999999995</v>
      </c>
      <c r="E72" s="1"/>
      <c r="F72" s="5">
        <f t="shared" ref="F72:F75" si="48">IF(D$12=0,0,D72/D$12)</f>
        <v>0</v>
      </c>
      <c r="G72" s="1"/>
      <c r="H72" s="1">
        <f>SUM(OSRRefH22_16x_0)</f>
        <v>3873.95</v>
      </c>
      <c r="I72" s="1"/>
      <c r="J72" s="5">
        <f t="shared" ref="J72:J75" si="49">IF(H$12=0,0,H72/H$12)</f>
        <v>0</v>
      </c>
      <c r="K72" s="1"/>
      <c r="L72" s="1">
        <f t="shared" ref="L72:L75" si="50">+D72-H72</f>
        <v>340.85999999999967</v>
      </c>
      <c r="M72" s="1"/>
      <c r="N72" s="5">
        <f t="shared" ref="N72:N75" si="51">IF(H72=0,0,L72/H72)</f>
        <v>8.7987712799597231E-2</v>
      </c>
      <c r="O72" s="14"/>
      <c r="P72" s="1">
        <f>SUM(OSRRefP22_16x_0)</f>
        <v>26993.67</v>
      </c>
      <c r="Q72" s="1"/>
      <c r="R72" s="5">
        <f t="shared" ref="R72:R75" si="52">IF(P$12=0,0,P72/P$12)</f>
        <v>0</v>
      </c>
      <c r="S72" s="1"/>
      <c r="T72" s="1">
        <f>SUM(OSRRefT22_16x_0)</f>
        <v>16702.810000000001</v>
      </c>
      <c r="U72" s="1"/>
      <c r="V72" s="5">
        <f t="shared" ref="V72:V75" si="53">IF(T$12=0,0,T72/T$12)</f>
        <v>0</v>
      </c>
      <c r="W72" s="1"/>
      <c r="X72" s="1">
        <f t="shared" ref="X72:X75" si="54">+P72-T72</f>
        <v>10290.859999999997</v>
      </c>
      <c r="Y72" s="1"/>
      <c r="Z72" s="5">
        <f t="shared" ref="Z72:Z75" si="55">IF(T72=0,0,X72/T72)</f>
        <v>0.61611549194416959</v>
      </c>
    </row>
    <row r="73" spans="1:26" s="24" customFormat="1" hidden="1" outlineLevel="2" x14ac:dyDescent="0.3">
      <c r="A73" s="27"/>
      <c r="B73" s="11" t="str">
        <f>CONCATENATE("          ", "6282", " - ", "JANITORIAL/EXTERMINATOR EXPENS")</f>
        <v xml:space="preserve">          6282 - JANITORIAL/EXTERMINATOR EXPENS</v>
      </c>
      <c r="C73" s="11"/>
      <c r="D73" s="6">
        <v>129</v>
      </c>
      <c r="E73" s="2"/>
      <c r="F73" s="7">
        <f t="shared" si="48"/>
        <v>0</v>
      </c>
      <c r="G73" s="2"/>
      <c r="H73" s="6">
        <v>222.5</v>
      </c>
      <c r="I73" s="2"/>
      <c r="J73" s="7">
        <f t="shared" si="49"/>
        <v>0</v>
      </c>
      <c r="K73" s="2"/>
      <c r="L73" s="6">
        <f t="shared" si="50"/>
        <v>-93.5</v>
      </c>
      <c r="M73" s="2"/>
      <c r="N73" s="7">
        <f t="shared" si="51"/>
        <v>-0.42022471910112358</v>
      </c>
      <c r="O73" s="11"/>
      <c r="P73" s="6">
        <v>1366.08</v>
      </c>
      <c r="Q73" s="2"/>
      <c r="R73" s="7">
        <f t="shared" si="52"/>
        <v>0</v>
      </c>
      <c r="S73" s="2"/>
      <c r="T73" s="6">
        <v>5164.12</v>
      </c>
      <c r="U73" s="2"/>
      <c r="V73" s="7">
        <f t="shared" si="53"/>
        <v>0</v>
      </c>
      <c r="W73" s="2"/>
      <c r="X73" s="6">
        <f t="shared" si="54"/>
        <v>-3798.04</v>
      </c>
      <c r="Y73" s="2"/>
      <c r="Z73" s="7">
        <f t="shared" si="55"/>
        <v>-0.73546703020069248</v>
      </c>
    </row>
    <row r="74" spans="1:26" s="24" customFormat="1" hidden="1" outlineLevel="2" x14ac:dyDescent="0.3">
      <c r="A74" s="27"/>
      <c r="B74" s="11" t="str">
        <f>CONCATENATE("          ", "6283", " - ", "PLANT SERVICE")</f>
        <v xml:space="preserve">          6283 - PLANT SERVICE</v>
      </c>
      <c r="C74" s="11"/>
      <c r="D74" s="6"/>
      <c r="E74" s="2"/>
      <c r="F74" s="7">
        <f t="shared" si="48"/>
        <v>0</v>
      </c>
      <c r="G74" s="2"/>
      <c r="H74" s="6"/>
      <c r="I74" s="2"/>
      <c r="J74" s="7">
        <f t="shared" si="49"/>
        <v>0</v>
      </c>
      <c r="K74" s="2"/>
      <c r="L74" s="6">
        <f t="shared" si="50"/>
        <v>0</v>
      </c>
      <c r="M74" s="2"/>
      <c r="N74" s="7">
        <f t="shared" si="51"/>
        <v>0</v>
      </c>
      <c r="O74" s="11"/>
      <c r="P74" s="6"/>
      <c r="Q74" s="2"/>
      <c r="R74" s="7">
        <f t="shared" si="52"/>
        <v>0</v>
      </c>
      <c r="S74" s="2"/>
      <c r="T74" s="6">
        <v>130</v>
      </c>
      <c r="U74" s="2"/>
      <c r="V74" s="7">
        <f t="shared" si="53"/>
        <v>0</v>
      </c>
      <c r="W74" s="2"/>
      <c r="X74" s="6">
        <f t="shared" si="54"/>
        <v>-130</v>
      </c>
      <c r="Y74" s="2"/>
      <c r="Z74" s="7">
        <f t="shared" si="55"/>
        <v>-1</v>
      </c>
    </row>
    <row r="75" spans="1:26" s="24" customFormat="1" hidden="1" outlineLevel="2" x14ac:dyDescent="0.3">
      <c r="A75" s="27"/>
      <c r="B75" s="11" t="str">
        <f>CONCATENATE("          ", "6285", " - ", "JANITORIAL SERVICES")</f>
        <v xml:space="preserve">          6285 - JANITORIAL SERVICES</v>
      </c>
      <c r="C75" s="11"/>
      <c r="D75" s="6">
        <v>4085.81</v>
      </c>
      <c r="E75" s="2"/>
      <c r="F75" s="7">
        <f t="shared" si="48"/>
        <v>0</v>
      </c>
      <c r="G75" s="2"/>
      <c r="H75" s="6">
        <v>3651.45</v>
      </c>
      <c r="I75" s="2"/>
      <c r="J75" s="7">
        <f t="shared" si="49"/>
        <v>0</v>
      </c>
      <c r="K75" s="2"/>
      <c r="L75" s="6">
        <f t="shared" si="50"/>
        <v>434.36000000000013</v>
      </c>
      <c r="M75" s="2"/>
      <c r="N75" s="7">
        <f t="shared" si="51"/>
        <v>0.11895548343808628</v>
      </c>
      <c r="O75" s="11"/>
      <c r="P75" s="6">
        <v>25627.59</v>
      </c>
      <c r="Q75" s="2"/>
      <c r="R75" s="7">
        <f t="shared" si="52"/>
        <v>0</v>
      </c>
      <c r="S75" s="2"/>
      <c r="T75" s="6">
        <v>11408.69</v>
      </c>
      <c r="U75" s="2"/>
      <c r="V75" s="7">
        <f t="shared" si="53"/>
        <v>0</v>
      </c>
      <c r="W75" s="2"/>
      <c r="X75" s="6">
        <f t="shared" si="54"/>
        <v>14218.9</v>
      </c>
      <c r="Y75" s="2"/>
      <c r="Z75" s="7">
        <f t="shared" si="55"/>
        <v>1.2463218827052009</v>
      </c>
    </row>
    <row r="76" spans="1:26" s="29" customFormat="1" outlineLevel="1" collapsed="1" x14ac:dyDescent="0.3">
      <c r="A76" s="28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1">
        <f>SUM(OSRRefD22_17x_0)</f>
        <v>0</v>
      </c>
      <c r="E76" s="1"/>
      <c r="F76" s="5">
        <f t="shared" ref="F76:F84" si="56">IF(D$12=0,0,D76/D$12)</f>
        <v>0</v>
      </c>
      <c r="G76" s="1"/>
      <c r="H76" s="1">
        <f>SUM(OSRRefH22_17x_0)</f>
        <v>0</v>
      </c>
      <c r="I76" s="1"/>
      <c r="J76" s="5">
        <f t="shared" ref="J76:J84" si="57">IF(H$12=0,0,H76/H$12)</f>
        <v>0</v>
      </c>
      <c r="K76" s="1"/>
      <c r="L76" s="1">
        <f t="shared" ref="L76:L84" si="58">+D76-H76</f>
        <v>0</v>
      </c>
      <c r="M76" s="1"/>
      <c r="N76" s="5">
        <f t="shared" ref="N76:N84" si="59">IF(H76=0,0,L76/H76)</f>
        <v>0</v>
      </c>
      <c r="O76" s="14"/>
      <c r="P76" s="1">
        <f>SUM(OSRRefP22_17x_0)</f>
        <v>-120</v>
      </c>
      <c r="Q76" s="1"/>
      <c r="R76" s="5">
        <f t="shared" ref="R76:R84" si="60">IF(P$12=0,0,P76/P$12)</f>
        <v>0</v>
      </c>
      <c r="S76" s="1"/>
      <c r="T76" s="1">
        <f>SUM(OSRRefT22_17x_0)</f>
        <v>0</v>
      </c>
      <c r="U76" s="1"/>
      <c r="V76" s="5">
        <f t="shared" ref="V76:V84" si="61">IF(T$12=0,0,T76/T$12)</f>
        <v>0</v>
      </c>
      <c r="W76" s="1"/>
      <c r="X76" s="1">
        <f t="shared" ref="X76:X84" si="62">+P76-T76</f>
        <v>-120</v>
      </c>
      <c r="Y76" s="1"/>
      <c r="Z76" s="5">
        <f t="shared" ref="Z76:Z84" si="63">IF(T76=0,0,X76/T76)</f>
        <v>0</v>
      </c>
    </row>
    <row r="77" spans="1:26" s="24" customFormat="1" hidden="1" outlineLevel="2" x14ac:dyDescent="0.3">
      <c r="A77" s="27"/>
      <c r="B77" s="11" t="str">
        <f>CONCATENATE("          ", "6258", " - ", "MEMBERSHIP DUES")</f>
        <v xml:space="preserve">          6258 - MEMBERSHIP DUES</v>
      </c>
      <c r="C77" s="11"/>
      <c r="D77" s="6"/>
      <c r="E77" s="2"/>
      <c r="F77" s="7">
        <f t="shared" si="56"/>
        <v>0</v>
      </c>
      <c r="G77" s="2"/>
      <c r="H77" s="6"/>
      <c r="I77" s="2"/>
      <c r="J77" s="7">
        <f t="shared" si="57"/>
        <v>0</v>
      </c>
      <c r="K77" s="2"/>
      <c r="L77" s="6">
        <f t="shared" si="58"/>
        <v>0</v>
      </c>
      <c r="M77" s="2"/>
      <c r="N77" s="7">
        <f t="shared" si="59"/>
        <v>0</v>
      </c>
      <c r="O77" s="11"/>
      <c r="P77" s="6">
        <v>-120</v>
      </c>
      <c r="Q77" s="2"/>
      <c r="R77" s="7">
        <f t="shared" si="60"/>
        <v>0</v>
      </c>
      <c r="S77" s="2"/>
      <c r="T77" s="6"/>
      <c r="U77" s="2"/>
      <c r="V77" s="7">
        <f t="shared" si="61"/>
        <v>0</v>
      </c>
      <c r="W77" s="2"/>
      <c r="X77" s="6">
        <f t="shared" si="62"/>
        <v>-120</v>
      </c>
      <c r="Y77" s="2"/>
      <c r="Z77" s="7">
        <f t="shared" si="63"/>
        <v>0</v>
      </c>
    </row>
    <row r="78" spans="1:26" s="29" customFormat="1" outlineLevel="1" collapsed="1" x14ac:dyDescent="0.3">
      <c r="A78" s="28"/>
      <c r="B78" s="14" t="str">
        <f>CONCATENATE("     ","Supplies                                          ")</f>
        <v xml:space="preserve">     Supplies                                          </v>
      </c>
      <c r="C78" s="14"/>
      <c r="D78" s="1">
        <f>SUM(OSRRefD22_18x_0)</f>
        <v>4528.7700000000004</v>
      </c>
      <c r="E78" s="1"/>
      <c r="F78" s="5">
        <f t="shared" si="56"/>
        <v>0</v>
      </c>
      <c r="G78" s="1"/>
      <c r="H78" s="1">
        <f>SUM(OSRRefH22_18x_0)</f>
        <v>11705.53</v>
      </c>
      <c r="I78" s="1"/>
      <c r="J78" s="5">
        <f t="shared" si="57"/>
        <v>0</v>
      </c>
      <c r="K78" s="1"/>
      <c r="L78" s="1">
        <f t="shared" si="58"/>
        <v>-7176.76</v>
      </c>
      <c r="M78" s="1"/>
      <c r="N78" s="5">
        <f t="shared" si="59"/>
        <v>-0.61310850512535531</v>
      </c>
      <c r="O78" s="14"/>
      <c r="P78" s="1">
        <f>SUM(OSRRefP22_18x_0)</f>
        <v>17926.75</v>
      </c>
      <c r="Q78" s="1"/>
      <c r="R78" s="5">
        <f t="shared" si="60"/>
        <v>0</v>
      </c>
      <c r="S78" s="1"/>
      <c r="T78" s="1">
        <f>SUM(OSRRefT22_18x_0)</f>
        <v>41896.39</v>
      </c>
      <c r="U78" s="1"/>
      <c r="V78" s="5">
        <f t="shared" si="61"/>
        <v>0</v>
      </c>
      <c r="W78" s="1"/>
      <c r="X78" s="1">
        <f t="shared" si="62"/>
        <v>-23969.64</v>
      </c>
      <c r="Y78" s="1"/>
      <c r="Z78" s="5">
        <f t="shared" si="63"/>
        <v>-0.57211707261651901</v>
      </c>
    </row>
    <row r="79" spans="1:26" s="24" customFormat="1" hidden="1" outlineLevel="2" x14ac:dyDescent="0.3">
      <c r="A79" s="27"/>
      <c r="B79" s="11" t="str">
        <f>CONCATENATE("          ", "6234", " - ", "EXPENDABLE SUPPLIES &amp; EQUIPMEN")</f>
        <v xml:space="preserve">          6234 - EXPENDABLE SUPPLIES &amp; EQUIPMEN</v>
      </c>
      <c r="C79" s="11"/>
      <c r="D79" s="6">
        <v>2701.13</v>
      </c>
      <c r="E79" s="2"/>
      <c r="F79" s="7">
        <f t="shared" si="56"/>
        <v>0</v>
      </c>
      <c r="G79" s="2"/>
      <c r="H79" s="6">
        <v>-550.67999999999995</v>
      </c>
      <c r="I79" s="2"/>
      <c r="J79" s="7">
        <f t="shared" si="57"/>
        <v>0</v>
      </c>
      <c r="K79" s="2"/>
      <c r="L79" s="6">
        <f t="shared" si="58"/>
        <v>3251.81</v>
      </c>
      <c r="M79" s="2"/>
      <c r="N79" s="7">
        <f t="shared" si="59"/>
        <v>-5.9050809907750423</v>
      </c>
      <c r="O79" s="11"/>
      <c r="P79" s="6">
        <v>3896.02</v>
      </c>
      <c r="Q79" s="2"/>
      <c r="R79" s="7">
        <f t="shared" si="60"/>
        <v>0</v>
      </c>
      <c r="S79" s="2"/>
      <c r="T79" s="6">
        <v>-449.34</v>
      </c>
      <c r="U79" s="2"/>
      <c r="V79" s="7">
        <f t="shared" si="61"/>
        <v>0</v>
      </c>
      <c r="W79" s="2"/>
      <c r="X79" s="6">
        <f t="shared" si="62"/>
        <v>4345.3599999999997</v>
      </c>
      <c r="Y79" s="2"/>
      <c r="Z79" s="7">
        <f t="shared" si="63"/>
        <v>-9.6705390127742916</v>
      </c>
    </row>
    <row r="80" spans="1:26" s="24" customFormat="1" hidden="1" outlineLevel="2" x14ac:dyDescent="0.3">
      <c r="A80" s="27"/>
      <c r="B80" s="11" t="str">
        <f>CONCATENATE("          ", "6235", " - ", "COVID-19 EXPENSES")</f>
        <v xml:space="preserve">          6235 - COVID-19 EXPENSES</v>
      </c>
      <c r="C80" s="11"/>
      <c r="D80" s="6"/>
      <c r="E80" s="2"/>
      <c r="F80" s="7">
        <f t="shared" si="56"/>
        <v>0</v>
      </c>
      <c r="G80" s="2"/>
      <c r="H80" s="6">
        <v>2491.79</v>
      </c>
      <c r="I80" s="2"/>
      <c r="J80" s="7">
        <f t="shared" si="57"/>
        <v>0</v>
      </c>
      <c r="K80" s="2"/>
      <c r="L80" s="6">
        <f t="shared" si="58"/>
        <v>-2491.79</v>
      </c>
      <c r="M80" s="2"/>
      <c r="N80" s="7">
        <f t="shared" si="59"/>
        <v>-1</v>
      </c>
      <c r="O80" s="11"/>
      <c r="P80" s="6">
        <v>3430.32</v>
      </c>
      <c r="Q80" s="2"/>
      <c r="R80" s="7">
        <f t="shared" si="60"/>
        <v>0</v>
      </c>
      <c r="S80" s="2"/>
      <c r="T80" s="6">
        <v>26409.29</v>
      </c>
      <c r="U80" s="2"/>
      <c r="V80" s="7">
        <f t="shared" si="61"/>
        <v>0</v>
      </c>
      <c r="W80" s="2"/>
      <c r="X80" s="6">
        <f t="shared" si="62"/>
        <v>-22978.97</v>
      </c>
      <c r="Y80" s="2"/>
      <c r="Z80" s="7">
        <f t="shared" si="63"/>
        <v>-0.87010934409823215</v>
      </c>
    </row>
    <row r="81" spans="1:26" s="24" customFormat="1" hidden="1" outlineLevel="2" x14ac:dyDescent="0.3">
      <c r="A81" s="27"/>
      <c r="B81" s="11" t="str">
        <f>CONCATENATE("          ", "6237", " - ", "JANITORIAL SUPPLIES")</f>
        <v xml:space="preserve">          6237 - JANITORIAL SUPPLIES</v>
      </c>
      <c r="C81" s="11"/>
      <c r="D81" s="6">
        <v>489.67</v>
      </c>
      <c r="E81" s="2"/>
      <c r="F81" s="7">
        <f t="shared" si="56"/>
        <v>0</v>
      </c>
      <c r="G81" s="2"/>
      <c r="H81" s="6">
        <v>246.99</v>
      </c>
      <c r="I81" s="2"/>
      <c r="J81" s="7">
        <f t="shared" si="57"/>
        <v>0</v>
      </c>
      <c r="K81" s="2"/>
      <c r="L81" s="6">
        <f t="shared" si="58"/>
        <v>242.68</v>
      </c>
      <c r="M81" s="2"/>
      <c r="N81" s="7">
        <f t="shared" si="59"/>
        <v>0.98254990080570059</v>
      </c>
      <c r="O81" s="11"/>
      <c r="P81" s="6">
        <v>3788.97</v>
      </c>
      <c r="Q81" s="2"/>
      <c r="R81" s="7">
        <f t="shared" si="60"/>
        <v>0</v>
      </c>
      <c r="S81" s="2"/>
      <c r="T81" s="6">
        <v>1303.6099999999999</v>
      </c>
      <c r="U81" s="2"/>
      <c r="V81" s="7">
        <f t="shared" si="61"/>
        <v>0</v>
      </c>
      <c r="W81" s="2"/>
      <c r="X81" s="6">
        <f t="shared" si="62"/>
        <v>2485.3599999999997</v>
      </c>
      <c r="Y81" s="2"/>
      <c r="Z81" s="7">
        <f t="shared" si="63"/>
        <v>1.9065211221147429</v>
      </c>
    </row>
    <row r="82" spans="1:26" s="24" customFormat="1" hidden="1" outlineLevel="2" x14ac:dyDescent="0.3">
      <c r="A82" s="27"/>
      <c r="B82" s="11" t="str">
        <f>CONCATENATE("          ", "6241", " - ", "OFFICE EXPENSE")</f>
        <v xml:space="preserve">          6241 - OFFICE EXPENSE</v>
      </c>
      <c r="C82" s="11"/>
      <c r="D82" s="6">
        <v>133.27000000000001</v>
      </c>
      <c r="E82" s="2"/>
      <c r="F82" s="7">
        <f t="shared" si="56"/>
        <v>0</v>
      </c>
      <c r="G82" s="2"/>
      <c r="H82" s="6">
        <v>4.84</v>
      </c>
      <c r="I82" s="2"/>
      <c r="J82" s="7">
        <f t="shared" si="57"/>
        <v>0</v>
      </c>
      <c r="K82" s="2"/>
      <c r="L82" s="6">
        <f t="shared" si="58"/>
        <v>128.43</v>
      </c>
      <c r="M82" s="2"/>
      <c r="N82" s="7">
        <f t="shared" si="59"/>
        <v>26.535123966942152</v>
      </c>
      <c r="O82" s="11"/>
      <c r="P82" s="6">
        <v>826.73</v>
      </c>
      <c r="Q82" s="2"/>
      <c r="R82" s="7">
        <f t="shared" si="60"/>
        <v>0</v>
      </c>
      <c r="S82" s="2"/>
      <c r="T82" s="6">
        <v>2226.79</v>
      </c>
      <c r="U82" s="2"/>
      <c r="V82" s="7">
        <f t="shared" si="61"/>
        <v>0</v>
      </c>
      <c r="W82" s="2"/>
      <c r="X82" s="6">
        <f t="shared" si="62"/>
        <v>-1400.06</v>
      </c>
      <c r="Y82" s="2"/>
      <c r="Z82" s="7">
        <f t="shared" si="63"/>
        <v>-0.62873463595579282</v>
      </c>
    </row>
    <row r="83" spans="1:26" s="24" customFormat="1" hidden="1" outlineLevel="2" x14ac:dyDescent="0.3">
      <c r="A83" s="27"/>
      <c r="B83" s="11" t="str">
        <f>CONCATENATE("          ", "6245", " - ", "PRINTING")</f>
        <v xml:space="preserve">          6245 - PRINTING</v>
      </c>
      <c r="C83" s="11"/>
      <c r="D83" s="6">
        <v>460.28</v>
      </c>
      <c r="E83" s="2"/>
      <c r="F83" s="7">
        <f t="shared" si="56"/>
        <v>0</v>
      </c>
      <c r="G83" s="2"/>
      <c r="H83" s="6"/>
      <c r="I83" s="2"/>
      <c r="J83" s="7">
        <f t="shared" si="57"/>
        <v>0</v>
      </c>
      <c r="K83" s="2"/>
      <c r="L83" s="6">
        <f t="shared" si="58"/>
        <v>460.28</v>
      </c>
      <c r="M83" s="2"/>
      <c r="N83" s="7">
        <f t="shared" si="59"/>
        <v>0</v>
      </c>
      <c r="O83" s="11"/>
      <c r="P83" s="6">
        <v>795.6</v>
      </c>
      <c r="Q83" s="2"/>
      <c r="R83" s="7">
        <f t="shared" si="60"/>
        <v>0</v>
      </c>
      <c r="S83" s="2"/>
      <c r="T83" s="6">
        <v>68.66</v>
      </c>
      <c r="U83" s="2"/>
      <c r="V83" s="7">
        <f t="shared" si="61"/>
        <v>0</v>
      </c>
      <c r="W83" s="2"/>
      <c r="X83" s="6">
        <f t="shared" si="62"/>
        <v>726.94</v>
      </c>
      <c r="Y83" s="2"/>
      <c r="Z83" s="7">
        <f t="shared" si="63"/>
        <v>10.587532770171862</v>
      </c>
    </row>
    <row r="84" spans="1:26" s="24" customFormat="1" hidden="1" outlineLevel="2" x14ac:dyDescent="0.3">
      <c r="A84" s="27"/>
      <c r="B84" s="11" t="str">
        <f>CONCATENATE("          ", "6247", " - ", "STORE SUPPLIES")</f>
        <v xml:space="preserve">          6247 - STORE SUPPLIES</v>
      </c>
      <c r="C84" s="11"/>
      <c r="D84" s="6">
        <v>744.42</v>
      </c>
      <c r="E84" s="2"/>
      <c r="F84" s="7">
        <f t="shared" si="56"/>
        <v>0</v>
      </c>
      <c r="G84" s="2"/>
      <c r="H84" s="6">
        <v>9512.59</v>
      </c>
      <c r="I84" s="2"/>
      <c r="J84" s="7">
        <f t="shared" si="57"/>
        <v>0</v>
      </c>
      <c r="K84" s="2"/>
      <c r="L84" s="6">
        <f t="shared" si="58"/>
        <v>-8768.17</v>
      </c>
      <c r="M84" s="2"/>
      <c r="N84" s="7">
        <f t="shared" si="59"/>
        <v>-0.9217437101777749</v>
      </c>
      <c r="O84" s="11"/>
      <c r="P84" s="6">
        <v>5189.1099999999997</v>
      </c>
      <c r="Q84" s="2"/>
      <c r="R84" s="7">
        <f t="shared" si="60"/>
        <v>0</v>
      </c>
      <c r="S84" s="2"/>
      <c r="T84" s="6">
        <v>12337.38</v>
      </c>
      <c r="U84" s="2"/>
      <c r="V84" s="7">
        <f t="shared" si="61"/>
        <v>0</v>
      </c>
      <c r="W84" s="2"/>
      <c r="X84" s="6">
        <f t="shared" si="62"/>
        <v>-7148.2699999999995</v>
      </c>
      <c r="Y84" s="2"/>
      <c r="Z84" s="7">
        <f t="shared" si="63"/>
        <v>-0.57939935383363406</v>
      </c>
    </row>
    <row r="85" spans="1:26" s="29" customFormat="1" outlineLevel="1" collapsed="1" x14ac:dyDescent="0.3">
      <c r="A85" s="28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SUM(OSRRefD22_19x_0)</f>
        <v>663.5</v>
      </c>
      <c r="E85" s="1"/>
      <c r="F85" s="5">
        <f t="shared" ref="F85:F91" si="64">IF(D$12=0,0,D85/D$12)</f>
        <v>0</v>
      </c>
      <c r="G85" s="1"/>
      <c r="H85" s="1">
        <f>SUM(OSRRefH22_19x_0)</f>
        <v>499.15</v>
      </c>
      <c r="I85" s="1"/>
      <c r="J85" s="5">
        <f t="shared" ref="J85:J91" si="65">IF(H$12=0,0,H85/H$12)</f>
        <v>0</v>
      </c>
      <c r="K85" s="1"/>
      <c r="L85" s="1">
        <f t="shared" ref="L85:L91" si="66">+D85-H85</f>
        <v>164.35000000000002</v>
      </c>
      <c r="M85" s="1"/>
      <c r="N85" s="5">
        <f t="shared" ref="N85:N91" si="67">IF(H85=0,0,L85/H85)</f>
        <v>0.32925974156065319</v>
      </c>
      <c r="O85" s="14"/>
      <c r="P85" s="1">
        <f>SUM(OSRRefP22_19x_0)</f>
        <v>3048.3</v>
      </c>
      <c r="Q85" s="1"/>
      <c r="R85" s="5">
        <f t="shared" ref="R85:R91" si="68">IF(P$12=0,0,P85/P$12)</f>
        <v>0</v>
      </c>
      <c r="S85" s="1"/>
      <c r="T85" s="1">
        <f>SUM(OSRRefT22_19x_0)</f>
        <v>3153.28</v>
      </c>
      <c r="U85" s="1"/>
      <c r="V85" s="5">
        <f t="shared" ref="V85:V91" si="69">IF(T$12=0,0,T85/T$12)</f>
        <v>0</v>
      </c>
      <c r="W85" s="1"/>
      <c r="X85" s="1">
        <f t="shared" ref="X85:X91" si="70">+P85-T85</f>
        <v>-104.98000000000002</v>
      </c>
      <c r="Y85" s="1"/>
      <c r="Z85" s="5">
        <f t="shared" ref="Z85:Z91" si="71">IF(T85=0,0,X85/T85)</f>
        <v>-3.3292317840470875E-2</v>
      </c>
    </row>
    <row r="86" spans="1:26" s="24" customFormat="1" hidden="1" outlineLevel="2" x14ac:dyDescent="0.3">
      <c r="A86" s="27"/>
      <c r="B86" s="11" t="str">
        <f>CONCATENATE("          ", "6309", " - ", "TELEPHONE")</f>
        <v xml:space="preserve">          6309 - TELEPHONE</v>
      </c>
      <c r="C86" s="11"/>
      <c r="D86" s="6">
        <v>663.5</v>
      </c>
      <c r="E86" s="2"/>
      <c r="F86" s="7">
        <f t="shared" si="64"/>
        <v>0</v>
      </c>
      <c r="G86" s="2"/>
      <c r="H86" s="6">
        <v>499.15</v>
      </c>
      <c r="I86" s="2"/>
      <c r="J86" s="7">
        <f t="shared" si="65"/>
        <v>0</v>
      </c>
      <c r="K86" s="2"/>
      <c r="L86" s="6">
        <f t="shared" si="66"/>
        <v>164.35000000000002</v>
      </c>
      <c r="M86" s="2"/>
      <c r="N86" s="7">
        <f t="shared" si="67"/>
        <v>0.32925974156065319</v>
      </c>
      <c r="O86" s="11"/>
      <c r="P86" s="6">
        <v>3048.3</v>
      </c>
      <c r="Q86" s="2"/>
      <c r="R86" s="7">
        <f t="shared" si="68"/>
        <v>0</v>
      </c>
      <c r="S86" s="2"/>
      <c r="T86" s="6">
        <v>3153.28</v>
      </c>
      <c r="U86" s="2"/>
      <c r="V86" s="7">
        <f t="shared" si="69"/>
        <v>0</v>
      </c>
      <c r="W86" s="2"/>
      <c r="X86" s="6">
        <f t="shared" si="70"/>
        <v>-104.98000000000002</v>
      </c>
      <c r="Y86" s="2"/>
      <c r="Z86" s="7">
        <f t="shared" si="71"/>
        <v>-3.3292317840470875E-2</v>
      </c>
    </row>
    <row r="87" spans="1:26" s="29" customFormat="1" outlineLevel="1" collapsed="1" x14ac:dyDescent="0.3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SUM(OSRRefD22_20x_0)</f>
        <v>0</v>
      </c>
      <c r="E87" s="1"/>
      <c r="F87" s="5">
        <f t="shared" si="64"/>
        <v>0</v>
      </c>
      <c r="G87" s="1"/>
      <c r="H87" s="1">
        <f>SUM(OSRRefH22_20x_0)</f>
        <v>0</v>
      </c>
      <c r="I87" s="1"/>
      <c r="J87" s="5">
        <f t="shared" si="65"/>
        <v>0</v>
      </c>
      <c r="K87" s="1"/>
      <c r="L87" s="1">
        <f t="shared" si="66"/>
        <v>0</v>
      </c>
      <c r="M87" s="1"/>
      <c r="N87" s="5">
        <f t="shared" si="67"/>
        <v>0</v>
      </c>
      <c r="O87" s="14"/>
      <c r="P87" s="1">
        <f>SUM(OSRRefP22_20x_0)</f>
        <v>595</v>
      </c>
      <c r="Q87" s="1"/>
      <c r="R87" s="5">
        <f t="shared" si="68"/>
        <v>0</v>
      </c>
      <c r="S87" s="1"/>
      <c r="T87" s="1">
        <f>SUM(OSRRefT22_20x_0)</f>
        <v>131.63</v>
      </c>
      <c r="U87" s="1"/>
      <c r="V87" s="5">
        <f t="shared" si="69"/>
        <v>0</v>
      </c>
      <c r="W87" s="1"/>
      <c r="X87" s="1">
        <f t="shared" si="70"/>
        <v>463.37</v>
      </c>
      <c r="Y87" s="1"/>
      <c r="Z87" s="5">
        <f t="shared" si="71"/>
        <v>3.5202461444959359</v>
      </c>
    </row>
    <row r="88" spans="1:26" s="24" customFormat="1" hidden="1" outlineLevel="2" x14ac:dyDescent="0.3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64"/>
        <v>0</v>
      </c>
      <c r="G88" s="2"/>
      <c r="H88" s="6"/>
      <c r="I88" s="2"/>
      <c r="J88" s="7">
        <f t="shared" si="65"/>
        <v>0</v>
      </c>
      <c r="K88" s="2"/>
      <c r="L88" s="6">
        <f t="shared" si="66"/>
        <v>0</v>
      </c>
      <c r="M88" s="2"/>
      <c r="N88" s="7">
        <f t="shared" si="67"/>
        <v>0</v>
      </c>
      <c r="O88" s="11"/>
      <c r="P88" s="6">
        <v>595</v>
      </c>
      <c r="Q88" s="2"/>
      <c r="R88" s="7">
        <f t="shared" si="68"/>
        <v>0</v>
      </c>
      <c r="S88" s="2"/>
      <c r="T88" s="6">
        <v>131.63</v>
      </c>
      <c r="U88" s="2"/>
      <c r="V88" s="7">
        <f t="shared" si="69"/>
        <v>0</v>
      </c>
      <c r="W88" s="2"/>
      <c r="X88" s="6">
        <f t="shared" si="70"/>
        <v>463.37</v>
      </c>
      <c r="Y88" s="2"/>
      <c r="Z88" s="7">
        <f t="shared" si="71"/>
        <v>3.5202461444959359</v>
      </c>
    </row>
    <row r="89" spans="1:26" s="29" customFormat="1" outlineLevel="1" collapsed="1" x14ac:dyDescent="0.3">
      <c r="A89" s="28"/>
      <c r="B89" s="14" t="str">
        <f>CONCATENATE("     ","Travel                                            ")</f>
        <v xml:space="preserve">     Travel                                            </v>
      </c>
      <c r="C89" s="14"/>
      <c r="D89" s="1">
        <f>SUM(OSRRefD22_21x_0)</f>
        <v>97.08</v>
      </c>
      <c r="E89" s="1"/>
      <c r="F89" s="5">
        <f t="shared" si="64"/>
        <v>0</v>
      </c>
      <c r="G89" s="1"/>
      <c r="H89" s="1">
        <f>SUM(OSRRefH22_21x_0)</f>
        <v>299</v>
      </c>
      <c r="I89" s="1"/>
      <c r="J89" s="5">
        <f t="shared" si="65"/>
        <v>0</v>
      </c>
      <c r="K89" s="1"/>
      <c r="L89" s="1">
        <f t="shared" si="66"/>
        <v>-201.92000000000002</v>
      </c>
      <c r="M89" s="1"/>
      <c r="N89" s="5">
        <f t="shared" si="67"/>
        <v>-0.67531772575250837</v>
      </c>
      <c r="O89" s="14"/>
      <c r="P89" s="1">
        <f>SUM(OSRRefP22_21x_0)</f>
        <v>642.08000000000004</v>
      </c>
      <c r="Q89" s="1"/>
      <c r="R89" s="5">
        <f t="shared" si="68"/>
        <v>0</v>
      </c>
      <c r="S89" s="1"/>
      <c r="T89" s="1">
        <f>SUM(OSRRefT22_21x_0)</f>
        <v>358.89</v>
      </c>
      <c r="U89" s="1"/>
      <c r="V89" s="5">
        <f t="shared" si="69"/>
        <v>0</v>
      </c>
      <c r="W89" s="1"/>
      <c r="X89" s="1">
        <f t="shared" si="70"/>
        <v>283.19000000000005</v>
      </c>
      <c r="Y89" s="1"/>
      <c r="Z89" s="5">
        <f t="shared" si="71"/>
        <v>0.78907186045863653</v>
      </c>
    </row>
    <row r="90" spans="1:26" s="24" customFormat="1" hidden="1" outlineLevel="2" x14ac:dyDescent="0.3">
      <c r="A90" s="27"/>
      <c r="B90" s="11" t="str">
        <f>CONCATENATE("          ", "6292", " - ", "TRAVEL/CONFERENCE")</f>
        <v xml:space="preserve">          6292 - TRAVEL/CONFERENCE</v>
      </c>
      <c r="C90" s="11"/>
      <c r="D90" s="6"/>
      <c r="E90" s="2"/>
      <c r="F90" s="7">
        <f t="shared" si="64"/>
        <v>0</v>
      </c>
      <c r="G90" s="2"/>
      <c r="H90" s="6">
        <v>299</v>
      </c>
      <c r="I90" s="2"/>
      <c r="J90" s="7">
        <f t="shared" si="65"/>
        <v>0</v>
      </c>
      <c r="K90" s="2"/>
      <c r="L90" s="6">
        <f t="shared" si="66"/>
        <v>-299</v>
      </c>
      <c r="M90" s="2"/>
      <c r="N90" s="7">
        <f t="shared" si="67"/>
        <v>-1</v>
      </c>
      <c r="O90" s="11"/>
      <c r="P90" s="6">
        <v>495</v>
      </c>
      <c r="Q90" s="2"/>
      <c r="R90" s="7">
        <f t="shared" si="68"/>
        <v>0</v>
      </c>
      <c r="S90" s="2"/>
      <c r="T90" s="6">
        <v>299</v>
      </c>
      <c r="U90" s="2"/>
      <c r="V90" s="7">
        <f t="shared" si="69"/>
        <v>0</v>
      </c>
      <c r="W90" s="2"/>
      <c r="X90" s="6">
        <f t="shared" si="70"/>
        <v>196</v>
      </c>
      <c r="Y90" s="2"/>
      <c r="Z90" s="7">
        <f t="shared" si="71"/>
        <v>0.65551839464882944</v>
      </c>
    </row>
    <row r="91" spans="1:26" s="24" customFormat="1" hidden="1" outlineLevel="2" x14ac:dyDescent="0.3">
      <c r="A91" s="27"/>
      <c r="B91" s="11" t="str">
        <f>CONCATENATE("          ", "6298", " - ", "VEHICLE MILEAGE")</f>
        <v xml:space="preserve">          6298 - VEHICLE MILEAGE</v>
      </c>
      <c r="C91" s="11"/>
      <c r="D91" s="6">
        <v>97.08</v>
      </c>
      <c r="E91" s="2"/>
      <c r="F91" s="7">
        <f t="shared" si="64"/>
        <v>0</v>
      </c>
      <c r="G91" s="2"/>
      <c r="H91" s="6"/>
      <c r="I91" s="2"/>
      <c r="J91" s="7">
        <f t="shared" si="65"/>
        <v>0</v>
      </c>
      <c r="K91" s="2"/>
      <c r="L91" s="6">
        <f t="shared" si="66"/>
        <v>97.08</v>
      </c>
      <c r="M91" s="2"/>
      <c r="N91" s="7">
        <f t="shared" si="67"/>
        <v>0</v>
      </c>
      <c r="O91" s="11"/>
      <c r="P91" s="6">
        <v>147.08000000000001</v>
      </c>
      <c r="Q91" s="2"/>
      <c r="R91" s="7">
        <f t="shared" si="68"/>
        <v>0</v>
      </c>
      <c r="S91" s="2"/>
      <c r="T91" s="6">
        <v>59.89</v>
      </c>
      <c r="U91" s="2"/>
      <c r="V91" s="7">
        <f t="shared" si="69"/>
        <v>0</v>
      </c>
      <c r="W91" s="2"/>
      <c r="X91" s="6">
        <f t="shared" si="70"/>
        <v>87.190000000000012</v>
      </c>
      <c r="Y91" s="2"/>
      <c r="Z91" s="7">
        <f t="shared" si="71"/>
        <v>1.455835698781099</v>
      </c>
    </row>
    <row r="92" spans="1:26" s="29" customFormat="1" outlineLevel="1" collapsed="1" x14ac:dyDescent="0.3">
      <c r="A92" s="28"/>
      <c r="B92" s="14" t="str">
        <f>CONCATENATE("     ","Utilities                                         ")</f>
        <v xml:space="preserve">     Utilities                                         </v>
      </c>
      <c r="C92" s="14"/>
      <c r="D92" s="1">
        <f>SUM(OSRRefD22_22x_0)</f>
        <v>6000</v>
      </c>
      <c r="E92" s="1"/>
      <c r="F92" s="5">
        <f t="shared" ref="F92:F93" si="72">IF(D$12=0,0,D92/D$12)</f>
        <v>0</v>
      </c>
      <c r="G92" s="1"/>
      <c r="H92" s="1">
        <f>SUM(OSRRefH22_22x_0)</f>
        <v>6133</v>
      </c>
      <c r="I92" s="1"/>
      <c r="J92" s="5">
        <f t="shared" ref="J92:J93" si="73">IF(H$12=0,0,H92/H$12)</f>
        <v>0</v>
      </c>
      <c r="K92" s="1"/>
      <c r="L92" s="1">
        <f t="shared" ref="L92:L93" si="74">+D92-H92</f>
        <v>-133</v>
      </c>
      <c r="M92" s="1"/>
      <c r="N92" s="5">
        <f t="shared" ref="N92:N93" si="75">IF(H92=0,0,L92/H92)</f>
        <v>-2.1685961193543126E-2</v>
      </c>
      <c r="O92" s="14"/>
      <c r="P92" s="1">
        <f>SUM(OSRRefP22_22x_0)</f>
        <v>30000</v>
      </c>
      <c r="Q92" s="1"/>
      <c r="R92" s="5">
        <f t="shared" ref="R92:R93" si="76">IF(P$12=0,0,P92/P$12)</f>
        <v>0</v>
      </c>
      <c r="S92" s="1"/>
      <c r="T92" s="1">
        <f>SUM(OSRRefT22_22x_0)</f>
        <v>30469</v>
      </c>
      <c r="U92" s="1"/>
      <c r="V92" s="5">
        <f t="shared" ref="V92:V93" si="77">IF(T$12=0,0,T92/T$12)</f>
        <v>0</v>
      </c>
      <c r="W92" s="1"/>
      <c r="X92" s="1">
        <f t="shared" ref="X92:X93" si="78">+P92-T92</f>
        <v>-469</v>
      </c>
      <c r="Y92" s="1"/>
      <c r="Z92" s="5">
        <f t="shared" ref="Z92:Z93" si="79">IF(T92=0,0,X92/T92)</f>
        <v>-1.5392694213791067E-2</v>
      </c>
    </row>
    <row r="93" spans="1:26" s="24" customFormat="1" hidden="1" outlineLevel="2" x14ac:dyDescent="0.3">
      <c r="A93" s="27"/>
      <c r="B93" s="11" t="str">
        <f>CONCATENATE("          ", "6274", " - ", "UTILITIES")</f>
        <v xml:space="preserve">          6274 - UTILITIES</v>
      </c>
      <c r="C93" s="11"/>
      <c r="D93" s="6">
        <v>6000</v>
      </c>
      <c r="E93" s="2"/>
      <c r="F93" s="7">
        <f t="shared" si="72"/>
        <v>0</v>
      </c>
      <c r="G93" s="2"/>
      <c r="H93" s="6">
        <v>6133</v>
      </c>
      <c r="I93" s="2"/>
      <c r="J93" s="7">
        <f t="shared" si="73"/>
        <v>0</v>
      </c>
      <c r="K93" s="2"/>
      <c r="L93" s="6">
        <f t="shared" si="74"/>
        <v>-133</v>
      </c>
      <c r="M93" s="2"/>
      <c r="N93" s="7">
        <f t="shared" si="75"/>
        <v>-2.1685961193543126E-2</v>
      </c>
      <c r="O93" s="11"/>
      <c r="P93" s="6">
        <v>30000</v>
      </c>
      <c r="Q93" s="2"/>
      <c r="R93" s="7">
        <f t="shared" si="76"/>
        <v>0</v>
      </c>
      <c r="S93" s="2"/>
      <c r="T93" s="6">
        <v>30469</v>
      </c>
      <c r="U93" s="2"/>
      <c r="V93" s="7">
        <f t="shared" si="77"/>
        <v>0</v>
      </c>
      <c r="W93" s="2"/>
      <c r="X93" s="6">
        <f t="shared" si="78"/>
        <v>-469</v>
      </c>
      <c r="Y93" s="2"/>
      <c r="Z93" s="7">
        <f t="shared" si="79"/>
        <v>-1.5392694213791067E-2</v>
      </c>
    </row>
    <row r="94" spans="1:26" s="62" customFormat="1" x14ac:dyDescent="0.3">
      <c r="A94" s="37"/>
      <c r="B94" s="37"/>
      <c r="C94" s="37"/>
      <c r="D94" s="1"/>
      <c r="E94" s="1"/>
      <c r="F94" s="5"/>
      <c r="G94" s="1"/>
      <c r="H94" s="1"/>
      <c r="I94" s="1"/>
      <c r="J94" s="5"/>
      <c r="K94" s="1"/>
      <c r="L94" s="1"/>
      <c r="M94" s="1"/>
      <c r="N94" s="5"/>
      <c r="O94" s="37"/>
      <c r="P94" s="1"/>
      <c r="Q94" s="1"/>
      <c r="R94" s="5"/>
      <c r="S94" s="1"/>
      <c r="T94" s="1"/>
      <c r="U94" s="1"/>
      <c r="V94" s="5"/>
      <c r="W94" s="1"/>
      <c r="X94" s="1"/>
      <c r="Y94" s="1"/>
      <c r="Z94" s="5"/>
    </row>
    <row r="95" spans="1:26" s="23" customFormat="1" collapsed="1" x14ac:dyDescent="0.3">
      <c r="A95" s="10"/>
      <c r="B95" s="26" t="s">
        <v>292</v>
      </c>
      <c r="C95" s="10"/>
      <c r="D95" s="4">
        <f>SUM(OSRRefD25x_0)</f>
        <v>54298.67</v>
      </c>
      <c r="E95" s="4"/>
      <c r="F95" s="12">
        <f t="shared" ref="F95:F96" si="80">IF(D$12=0,0,D95/D$12)</f>
        <v>0</v>
      </c>
      <c r="G95" s="4"/>
      <c r="H95" s="4">
        <f>SUM(OSRRefH25x_0)</f>
        <v>49798.51</v>
      </c>
      <c r="I95" s="4"/>
      <c r="J95" s="12">
        <f t="shared" ref="J95:J96" si="81">IF(H$12=0,0,H95/H$12)</f>
        <v>0</v>
      </c>
      <c r="K95" s="4"/>
      <c r="L95" s="4">
        <f t="shared" ref="L95:L96" si="82">+D95-H95</f>
        <v>4500.1599999999962</v>
      </c>
      <c r="M95" s="4"/>
      <c r="N95" s="12">
        <f t="shared" ref="N95:N96" si="83">IF(H95=0,0,L95/H95)</f>
        <v>9.0367362396987297E-2</v>
      </c>
      <c r="O95" s="10"/>
      <c r="P95" s="4">
        <f>SUM(OSRRefP25x_0)</f>
        <v>132303.64000000001</v>
      </c>
      <c r="Q95" s="4"/>
      <c r="R95" s="12">
        <f t="shared" ref="R95:R96" si="84">IF(P$12=0,0,P95/P$12)</f>
        <v>0</v>
      </c>
      <c r="S95" s="4"/>
      <c r="T95" s="4">
        <f>SUM(OSRRefT25x_0)</f>
        <v>120510.23</v>
      </c>
      <c r="U95" s="4"/>
      <c r="V95" s="12">
        <f t="shared" ref="V95:V96" si="85">IF(T$12=0,0,T95/T$12)</f>
        <v>0</v>
      </c>
      <c r="W95" s="4"/>
      <c r="X95" s="4">
        <f t="shared" ref="X95:X96" si="86">+P95-T95</f>
        <v>11793.410000000018</v>
      </c>
      <c r="Y95" s="4"/>
      <c r="Z95" s="12">
        <f t="shared" ref="Z95:Z96" si="87">IF(T95=0,0,X95/T95)</f>
        <v>9.7862314261619274E-2</v>
      </c>
    </row>
    <row r="96" spans="1:26" s="24" customFormat="1" hidden="1" outlineLevel="1" x14ac:dyDescent="0.3">
      <c r="A96" s="44"/>
      <c r="B96" s="11" t="str">
        <f>CONCATENATE("          ", "9150", " - ", "MISC. INCOME")</f>
        <v xml:space="preserve">          9150 - MISC. INCOME</v>
      </c>
      <c r="C96" s="11"/>
      <c r="D96" s="2">
        <f>--54298.67</f>
        <v>54298.67</v>
      </c>
      <c r="E96" s="2"/>
      <c r="F96" s="19">
        <f t="shared" si="80"/>
        <v>0</v>
      </c>
      <c r="G96" s="2"/>
      <c r="H96" s="2">
        <f>--49798.51</f>
        <v>49798.51</v>
      </c>
      <c r="I96" s="2"/>
      <c r="J96" s="19">
        <f t="shared" si="81"/>
        <v>0</v>
      </c>
      <c r="K96" s="2"/>
      <c r="L96" s="2">
        <f t="shared" si="82"/>
        <v>4500.1599999999962</v>
      </c>
      <c r="M96" s="2"/>
      <c r="N96" s="19">
        <f t="shared" si="83"/>
        <v>9.0367362396987297E-2</v>
      </c>
      <c r="O96" s="11"/>
      <c r="P96" s="2">
        <f>--132303.64</f>
        <v>132303.64000000001</v>
      </c>
      <c r="Q96" s="2"/>
      <c r="R96" s="19">
        <f t="shared" si="84"/>
        <v>0</v>
      </c>
      <c r="S96" s="2"/>
      <c r="T96" s="2">
        <f>--120510.23</f>
        <v>120510.23</v>
      </c>
      <c r="U96" s="2"/>
      <c r="V96" s="19">
        <f t="shared" si="85"/>
        <v>0</v>
      </c>
      <c r="W96" s="2"/>
      <c r="X96" s="2">
        <f t="shared" si="86"/>
        <v>11793.410000000018</v>
      </c>
      <c r="Y96" s="2"/>
      <c r="Z96" s="19">
        <f t="shared" si="87"/>
        <v>9.7862314261619274E-2</v>
      </c>
    </row>
    <row r="97" spans="1:26" x14ac:dyDescent="0.3">
      <c r="A97" s="9"/>
      <c r="B97" s="10"/>
      <c r="C97" s="10"/>
      <c r="D97" s="3"/>
      <c r="E97" s="3"/>
      <c r="F97" s="8"/>
      <c r="G97" s="3"/>
      <c r="H97" s="3"/>
      <c r="I97" s="3"/>
      <c r="J97" s="8"/>
      <c r="K97" s="3"/>
      <c r="L97" s="3"/>
      <c r="M97" s="3"/>
      <c r="N97" s="8"/>
      <c r="O97" s="10"/>
      <c r="P97" s="3"/>
      <c r="Q97" s="3"/>
      <c r="R97" s="8"/>
      <c r="S97" s="3"/>
      <c r="T97" s="3"/>
      <c r="U97" s="3"/>
      <c r="V97" s="8"/>
      <c r="W97" s="3"/>
      <c r="X97" s="3"/>
      <c r="Y97" s="3"/>
      <c r="Z97" s="8"/>
    </row>
    <row r="98" spans="1:26" s="23" customFormat="1" x14ac:dyDescent="0.3">
      <c r="A98" s="10"/>
      <c r="B98" s="25" t="s">
        <v>276</v>
      </c>
      <c r="C98" s="25"/>
      <c r="D98" s="21">
        <f>+D17-D19+D95</f>
        <v>-70380.359999999986</v>
      </c>
      <c r="E98" s="13"/>
      <c r="F98" s="22">
        <f>IF(D$12=0,0,D98/D$12)</f>
        <v>0</v>
      </c>
      <c r="G98" s="13"/>
      <c r="H98" s="21">
        <f>+H17-H19+H95</f>
        <v>-46503.08999999996</v>
      </c>
      <c r="I98" s="13"/>
      <c r="J98" s="22">
        <f>IF(H$12=0,0,H98/H$12)</f>
        <v>0</v>
      </c>
      <c r="K98" s="16"/>
      <c r="L98" s="21">
        <f>+D98-H98</f>
        <v>-23877.270000000026</v>
      </c>
      <c r="M98" s="16"/>
      <c r="N98" s="22">
        <f>IF(H98=0,0,L98/H98)</f>
        <v>0.51345555746940785</v>
      </c>
      <c r="O98" s="26"/>
      <c r="P98" s="21">
        <f>+P17-P19+P95</f>
        <v>-613035.30999999971</v>
      </c>
      <c r="Q98" s="13"/>
      <c r="R98" s="22">
        <f>IF(P$12=0,0,P98/P$12)</f>
        <v>0</v>
      </c>
      <c r="S98" s="13"/>
      <c r="T98" s="21">
        <f>+T17-T19+T95</f>
        <v>-510881.88000000012</v>
      </c>
      <c r="U98" s="13"/>
      <c r="V98" s="22">
        <f>IF(T$12=0,0,T98/T$12)</f>
        <v>0</v>
      </c>
      <c r="W98" s="16"/>
      <c r="X98" s="21">
        <f>+P98-T98</f>
        <v>-102153.42999999959</v>
      </c>
      <c r="Y98" s="16"/>
      <c r="Z98" s="22">
        <f>IF(T98=0,0,X98/T98)</f>
        <v>0.19995508550821878</v>
      </c>
    </row>
    <row r="99" spans="1:26" x14ac:dyDescent="0.3">
      <c r="A99" s="9"/>
      <c r="B99" s="10"/>
      <c r="C99" s="9"/>
      <c r="D99" s="3"/>
      <c r="E99" s="3"/>
      <c r="F99" s="8"/>
      <c r="G99" s="3"/>
      <c r="H99" s="3"/>
      <c r="I99" s="3"/>
      <c r="J99" s="8"/>
      <c r="K99" s="3"/>
      <c r="L99" s="3"/>
      <c r="M99" s="3"/>
      <c r="N99" s="8"/>
      <c r="P99" s="3"/>
      <c r="Q99" s="3"/>
      <c r="R99" s="8"/>
      <c r="S99" s="3"/>
      <c r="T99" s="3"/>
      <c r="U99" s="3"/>
      <c r="V99" s="8"/>
      <c r="W99" s="3"/>
      <c r="X99" s="3"/>
      <c r="Y99" s="3"/>
      <c r="Z99" s="8"/>
    </row>
    <row r="100" spans="1:26" s="23" customFormat="1" x14ac:dyDescent="0.3">
      <c r="A100" s="51"/>
      <c r="B100" s="10" t="s">
        <v>127</v>
      </c>
      <c r="C100" s="10"/>
      <c r="D100" s="4"/>
      <c r="E100" s="4"/>
      <c r="F100" s="12">
        <f>IF(D$12=0,0,D100/D$12)</f>
        <v>0</v>
      </c>
      <c r="G100" s="4"/>
      <c r="H100" s="4"/>
      <c r="I100" s="4"/>
      <c r="J100" s="12">
        <f>IF(H$12=0,0,H100/H$12)</f>
        <v>0</v>
      </c>
      <c r="K100" s="4"/>
      <c r="L100" s="4">
        <f>+D100-H100</f>
        <v>0</v>
      </c>
      <c r="M100" s="4"/>
      <c r="N100" s="12">
        <f>IF(H100=0,0,L100/H100)</f>
        <v>0</v>
      </c>
      <c r="O100" s="10"/>
      <c r="P100" s="4"/>
      <c r="Q100" s="4"/>
      <c r="R100" s="12">
        <f>IF(P$12=0,0,P100/P$12)</f>
        <v>0</v>
      </c>
      <c r="S100" s="4"/>
      <c r="T100" s="4"/>
      <c r="U100" s="4"/>
      <c r="V100" s="12">
        <f>IF(T$12=0,0,T100/T$12)</f>
        <v>0</v>
      </c>
      <c r="W100" s="4"/>
      <c r="X100" s="4">
        <f>+P100-T100</f>
        <v>0</v>
      </c>
      <c r="Y100" s="4"/>
      <c r="Z100" s="12">
        <f>IF(T100=0,0,X100/T100)</f>
        <v>0</v>
      </c>
    </row>
    <row r="101" spans="1:26" x14ac:dyDescent="0.3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5" t="s">
        <v>125</v>
      </c>
      <c r="C102" s="25"/>
      <c r="D102" s="35">
        <f>+D98-D100</f>
        <v>-70380.359999999986</v>
      </c>
      <c r="E102" s="13"/>
      <c r="F102" s="31">
        <f>IF(D$12=0,0,D102/D$12)</f>
        <v>0</v>
      </c>
      <c r="G102" s="13"/>
      <c r="H102" s="35">
        <f>+H98-H100</f>
        <v>-46503.08999999996</v>
      </c>
      <c r="I102" s="13"/>
      <c r="J102" s="31">
        <f>IF(H$12=0,0,H102/H$12)</f>
        <v>0</v>
      </c>
      <c r="K102" s="16"/>
      <c r="L102" s="35">
        <f>D102-H102</f>
        <v>-23877.270000000026</v>
      </c>
      <c r="M102" s="16"/>
      <c r="N102" s="31">
        <f>IF(H102=0,0,L102/H102)</f>
        <v>0.51345555746940785</v>
      </c>
      <c r="O102" s="26"/>
      <c r="P102" s="35">
        <f>+P98-P100</f>
        <v>-613035.30999999971</v>
      </c>
      <c r="Q102" s="13"/>
      <c r="R102" s="31">
        <f>IF(P$12=0,0,P102/P$12)</f>
        <v>0</v>
      </c>
      <c r="S102" s="13"/>
      <c r="T102" s="35">
        <f>+T98-T100</f>
        <v>-510881.88000000012</v>
      </c>
      <c r="U102" s="13"/>
      <c r="V102" s="31">
        <f>IF(T$12=0,0,T102/T$12)</f>
        <v>0</v>
      </c>
      <c r="W102" s="16"/>
      <c r="X102" s="35">
        <f>P102-T102</f>
        <v>-102153.42999999959</v>
      </c>
      <c r="Y102" s="16"/>
      <c r="Z102" s="31">
        <f>IF(T102=0,0,X102/T102)</f>
        <v>0.19995508550821878</v>
      </c>
    </row>
    <row r="103" spans="1:26" ht="15" thickTop="1" x14ac:dyDescent="0.3">
      <c r="A103" s="9"/>
      <c r="B103" s="9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x14ac:dyDescent="0.3">
      <c r="A104" s="9"/>
      <c r="B104" s="9"/>
      <c r="C104" s="9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ht="15" thickBot="1" x14ac:dyDescent="0.35">
      <c r="A105" s="10"/>
      <c r="B105" s="25" t="s">
        <v>293</v>
      </c>
      <c r="C105" s="25"/>
      <c r="D105" s="36">
        <f>SUM(D102:D104)</f>
        <v>-70380.359999999986</v>
      </c>
      <c r="E105" s="13"/>
      <c r="F105" s="33">
        <f>IF(D$12=0,0,D105/D$12)</f>
        <v>0</v>
      </c>
      <c r="G105" s="13"/>
      <c r="H105" s="36">
        <f>SUM(H102:H104)</f>
        <v>-46503.08999999996</v>
      </c>
      <c r="I105" s="13"/>
      <c r="J105" s="33">
        <f>IF(H$12=0,0,H105/H$12)</f>
        <v>0</v>
      </c>
      <c r="K105" s="16"/>
      <c r="L105" s="36">
        <f>+D105-H105</f>
        <v>-23877.270000000026</v>
      </c>
      <c r="M105" s="16"/>
      <c r="N105" s="33">
        <f>IF(H105=0,0,L105/H105)</f>
        <v>0.51345555746940785</v>
      </c>
      <c r="O105" s="26"/>
      <c r="P105" s="36">
        <f>SUM(P102:P104)</f>
        <v>-613035.30999999971</v>
      </c>
      <c r="Q105" s="13"/>
      <c r="R105" s="33">
        <f>IF(P$12=0,0,P105/P$12)</f>
        <v>0</v>
      </c>
      <c r="S105" s="13"/>
      <c r="T105" s="36">
        <f>SUM(T102:T104)</f>
        <v>-510881.88000000012</v>
      </c>
      <c r="U105" s="13"/>
      <c r="V105" s="33">
        <f>IF(T$12=0,0,T105/T$12)</f>
        <v>0</v>
      </c>
      <c r="W105" s="16"/>
      <c r="X105" s="36">
        <f>+P105-T105</f>
        <v>-102153.42999999959</v>
      </c>
      <c r="Y105" s="16"/>
      <c r="Z105" s="33">
        <f>IF(T105=0,0,X105/T105)</f>
        <v>0.19995508550821878</v>
      </c>
    </row>
    <row r="106" spans="1:26" ht="15" thickTop="1" x14ac:dyDescent="0.3">
      <c r="A106" s="9"/>
      <c r="C106" s="9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A107" s="9"/>
      <c r="B107" s="52">
        <v>44543.765594675926</v>
      </c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  <row r="108" spans="1:26" x14ac:dyDescent="0.3">
      <c r="A108" s="9"/>
      <c r="B108" s="59" t="s">
        <v>56</v>
      </c>
      <c r="D108" s="17"/>
      <c r="E108" s="17"/>
      <c r="G108" s="17"/>
      <c r="H108" s="17"/>
      <c r="I108" s="17"/>
      <c r="J108" s="42"/>
      <c r="K108" s="17"/>
      <c r="L108" s="17"/>
      <c r="M108" s="17"/>
      <c r="P108" s="17"/>
      <c r="Q108" s="17"/>
      <c r="R108" s="42"/>
      <c r="S108" s="17"/>
      <c r="T108" s="17"/>
      <c r="U108" s="17"/>
      <c r="V108" s="42"/>
      <c r="W108" s="17"/>
      <c r="X108" s="17"/>
    </row>
    <row r="109" spans="1:26" x14ac:dyDescent="0.3">
      <c r="A109" s="9"/>
      <c r="B109" s="61"/>
      <c r="D109" s="17"/>
      <c r="E109" s="17"/>
      <c r="G109" s="17"/>
      <c r="H109" s="17"/>
      <c r="I109" s="17"/>
      <c r="J109" s="42"/>
      <c r="K109" s="17"/>
      <c r="L109" s="17"/>
      <c r="M109" s="17"/>
      <c r="P109" s="17"/>
      <c r="Q109" s="17"/>
      <c r="R109" s="42"/>
      <c r="S109" s="17"/>
      <c r="T109" s="17"/>
      <c r="U109" s="17"/>
      <c r="V109" s="42"/>
      <c r="W109" s="17"/>
      <c r="X109" s="17"/>
    </row>
    <row r="110" spans="1:26" x14ac:dyDescent="0.3"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</sheetData>
  <pageMargins left="0.25" right="0.25" top="0.75" bottom="0.75" header="0.3" footer="0.3"/>
  <pageSetup scale="55" fitToWidth="2" orientation="landscape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  <outlinePr summaryBelow="0" summaryRight="0"/>
  </sheetPr>
  <dimension ref="A2:Z98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80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14784.730000000001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8" si="0">+D12-H12</f>
        <v>14784.730000000001</v>
      </c>
      <c r="M12" s="4"/>
      <c r="N12" s="12">
        <f t="shared" ref="N12:N28" si="1">IF(H12=0,0,L12/H12)</f>
        <v>0</v>
      </c>
      <c r="O12" s="10"/>
      <c r="P12" s="4">
        <f>SUM(OSRRefP13x_0)</f>
        <v>82327.069999999992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8" si="2">+P12-T12</f>
        <v>61015.149999999994</v>
      </c>
      <c r="Y12" s="4"/>
      <c r="Z12" s="12">
        <f t="shared" ref="Z12:Z28" si="3">IF(T12=0,0,X12/T12)</f>
        <v>2.8629588511968889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--9822.43</f>
        <v>9822.43</v>
      </c>
      <c r="E13" s="2"/>
      <c r="F13" s="19"/>
      <c r="G13" s="2"/>
      <c r="H13" s="2">
        <f t="shared" ref="H13:H28" si="4">0</f>
        <v>0</v>
      </c>
      <c r="I13" s="2"/>
      <c r="J13" s="19"/>
      <c r="K13" s="2"/>
      <c r="L13" s="2">
        <f t="shared" si="0"/>
        <v>9822.43</v>
      </c>
      <c r="M13" s="2"/>
      <c r="N13" s="19">
        <f t="shared" si="1"/>
        <v>0</v>
      </c>
      <c r="O13" s="11"/>
      <c r="P13" s="2">
        <f>--61071.48</f>
        <v>61071.48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62167.920000000006</v>
      </c>
      <c r="Y13" s="2"/>
      <c r="Z13" s="19">
        <f t="shared" si="3"/>
        <v>-56.699792054284778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--5218.66</f>
        <v>5218.66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5218.66</v>
      </c>
      <c r="M20" s="2"/>
      <c r="N20" s="19">
        <f t="shared" si="1"/>
        <v>0</v>
      </c>
      <c r="O20" s="11"/>
      <c r="P20" s="2">
        <f>--22537.83</f>
        <v>22537.83</v>
      </c>
      <c r="Q20" s="2"/>
      <c r="R20" s="19"/>
      <c r="S20" s="2"/>
      <c r="T20" s="2">
        <f t="shared" ref="T20:T21" si="7">0</f>
        <v>0</v>
      </c>
      <c r="U20" s="2"/>
      <c r="V20" s="19"/>
      <c r="W20" s="2"/>
      <c r="X20" s="2">
        <f t="shared" si="2"/>
        <v>22537.83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"4126", " - ", "NON-TAXABLE SALES-WRITING INST")</f>
        <v xml:space="preserve">          4126 - NON-TAXABLE SALES-WRITING INST</v>
      </c>
      <c r="C21" s="11"/>
      <c r="D21" s="2">
        <f t="shared" ref="D21:D23" si="8">0</f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 t="shared" si="7"/>
        <v>0</v>
      </c>
      <c r="U21" s="2"/>
      <c r="V21" s="19"/>
      <c r="W21" s="2"/>
      <c r="X21" s="2">
        <f t="shared" si="2"/>
        <v>0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"4131", " - ", "NON-TAXABLE SALES-FOOD")</f>
        <v xml:space="preserve">          4131 - NON-TAXABLE SALES-FOOD</v>
      </c>
      <c r="C22" s="11"/>
      <c r="D22" s="2">
        <f t="shared" si="8"/>
        <v>0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>--1847.16</f>
        <v>1847.16</v>
      </c>
      <c r="U22" s="2"/>
      <c r="V22" s="19"/>
      <c r="W22" s="2"/>
      <c r="X22" s="2">
        <f t="shared" si="2"/>
        <v>-1847.16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"4133", " - ", "NON-TAXABLE SALES-CANDY")</f>
        <v xml:space="preserve">          4133 - NON-TAXABLE SALES-CANDY</v>
      </c>
      <c r="C23" s="11"/>
      <c r="D23" s="2">
        <f t="shared" si="8"/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ref="T23:T25" si="10">0</f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"4200", " - ", "TAXABLE RETURNS")</f>
        <v xml:space="preserve">          4200 - TAXABLE RETURNS</v>
      </c>
      <c r="C24" s="11"/>
      <c r="D24" s="2">
        <f>-97.23</f>
        <v>-97.23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-97.23</v>
      </c>
      <c r="M24" s="2"/>
      <c r="N24" s="19">
        <f t="shared" si="1"/>
        <v>0</v>
      </c>
      <c r="O24" s="11"/>
      <c r="P24" s="2">
        <f>-972.52</f>
        <v>-972.52</v>
      </c>
      <c r="Q24" s="2"/>
      <c r="R24" s="19"/>
      <c r="S24" s="2"/>
      <c r="T24" s="2">
        <f t="shared" si="10"/>
        <v>0</v>
      </c>
      <c r="U24" s="2"/>
      <c r="V24" s="19"/>
      <c r="W24" s="2"/>
      <c r="X24" s="2">
        <f t="shared" si="2"/>
        <v>-972.52</v>
      </c>
      <c r="Y24" s="2"/>
      <c r="Z24" s="19">
        <f t="shared" si="3"/>
        <v>0</v>
      </c>
    </row>
    <row r="25" spans="1:26" s="24" customFormat="1" hidden="1" outlineLevel="1" x14ac:dyDescent="0.3">
      <c r="A25" s="44"/>
      <c r="B25" s="11" t="str">
        <f>CONCATENATE("          ", "4226", " - ", "SALES RETURN TAXABLE-WRITING I")</f>
        <v xml:space="preserve">          4226 - SALES RETURN TAXABLE-WRITING I</v>
      </c>
      <c r="C25" s="11"/>
      <c r="D25" s="2">
        <f t="shared" ref="D25:D27" si="11">0</f>
        <v>0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 t="shared" ref="P25:P27" si="12">0</f>
        <v>0</v>
      </c>
      <c r="Q25" s="2"/>
      <c r="R25" s="19"/>
      <c r="S25" s="2"/>
      <c r="T25" s="2">
        <f t="shared" si="10"/>
        <v>0</v>
      </c>
      <c r="U25" s="2"/>
      <c r="V25" s="19"/>
      <c r="W25" s="2"/>
      <c r="X25" s="2">
        <f t="shared" si="2"/>
        <v>0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"4227", " - ", "SALES RETURN TAXABLE-SCHOOL SU")</f>
        <v xml:space="preserve">          4227 - SALES RETURN TAXABLE-SCHOOL SU</v>
      </c>
      <c r="C26" s="11"/>
      <c r="D26" s="2">
        <f t="shared" si="11"/>
        <v>0</v>
      </c>
      <c r="E26" s="2"/>
      <c r="F26" s="19"/>
      <c r="G26" s="2"/>
      <c r="H26" s="2">
        <f t="shared" si="4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12"/>
        <v>0</v>
      </c>
      <c r="Q26" s="2"/>
      <c r="R26" s="19"/>
      <c r="S26" s="2"/>
      <c r="T26" s="2">
        <f>-159.97</f>
        <v>-159.97</v>
      </c>
      <c r="U26" s="2"/>
      <c r="V26" s="19"/>
      <c r="W26" s="2"/>
      <c r="X26" s="2">
        <f t="shared" si="2"/>
        <v>159.97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"4228", " - ", "SALES RETURN TAXABLE-ART/TECH")</f>
        <v xml:space="preserve">          4228 - SALES RETURN TAXABLE-ART/TECH</v>
      </c>
      <c r="C27" s="11"/>
      <c r="D27" s="2">
        <f t="shared" si="11"/>
        <v>0</v>
      </c>
      <c r="E27" s="2"/>
      <c r="F27" s="19"/>
      <c r="G27" s="2"/>
      <c r="H27" s="2">
        <f t="shared" si="4"/>
        <v>0</v>
      </c>
      <c r="I27" s="2"/>
      <c r="J27" s="19"/>
      <c r="K27" s="2"/>
      <c r="L27" s="2">
        <f t="shared" si="0"/>
        <v>0</v>
      </c>
      <c r="M27" s="2"/>
      <c r="N27" s="19">
        <f t="shared" si="1"/>
        <v>0</v>
      </c>
      <c r="O27" s="11"/>
      <c r="P27" s="2">
        <f t="shared" si="12"/>
        <v>0</v>
      </c>
      <c r="Q27" s="2"/>
      <c r="R27" s="19"/>
      <c r="S27" s="2"/>
      <c r="T27" s="2">
        <f>-222.2</f>
        <v>-222.2</v>
      </c>
      <c r="U27" s="2"/>
      <c r="V27" s="19"/>
      <c r="W27" s="2"/>
      <c r="X27" s="2">
        <f t="shared" si="2"/>
        <v>222.2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"4500", " - ", "SALES DISCOUNT")</f>
        <v xml:space="preserve">          4500 - SALES DISCOUNT</v>
      </c>
      <c r="C28" s="11"/>
      <c r="D28" s="2">
        <f>-159.13</f>
        <v>-159.13</v>
      </c>
      <c r="E28" s="2"/>
      <c r="F28" s="19"/>
      <c r="G28" s="2"/>
      <c r="H28" s="2">
        <f t="shared" si="4"/>
        <v>0</v>
      </c>
      <c r="I28" s="2"/>
      <c r="J28" s="19"/>
      <c r="K28" s="2"/>
      <c r="L28" s="2">
        <f t="shared" si="0"/>
        <v>-159.13</v>
      </c>
      <c r="M28" s="2"/>
      <c r="N28" s="19">
        <f t="shared" si="1"/>
        <v>0</v>
      </c>
      <c r="O28" s="11"/>
      <c r="P28" s="2">
        <f>-309.72</f>
        <v>-309.72000000000003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-309.72000000000003</v>
      </c>
      <c r="Y28" s="2"/>
      <c r="Z28" s="19">
        <f t="shared" si="3"/>
        <v>0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collapsed="1" x14ac:dyDescent="0.3">
      <c r="A30" s="10"/>
      <c r="B30" s="26" t="s">
        <v>256</v>
      </c>
      <c r="C30" s="10"/>
      <c r="D30" s="4">
        <f>SUM(OSRRefD16x_0)</f>
        <v>8191.56</v>
      </c>
      <c r="E30" s="4"/>
      <c r="F30" s="12">
        <f t="shared" ref="F30:F40" si="13">IF(D$12=0,0,D30/D$12)</f>
        <v>0.5540554342216597</v>
      </c>
      <c r="G30" s="4"/>
      <c r="H30" s="4">
        <f>SUM(OSRRefH16x_0)</f>
        <v>17.61</v>
      </c>
      <c r="I30" s="4"/>
      <c r="J30" s="12">
        <f t="shared" ref="J30:J40" si="14">IF(H$12=0,0,H30/H$12)</f>
        <v>0</v>
      </c>
      <c r="K30" s="4"/>
      <c r="L30" s="4">
        <f t="shared" ref="L30:L40" si="15">+D30-H30</f>
        <v>8173.9500000000007</v>
      </c>
      <c r="M30" s="4"/>
      <c r="N30" s="12">
        <f t="shared" ref="N30:N40" si="16">IF(H30=0,0,L30/H30)</f>
        <v>464.16524701873942</v>
      </c>
      <c r="O30" s="10"/>
      <c r="P30" s="4">
        <f>SUM(OSRRefP16x_0)</f>
        <v>46493.02</v>
      </c>
      <c r="Q30" s="4"/>
      <c r="R30" s="12">
        <f t="shared" ref="R30:R40" si="17">IF(P$12=0,0,P30/P$12)</f>
        <v>0.56473551166098834</v>
      </c>
      <c r="S30" s="4"/>
      <c r="T30" s="4">
        <f>SUM(OSRRefT16x_0)</f>
        <v>14200.659999999993</v>
      </c>
      <c r="U30" s="4"/>
      <c r="V30" s="12">
        <f t="shared" ref="V30:V40" si="18">IF(T$12=0,0,T30/T$12)</f>
        <v>0.6663247609788322</v>
      </c>
      <c r="W30" s="4"/>
      <c r="X30" s="4">
        <f t="shared" ref="X30:X40" si="19">+P30-T30</f>
        <v>32292.360000000004</v>
      </c>
      <c r="Y30" s="4"/>
      <c r="Z30" s="12">
        <f t="shared" ref="Z30:Z40" si="20">IF(T30=0,0,X30/T30)</f>
        <v>2.2740041660035533</v>
      </c>
    </row>
    <row r="31" spans="1:26" s="24" customFormat="1" hidden="1" outlineLevel="1" x14ac:dyDescent="0.3">
      <c r="A31" s="44"/>
      <c r="B31" s="11" t="str">
        <f>CONCATENATE("          ", "5000", " - ", "PURCHASES @ COST")</f>
        <v xml:space="preserve">          5000 - PURCHASES @ COST</v>
      </c>
      <c r="C31" s="11"/>
      <c r="D31" s="2">
        <v>25133.41</v>
      </c>
      <c r="E31" s="2"/>
      <c r="F31" s="19">
        <f t="shared" si="13"/>
        <v>1.6999573208303431</v>
      </c>
      <c r="G31" s="2"/>
      <c r="H31" s="2"/>
      <c r="I31" s="2"/>
      <c r="J31" s="19">
        <f t="shared" si="14"/>
        <v>0</v>
      </c>
      <c r="K31" s="2"/>
      <c r="L31" s="2">
        <f t="shared" si="15"/>
        <v>25133.41</v>
      </c>
      <c r="M31" s="2"/>
      <c r="N31" s="19">
        <f t="shared" si="16"/>
        <v>0</v>
      </c>
      <c r="O31" s="11"/>
      <c r="P31" s="2">
        <v>72525.16</v>
      </c>
      <c r="Q31" s="2"/>
      <c r="R31" s="19">
        <f t="shared" si="17"/>
        <v>0.88093940425670447</v>
      </c>
      <c r="S31" s="2"/>
      <c r="T31" s="2"/>
      <c r="U31" s="2"/>
      <c r="V31" s="19">
        <f t="shared" si="18"/>
        <v>0</v>
      </c>
      <c r="W31" s="2"/>
      <c r="X31" s="2">
        <f t="shared" si="19"/>
        <v>72525.16</v>
      </c>
      <c r="Y31" s="2"/>
      <c r="Z31" s="19">
        <f t="shared" si="20"/>
        <v>0</v>
      </c>
    </row>
    <row r="32" spans="1:26" s="24" customFormat="1" hidden="1" outlineLevel="1" x14ac:dyDescent="0.3">
      <c r="A32" s="44"/>
      <c r="B32" s="11" t="str">
        <f>CONCATENATE("          ", "5026", " - ", "PURCHASES @ COST-WRITING INSTR")</f>
        <v xml:space="preserve">          5026 - PURCHASES @ COST-WRITING INSTR</v>
      </c>
      <c r="C32" s="11"/>
      <c r="D32" s="2"/>
      <c r="E32" s="2"/>
      <c r="F32" s="19">
        <f t="shared" si="13"/>
        <v>0</v>
      </c>
      <c r="G32" s="2"/>
      <c r="H32" s="2"/>
      <c r="I32" s="2"/>
      <c r="J32" s="19">
        <f t="shared" si="14"/>
        <v>0</v>
      </c>
      <c r="K32" s="2"/>
      <c r="L32" s="2">
        <f t="shared" si="15"/>
        <v>0</v>
      </c>
      <c r="M32" s="2"/>
      <c r="N32" s="19">
        <f t="shared" si="16"/>
        <v>0</v>
      </c>
      <c r="O32" s="11"/>
      <c r="P32" s="2">
        <v>0</v>
      </c>
      <c r="Q32" s="2"/>
      <c r="R32" s="19">
        <f t="shared" si="17"/>
        <v>0</v>
      </c>
      <c r="S32" s="2"/>
      <c r="T32" s="2">
        <v>370.02</v>
      </c>
      <c r="U32" s="2"/>
      <c r="V32" s="19">
        <f t="shared" si="18"/>
        <v>1.7362114722652863E-2</v>
      </c>
      <c r="W32" s="2"/>
      <c r="X32" s="2">
        <f t="shared" si="19"/>
        <v>-370.02</v>
      </c>
      <c r="Y32" s="2"/>
      <c r="Z32" s="19">
        <f t="shared" si="20"/>
        <v>-1</v>
      </c>
    </row>
    <row r="33" spans="1:26" s="24" customFormat="1" hidden="1" outlineLevel="1" x14ac:dyDescent="0.3">
      <c r="A33" s="44"/>
      <c r="B33" s="11" t="str">
        <f>CONCATENATE("          ", "5027", " - ", "PURCHASES @ COST-SCHOOL SUPPLI")</f>
        <v xml:space="preserve">          5027 - PURCHASES @ COST-SCHOOL SUPPLI</v>
      </c>
      <c r="C33" s="11"/>
      <c r="D33" s="2"/>
      <c r="E33" s="2"/>
      <c r="F33" s="19">
        <f t="shared" si="13"/>
        <v>0</v>
      </c>
      <c r="G33" s="2"/>
      <c r="H33" s="2"/>
      <c r="I33" s="2"/>
      <c r="J33" s="19">
        <f t="shared" si="14"/>
        <v>0</v>
      </c>
      <c r="K33" s="2"/>
      <c r="L33" s="2">
        <f t="shared" si="15"/>
        <v>0</v>
      </c>
      <c r="M33" s="2"/>
      <c r="N33" s="19">
        <f t="shared" si="16"/>
        <v>0</v>
      </c>
      <c r="O33" s="11"/>
      <c r="P33" s="2">
        <v>0</v>
      </c>
      <c r="Q33" s="2"/>
      <c r="R33" s="19">
        <f t="shared" si="17"/>
        <v>0</v>
      </c>
      <c r="S33" s="2"/>
      <c r="T33" s="2">
        <v>895.47</v>
      </c>
      <c r="U33" s="2"/>
      <c r="V33" s="19">
        <f t="shared" si="18"/>
        <v>4.201733114613794E-2</v>
      </c>
      <c r="W33" s="2"/>
      <c r="X33" s="2">
        <f t="shared" si="19"/>
        <v>-895.47</v>
      </c>
      <c r="Y33" s="2"/>
      <c r="Z33" s="19">
        <f t="shared" si="20"/>
        <v>-1</v>
      </c>
    </row>
    <row r="34" spans="1:26" s="24" customFormat="1" hidden="1" outlineLevel="1" x14ac:dyDescent="0.3">
      <c r="A34" s="44"/>
      <c r="B34" s="11" t="str">
        <f>CONCATENATE("          ", "5028", " - ", "PURCHASES @ COST-ART/TECH")</f>
        <v xml:space="preserve">          5028 - PURCHASES @ COST-ART/TECH</v>
      </c>
      <c r="C34" s="11"/>
      <c r="D34" s="2"/>
      <c r="E34" s="2"/>
      <c r="F34" s="19">
        <f t="shared" si="13"/>
        <v>0</v>
      </c>
      <c r="G34" s="2"/>
      <c r="H34" s="2">
        <v>15.89</v>
      </c>
      <c r="I34" s="2"/>
      <c r="J34" s="19">
        <f t="shared" si="14"/>
        <v>0</v>
      </c>
      <c r="K34" s="2"/>
      <c r="L34" s="2">
        <f t="shared" si="15"/>
        <v>-15.89</v>
      </c>
      <c r="M34" s="2"/>
      <c r="N34" s="19">
        <f t="shared" si="16"/>
        <v>-1</v>
      </c>
      <c r="O34" s="11"/>
      <c r="P34" s="2">
        <v>0</v>
      </c>
      <c r="Q34" s="2"/>
      <c r="R34" s="19">
        <f t="shared" si="17"/>
        <v>0</v>
      </c>
      <c r="S34" s="2"/>
      <c r="T34" s="2">
        <v>41441.85</v>
      </c>
      <c r="U34" s="2"/>
      <c r="V34" s="19">
        <f t="shared" si="18"/>
        <v>1.9445385493188789</v>
      </c>
      <c r="W34" s="2"/>
      <c r="X34" s="2">
        <f t="shared" si="19"/>
        <v>-41441.85</v>
      </c>
      <c r="Y34" s="2"/>
      <c r="Z34" s="19">
        <f t="shared" si="20"/>
        <v>-1</v>
      </c>
    </row>
    <row r="35" spans="1:26" s="24" customFormat="1" hidden="1" outlineLevel="1" x14ac:dyDescent="0.3">
      <c r="A35" s="44"/>
      <c r="B35" s="11" t="str">
        <f>CONCATENATE("          ", "5031", " - ", "PURCHASES @ COST-FOOD")</f>
        <v xml:space="preserve">          5031 - PURCHASES @ COST-FOOD</v>
      </c>
      <c r="C35" s="11"/>
      <c r="D35" s="2"/>
      <c r="E35" s="2"/>
      <c r="F35" s="19">
        <f t="shared" si="13"/>
        <v>0</v>
      </c>
      <c r="G35" s="2"/>
      <c r="H35" s="2"/>
      <c r="I35" s="2"/>
      <c r="J35" s="19">
        <f t="shared" si="14"/>
        <v>0</v>
      </c>
      <c r="K35" s="2"/>
      <c r="L35" s="2">
        <f t="shared" si="15"/>
        <v>0</v>
      </c>
      <c r="M35" s="2"/>
      <c r="N35" s="19">
        <f t="shared" si="16"/>
        <v>0</v>
      </c>
      <c r="O35" s="11"/>
      <c r="P35" s="2">
        <v>0</v>
      </c>
      <c r="Q35" s="2"/>
      <c r="R35" s="19">
        <f t="shared" si="17"/>
        <v>0</v>
      </c>
      <c r="S35" s="2"/>
      <c r="T35" s="2">
        <v>2929.67</v>
      </c>
      <c r="U35" s="2"/>
      <c r="V35" s="19">
        <f t="shared" si="18"/>
        <v>0.13746626301149781</v>
      </c>
      <c r="W35" s="2"/>
      <c r="X35" s="2">
        <f t="shared" si="19"/>
        <v>-2929.67</v>
      </c>
      <c r="Y35" s="2"/>
      <c r="Z35" s="19">
        <f t="shared" si="20"/>
        <v>-1</v>
      </c>
    </row>
    <row r="36" spans="1:26" s="24" customFormat="1" hidden="1" outlineLevel="1" x14ac:dyDescent="0.3">
      <c r="A36" s="44"/>
      <c r="B36" s="11" t="str">
        <f>CONCATENATE("          ", "5042", " - ", "PURCHASES @ COST-EVERYDAY GIFT")</f>
        <v xml:space="preserve">          5042 - PURCHASES @ COST-EVERYDAY GIFT</v>
      </c>
      <c r="C36" s="11"/>
      <c r="D36" s="2"/>
      <c r="E36" s="2"/>
      <c r="F36" s="19">
        <f t="shared" si="13"/>
        <v>0</v>
      </c>
      <c r="G36" s="2"/>
      <c r="H36" s="2"/>
      <c r="I36" s="2"/>
      <c r="J36" s="19">
        <f t="shared" si="14"/>
        <v>0</v>
      </c>
      <c r="K36" s="2"/>
      <c r="L36" s="2">
        <f t="shared" si="15"/>
        <v>0</v>
      </c>
      <c r="M36" s="2"/>
      <c r="N36" s="19">
        <f t="shared" si="16"/>
        <v>0</v>
      </c>
      <c r="O36" s="11"/>
      <c r="P36" s="2">
        <v>0</v>
      </c>
      <c r="Q36" s="2"/>
      <c r="R36" s="19">
        <f t="shared" si="17"/>
        <v>0</v>
      </c>
      <c r="S36" s="2"/>
      <c r="T36" s="2"/>
      <c r="U36" s="2"/>
      <c r="V36" s="19">
        <f t="shared" si="18"/>
        <v>0</v>
      </c>
      <c r="W36" s="2"/>
      <c r="X36" s="2">
        <f t="shared" si="19"/>
        <v>0</v>
      </c>
      <c r="Y36" s="2"/>
      <c r="Z36" s="19">
        <f t="shared" si="20"/>
        <v>0</v>
      </c>
    </row>
    <row r="37" spans="1:26" s="24" customFormat="1" hidden="1" outlineLevel="1" x14ac:dyDescent="0.3">
      <c r="A37" s="44"/>
      <c r="B37" s="11" t="str">
        <f>CONCATENATE("          ", "5200", " - ", "PURCHASES OFFSET")</f>
        <v xml:space="preserve">          5200 - PURCHASES OFFSET</v>
      </c>
      <c r="C37" s="11"/>
      <c r="D37" s="2">
        <v>-25192.57</v>
      </c>
      <c r="E37" s="2"/>
      <c r="F37" s="19">
        <f t="shared" si="13"/>
        <v>-1.7039587466257413</v>
      </c>
      <c r="G37" s="2"/>
      <c r="H37" s="2"/>
      <c r="I37" s="2"/>
      <c r="J37" s="19">
        <f t="shared" si="14"/>
        <v>0</v>
      </c>
      <c r="K37" s="2"/>
      <c r="L37" s="2">
        <f t="shared" si="15"/>
        <v>-25192.57</v>
      </c>
      <c r="M37" s="2"/>
      <c r="N37" s="19">
        <f t="shared" si="16"/>
        <v>0</v>
      </c>
      <c r="O37" s="11"/>
      <c r="P37" s="2">
        <v>-73336.55</v>
      </c>
      <c r="Q37" s="2"/>
      <c r="R37" s="19">
        <f t="shared" si="17"/>
        <v>-0.89079509327855355</v>
      </c>
      <c r="S37" s="2"/>
      <c r="T37" s="2">
        <v>-45863.33</v>
      </c>
      <c r="U37" s="2"/>
      <c r="V37" s="19">
        <f t="shared" si="18"/>
        <v>-2.1520036674311842</v>
      </c>
      <c r="W37" s="2"/>
      <c r="X37" s="2">
        <f t="shared" si="19"/>
        <v>-27473.22</v>
      </c>
      <c r="Y37" s="2"/>
      <c r="Z37" s="19">
        <f t="shared" si="20"/>
        <v>0.59902366443954247</v>
      </c>
    </row>
    <row r="38" spans="1:26" s="24" customFormat="1" hidden="1" outlineLevel="1" x14ac:dyDescent="0.3">
      <c r="A38" s="44"/>
      <c r="B38" s="11" t="str">
        <f>CONCATENATE("          ", "5300", " - ", "COG$ OFFSET")</f>
        <v xml:space="preserve">          5300 - COG$ OFFSET</v>
      </c>
      <c r="C38" s="11"/>
      <c r="D38" s="2">
        <v>8191.56</v>
      </c>
      <c r="E38" s="2"/>
      <c r="F38" s="19">
        <f t="shared" si="13"/>
        <v>0.5540554342216597</v>
      </c>
      <c r="G38" s="2"/>
      <c r="H38" s="2"/>
      <c r="I38" s="2"/>
      <c r="J38" s="19">
        <f t="shared" si="14"/>
        <v>0</v>
      </c>
      <c r="K38" s="2"/>
      <c r="L38" s="2">
        <f t="shared" si="15"/>
        <v>8191.56</v>
      </c>
      <c r="M38" s="2"/>
      <c r="N38" s="19">
        <f t="shared" si="16"/>
        <v>0</v>
      </c>
      <c r="O38" s="11"/>
      <c r="P38" s="2">
        <v>46493.02</v>
      </c>
      <c r="Q38" s="2"/>
      <c r="R38" s="19">
        <f t="shared" si="17"/>
        <v>0.56473551166098834</v>
      </c>
      <c r="S38" s="2"/>
      <c r="T38" s="2">
        <v>14145</v>
      </c>
      <c r="U38" s="2"/>
      <c r="V38" s="19">
        <f t="shared" si="18"/>
        <v>0.66371307700103988</v>
      </c>
      <c r="W38" s="2"/>
      <c r="X38" s="2">
        <f t="shared" si="19"/>
        <v>32348.019999999997</v>
      </c>
      <c r="Y38" s="2"/>
      <c r="Z38" s="19">
        <f t="shared" si="20"/>
        <v>2.2868872393071755</v>
      </c>
    </row>
    <row r="39" spans="1:26" s="24" customFormat="1" hidden="1" outlineLevel="1" x14ac:dyDescent="0.3">
      <c r="A39" s="44"/>
      <c r="B39" s="11" t="str">
        <f>CONCATENATE("          ", "5500", " - ", "FREIGHT-IN")</f>
        <v xml:space="preserve">          5500 - FREIGHT-IN</v>
      </c>
      <c r="C39" s="11"/>
      <c r="D39" s="2">
        <v>59.16</v>
      </c>
      <c r="E39" s="2"/>
      <c r="F39" s="19">
        <f t="shared" si="13"/>
        <v>4.0014257953983595E-3</v>
      </c>
      <c r="G39" s="2"/>
      <c r="H39" s="2"/>
      <c r="I39" s="2"/>
      <c r="J39" s="19">
        <f t="shared" si="14"/>
        <v>0</v>
      </c>
      <c r="K39" s="2"/>
      <c r="L39" s="2">
        <f t="shared" si="15"/>
        <v>59.16</v>
      </c>
      <c r="M39" s="2"/>
      <c r="N39" s="19">
        <f t="shared" si="16"/>
        <v>0</v>
      </c>
      <c r="O39" s="11"/>
      <c r="P39" s="2">
        <v>811.39</v>
      </c>
      <c r="Q39" s="2"/>
      <c r="R39" s="19">
        <f t="shared" si="17"/>
        <v>9.855689021849072E-3</v>
      </c>
      <c r="S39" s="2"/>
      <c r="T39" s="2"/>
      <c r="U39" s="2"/>
      <c r="V39" s="19">
        <f t="shared" si="18"/>
        <v>0</v>
      </c>
      <c r="W39" s="2"/>
      <c r="X39" s="2">
        <f t="shared" si="19"/>
        <v>811.39</v>
      </c>
      <c r="Y39" s="2"/>
      <c r="Z39" s="19">
        <f t="shared" si="20"/>
        <v>0</v>
      </c>
    </row>
    <row r="40" spans="1:26" s="24" customFormat="1" hidden="1" outlineLevel="1" x14ac:dyDescent="0.3">
      <c r="A40" s="44"/>
      <c r="B40" s="11" t="str">
        <f>CONCATENATE("          ", "5528", " - ", "FREIGHT-IN-ART/TECH")</f>
        <v xml:space="preserve">          5528 - FREIGHT-IN-ART/TECH</v>
      </c>
      <c r="C40" s="11"/>
      <c r="D40" s="2"/>
      <c r="E40" s="2"/>
      <c r="F40" s="19">
        <f t="shared" si="13"/>
        <v>0</v>
      </c>
      <c r="G40" s="2"/>
      <c r="H40" s="2">
        <v>1.72</v>
      </c>
      <c r="I40" s="2"/>
      <c r="J40" s="19">
        <f t="shared" si="14"/>
        <v>0</v>
      </c>
      <c r="K40" s="2"/>
      <c r="L40" s="2">
        <f t="shared" si="15"/>
        <v>-1.72</v>
      </c>
      <c r="M40" s="2"/>
      <c r="N40" s="19">
        <f t="shared" si="16"/>
        <v>-1</v>
      </c>
      <c r="O40" s="11"/>
      <c r="P40" s="2">
        <v>0</v>
      </c>
      <c r="Q40" s="2"/>
      <c r="R40" s="19">
        <f t="shared" si="17"/>
        <v>0</v>
      </c>
      <c r="S40" s="2"/>
      <c r="T40" s="2">
        <v>281.98</v>
      </c>
      <c r="U40" s="2"/>
      <c r="V40" s="19">
        <f t="shared" si="18"/>
        <v>1.3231093209809348E-2</v>
      </c>
      <c r="W40" s="2"/>
      <c r="X40" s="2">
        <f t="shared" si="19"/>
        <v>-281.98</v>
      </c>
      <c r="Y40" s="2"/>
      <c r="Z40" s="19">
        <f t="shared" si="20"/>
        <v>-1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x14ac:dyDescent="0.3">
      <c r="A42" s="10"/>
      <c r="B42" s="25" t="s">
        <v>107</v>
      </c>
      <c r="C42" s="25"/>
      <c r="D42" s="21">
        <f>D12-D30</f>
        <v>6593.170000000001</v>
      </c>
      <c r="E42" s="13"/>
      <c r="F42" s="22">
        <f>IF(D$12=0,0,D42/D$12)</f>
        <v>0.44594456577834024</v>
      </c>
      <c r="G42" s="13"/>
      <c r="H42" s="21">
        <f>H12-H30</f>
        <v>-17.61</v>
      </c>
      <c r="I42" s="13"/>
      <c r="J42" s="22">
        <f>IF(H$12=0,0,H42/H$12)</f>
        <v>0</v>
      </c>
      <c r="K42" s="16"/>
      <c r="L42" s="21">
        <f>+D42-H42</f>
        <v>6610.7800000000007</v>
      </c>
      <c r="M42" s="16"/>
      <c r="N42" s="22">
        <f>IF(H42=0,0,L42/H42)</f>
        <v>-375.39920499716078</v>
      </c>
      <c r="O42" s="26"/>
      <c r="P42" s="21">
        <f>P12-P30</f>
        <v>35834.049999999996</v>
      </c>
      <c r="Q42" s="13"/>
      <c r="R42" s="22">
        <f>IF(P$12=0,0,P42/P$12)</f>
        <v>0.43526448833901171</v>
      </c>
      <c r="S42" s="13"/>
      <c r="T42" s="21">
        <f>T12-T30</f>
        <v>7111.2600000000057</v>
      </c>
      <c r="U42" s="13"/>
      <c r="V42" s="22">
        <f>IF(T$12=0,0,T42/T$12)</f>
        <v>0.3336752390211678</v>
      </c>
      <c r="W42" s="16"/>
      <c r="X42" s="21">
        <f>+P42-T42</f>
        <v>28722.78999999999</v>
      </c>
      <c r="Y42" s="16"/>
      <c r="Z42" s="22">
        <f>IF(T42=0,0,X42/T42)</f>
        <v>4.0390577759778106</v>
      </c>
    </row>
    <row r="43" spans="1:26" x14ac:dyDescent="0.3">
      <c r="A43" s="9"/>
      <c r="B43" s="10"/>
      <c r="C43" s="9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6" t="s">
        <v>294</v>
      </c>
      <c r="C44" s="10"/>
      <c r="D44" s="20">
        <f>SUM(OSRRefD22x_0)</f>
        <v>6777.829999999999</v>
      </c>
      <c r="E44" s="20"/>
      <c r="F44" s="32">
        <f t="shared" ref="F44:F49" si="21">IF(D$12=0,0,D44/D$12)</f>
        <v>0.45843447935809434</v>
      </c>
      <c r="G44" s="20"/>
      <c r="H44" s="20">
        <f>SUM(OSRRefH22x_0)</f>
        <v>535.58000000000004</v>
      </c>
      <c r="I44" s="20"/>
      <c r="J44" s="32">
        <f t="shared" ref="J44:J49" si="22">IF(H$12=0,0,H44/H$12)</f>
        <v>0</v>
      </c>
      <c r="K44" s="4"/>
      <c r="L44" s="20">
        <f t="shared" ref="L44:L49" si="23">+D44-H44</f>
        <v>6242.2499999999991</v>
      </c>
      <c r="M44" s="4"/>
      <c r="N44" s="32">
        <f t="shared" ref="N44:N49" si="24">IF(H44=0,0,L44/H44)</f>
        <v>11.655121550468648</v>
      </c>
      <c r="O44" s="10"/>
      <c r="P44" s="20">
        <f>SUM(OSRRefP22x_0)</f>
        <v>20994.720000000001</v>
      </c>
      <c r="Q44" s="20"/>
      <c r="R44" s="32">
        <f t="shared" ref="R44:R49" si="25">IF(P$12=0,0,P44/P$12)</f>
        <v>0.25501599899036859</v>
      </c>
      <c r="S44" s="20"/>
      <c r="T44" s="20">
        <f>SUM(OSRRefT22x_0)</f>
        <v>12153.639999999996</v>
      </c>
      <c r="U44" s="20"/>
      <c r="V44" s="32">
        <f t="shared" ref="V44:V49" si="26">IF(T$12=0,0,T44/T$12)</f>
        <v>0.57027428781639555</v>
      </c>
      <c r="W44" s="4"/>
      <c r="X44" s="20">
        <f t="shared" ref="X44:X49" si="27">+P44-T44</f>
        <v>8841.0800000000054</v>
      </c>
      <c r="Y44" s="4"/>
      <c r="Z44" s="32">
        <f t="shared" ref="Z44:Z49" si="28">IF(T44=0,0,X44/T44)</f>
        <v>0.7274429718174974</v>
      </c>
    </row>
    <row r="45" spans="1:26" s="29" customFormat="1" outlineLevel="1" collapsed="1" x14ac:dyDescent="0.3">
      <c r="A45" s="28"/>
      <c r="B45" s="14" t="str">
        <f>CONCATENATE("     ","*Benefits                                         ")</f>
        <v xml:space="preserve">     *Benefits                                         </v>
      </c>
      <c r="C45" s="14"/>
      <c r="D45" s="1">
        <f>SUM(OSRRefD22_0x_0)</f>
        <v>95.39</v>
      </c>
      <c r="E45" s="1"/>
      <c r="F45" s="5">
        <f t="shared" si="21"/>
        <v>6.4519270896391066E-3</v>
      </c>
      <c r="G45" s="1"/>
      <c r="H45" s="1">
        <f>SUM(OSRRefH22_0x_0)</f>
        <v>1.39</v>
      </c>
      <c r="I45" s="1"/>
      <c r="J45" s="5">
        <f t="shared" si="22"/>
        <v>0</v>
      </c>
      <c r="K45" s="1"/>
      <c r="L45" s="1">
        <f t="shared" si="23"/>
        <v>94</v>
      </c>
      <c r="M45" s="1"/>
      <c r="N45" s="5">
        <f t="shared" si="24"/>
        <v>67.625899280575538</v>
      </c>
      <c r="O45" s="14"/>
      <c r="P45" s="1">
        <f>SUM(OSRRefP22_0x_0)</f>
        <v>225.75</v>
      </c>
      <c r="Q45" s="1"/>
      <c r="R45" s="5">
        <f t="shared" si="25"/>
        <v>2.7421114343070879E-3</v>
      </c>
      <c r="S45" s="1"/>
      <c r="T45" s="1">
        <f>SUM(OSRRefT22_0x_0)</f>
        <v>778.2</v>
      </c>
      <c r="U45" s="1"/>
      <c r="V45" s="5">
        <f t="shared" si="26"/>
        <v>3.6514776707119778E-2</v>
      </c>
      <c r="W45" s="1"/>
      <c r="X45" s="1">
        <f t="shared" si="27"/>
        <v>-552.45000000000005</v>
      </c>
      <c r="Y45" s="1"/>
      <c r="Z45" s="5">
        <f t="shared" si="28"/>
        <v>-0.70990747879722438</v>
      </c>
    </row>
    <row r="46" spans="1:26" s="24" customFormat="1" hidden="1" outlineLevel="2" x14ac:dyDescent="0.3">
      <c r="A46" s="27"/>
      <c r="B46" s="11" t="str">
        <f>CONCATENATE("          ", "6111", " - ", "F.I.C.A.")</f>
        <v xml:space="preserve">          6111 - F.I.C.A.</v>
      </c>
      <c r="C46" s="11"/>
      <c r="D46" s="6"/>
      <c r="E46" s="2"/>
      <c r="F46" s="7">
        <f t="shared" si="21"/>
        <v>0</v>
      </c>
      <c r="G46" s="2"/>
      <c r="H46" s="6">
        <v>1.39</v>
      </c>
      <c r="I46" s="2"/>
      <c r="J46" s="7">
        <f t="shared" si="22"/>
        <v>0</v>
      </c>
      <c r="K46" s="2"/>
      <c r="L46" s="6">
        <f t="shared" si="23"/>
        <v>-1.39</v>
      </c>
      <c r="M46" s="2"/>
      <c r="N46" s="7">
        <f t="shared" si="24"/>
        <v>-1</v>
      </c>
      <c r="O46" s="11"/>
      <c r="P46" s="6">
        <v>10.31</v>
      </c>
      <c r="Q46" s="2"/>
      <c r="R46" s="7">
        <f t="shared" si="25"/>
        <v>1.2523219883812215E-4</v>
      </c>
      <c r="S46" s="2"/>
      <c r="T46" s="6">
        <v>484.61</v>
      </c>
      <c r="U46" s="2"/>
      <c r="V46" s="7">
        <f t="shared" si="26"/>
        <v>2.2738917938881154E-2</v>
      </c>
      <c r="W46" s="2"/>
      <c r="X46" s="6">
        <f t="shared" si="27"/>
        <v>-474.3</v>
      </c>
      <c r="Y46" s="2"/>
      <c r="Z46" s="7">
        <f t="shared" si="28"/>
        <v>-0.97872516043829061</v>
      </c>
    </row>
    <row r="47" spans="1:26" s="24" customFormat="1" hidden="1" outlineLevel="2" x14ac:dyDescent="0.3">
      <c r="A47" s="27"/>
      <c r="B47" s="11" t="str">
        <f>CONCATENATE("          ", "6112", " - ", "COMPENSATION INSURANCE")</f>
        <v xml:space="preserve">          6112 - COMPENSATION INSURANCE</v>
      </c>
      <c r="C47" s="11"/>
      <c r="D47" s="6">
        <v>81.14</v>
      </c>
      <c r="E47" s="2"/>
      <c r="F47" s="7">
        <f t="shared" si="21"/>
        <v>5.4880948113357492E-3</v>
      </c>
      <c r="G47" s="2"/>
      <c r="H47" s="6"/>
      <c r="I47" s="2"/>
      <c r="J47" s="7">
        <f t="shared" si="22"/>
        <v>0</v>
      </c>
      <c r="K47" s="2"/>
      <c r="L47" s="6">
        <f t="shared" si="23"/>
        <v>81.14</v>
      </c>
      <c r="M47" s="2"/>
      <c r="N47" s="7">
        <f t="shared" si="24"/>
        <v>0</v>
      </c>
      <c r="O47" s="11"/>
      <c r="P47" s="6">
        <v>183.25</v>
      </c>
      <c r="Q47" s="2"/>
      <c r="R47" s="7">
        <f t="shared" si="25"/>
        <v>2.2258778309491643E-3</v>
      </c>
      <c r="S47" s="2"/>
      <c r="T47" s="6">
        <v>255.57</v>
      </c>
      <c r="U47" s="2"/>
      <c r="V47" s="7">
        <f t="shared" si="26"/>
        <v>1.1991880600152403E-2</v>
      </c>
      <c r="W47" s="2"/>
      <c r="X47" s="6">
        <f t="shared" si="27"/>
        <v>-72.319999999999993</v>
      </c>
      <c r="Y47" s="2"/>
      <c r="Z47" s="7">
        <f t="shared" si="28"/>
        <v>-0.28297531009116872</v>
      </c>
    </row>
    <row r="48" spans="1:26" s="24" customFormat="1" hidden="1" outlineLevel="2" x14ac:dyDescent="0.3">
      <c r="A48" s="27"/>
      <c r="B48" s="11" t="str">
        <f>CONCATENATE("          ", "6113", " - ", "GROUP INSURANCE")</f>
        <v xml:space="preserve">          6113 - GROUP INSURANCE</v>
      </c>
      <c r="C48" s="11"/>
      <c r="D48" s="6"/>
      <c r="E48" s="2"/>
      <c r="F48" s="7">
        <f t="shared" si="21"/>
        <v>0</v>
      </c>
      <c r="G48" s="2"/>
      <c r="H48" s="6"/>
      <c r="I48" s="2"/>
      <c r="J48" s="7">
        <f t="shared" si="22"/>
        <v>0</v>
      </c>
      <c r="K48" s="2"/>
      <c r="L48" s="6">
        <f t="shared" si="23"/>
        <v>0</v>
      </c>
      <c r="M48" s="2"/>
      <c r="N48" s="7">
        <f t="shared" si="24"/>
        <v>0</v>
      </c>
      <c r="O48" s="11"/>
      <c r="P48" s="6"/>
      <c r="Q48" s="2"/>
      <c r="R48" s="7">
        <f t="shared" si="25"/>
        <v>0</v>
      </c>
      <c r="S48" s="2"/>
      <c r="T48" s="6">
        <v>0</v>
      </c>
      <c r="U48" s="2"/>
      <c r="V48" s="7">
        <f t="shared" si="26"/>
        <v>0</v>
      </c>
      <c r="W48" s="2"/>
      <c r="X48" s="6">
        <f t="shared" si="27"/>
        <v>0</v>
      </c>
      <c r="Y48" s="2"/>
      <c r="Z48" s="7">
        <f t="shared" si="28"/>
        <v>0</v>
      </c>
    </row>
    <row r="49" spans="1:26" s="24" customFormat="1" hidden="1" outlineLevel="2" x14ac:dyDescent="0.3">
      <c r="A49" s="27"/>
      <c r="B49" s="11" t="str">
        <f>CONCATENATE("          ", "6114", " - ", "STATE UNEMPLOYMENT INSURANCE")</f>
        <v xml:space="preserve">          6114 - STATE UNEMPLOYMENT INSURANCE</v>
      </c>
      <c r="C49" s="11"/>
      <c r="D49" s="6">
        <v>14.25</v>
      </c>
      <c r="E49" s="2"/>
      <c r="F49" s="7">
        <f t="shared" si="21"/>
        <v>9.6383227830335754E-4</v>
      </c>
      <c r="G49" s="2"/>
      <c r="H49" s="6"/>
      <c r="I49" s="2"/>
      <c r="J49" s="7">
        <f t="shared" si="22"/>
        <v>0</v>
      </c>
      <c r="K49" s="2"/>
      <c r="L49" s="6">
        <f t="shared" si="23"/>
        <v>14.25</v>
      </c>
      <c r="M49" s="2"/>
      <c r="N49" s="7">
        <f t="shared" si="24"/>
        <v>0</v>
      </c>
      <c r="O49" s="11"/>
      <c r="P49" s="6">
        <v>32.19</v>
      </c>
      <c r="Q49" s="2"/>
      <c r="R49" s="7">
        <f t="shared" si="25"/>
        <v>3.9100140451980132E-4</v>
      </c>
      <c r="S49" s="2"/>
      <c r="T49" s="6">
        <v>38.020000000000003</v>
      </c>
      <c r="U49" s="2"/>
      <c r="V49" s="7">
        <f t="shared" si="26"/>
        <v>1.7839781680862169E-3</v>
      </c>
      <c r="W49" s="2"/>
      <c r="X49" s="6">
        <f t="shared" si="27"/>
        <v>-5.8300000000000054</v>
      </c>
      <c r="Y49" s="2"/>
      <c r="Z49" s="7">
        <f t="shared" si="28"/>
        <v>-0.15334034718569187</v>
      </c>
    </row>
    <row r="50" spans="1:26" s="29" customFormat="1" outlineLevel="1" collapsed="1" x14ac:dyDescent="0.3">
      <c r="A50" s="28"/>
      <c r="B50" s="14" t="str">
        <f>CONCATENATE("     ","*Payroll                                          ")</f>
        <v xml:space="preserve">     *Payroll                                          </v>
      </c>
      <c r="C50" s="14"/>
      <c r="D50" s="1">
        <f>SUM(OSRRefD22_1x_0)</f>
        <v>4766.68</v>
      </c>
      <c r="E50" s="1"/>
      <c r="F50" s="5">
        <f t="shared" ref="F50:F53" si="29">IF(D$12=0,0,D50/D$12)</f>
        <v>0.3224056171468806</v>
      </c>
      <c r="G50" s="1"/>
      <c r="H50" s="1">
        <f>SUM(OSRRefH22_1x_0)</f>
        <v>18.190000000000001</v>
      </c>
      <c r="I50" s="1"/>
      <c r="J50" s="5">
        <f t="shared" ref="J50:J53" si="30">IF(H$12=0,0,H50/H$12)</f>
        <v>0</v>
      </c>
      <c r="K50" s="1"/>
      <c r="L50" s="1">
        <f t="shared" ref="L50:L53" si="31">+D50-H50</f>
        <v>4748.4900000000007</v>
      </c>
      <c r="M50" s="1"/>
      <c r="N50" s="5">
        <f t="shared" ref="N50:N53" si="32">IF(H50=0,0,L50/H50)</f>
        <v>261.04947773501925</v>
      </c>
      <c r="O50" s="14"/>
      <c r="P50" s="1">
        <f>SUM(OSRRefP22_1x_0)</f>
        <v>10723.59</v>
      </c>
      <c r="Q50" s="1"/>
      <c r="R50" s="5">
        <f t="shared" ref="R50:R53" si="33">IF(P$12=0,0,P50/P$12)</f>
        <v>0.13025594133254106</v>
      </c>
      <c r="S50" s="1"/>
      <c r="T50" s="1">
        <f>SUM(OSRRefT22_1x_0)</f>
        <v>8152.5399999999991</v>
      </c>
      <c r="U50" s="1"/>
      <c r="V50" s="5">
        <f t="shared" ref="V50:V53" si="34">IF(T$12=0,0,T50/T$12)</f>
        <v>0.38253428128483963</v>
      </c>
      <c r="W50" s="1"/>
      <c r="X50" s="1">
        <f t="shared" ref="X50:X53" si="35">+P50-T50</f>
        <v>2571.0500000000011</v>
      </c>
      <c r="Y50" s="1"/>
      <c r="Z50" s="5">
        <f t="shared" ref="Z50:Z53" si="36">IF(T50=0,0,X50/T50)</f>
        <v>0.31536797120897309</v>
      </c>
    </row>
    <row r="51" spans="1:26" s="24" customFormat="1" hidden="1" outlineLevel="2" x14ac:dyDescent="0.3">
      <c r="A51" s="27"/>
      <c r="B51" s="11" t="str">
        <f>CONCATENATE("          ", "6005", " - ", "TEMPORARY WAGES-HOURLY")</f>
        <v xml:space="preserve">          6005 - TEMPORARY WAGES-HOURLY</v>
      </c>
      <c r="C51" s="11"/>
      <c r="D51" s="6"/>
      <c r="E51" s="2"/>
      <c r="F51" s="7">
        <f t="shared" si="29"/>
        <v>0</v>
      </c>
      <c r="G51" s="2"/>
      <c r="H51" s="6">
        <v>18.190000000000001</v>
      </c>
      <c r="I51" s="2"/>
      <c r="J51" s="7">
        <f t="shared" si="30"/>
        <v>0</v>
      </c>
      <c r="K51" s="2"/>
      <c r="L51" s="6">
        <f t="shared" si="31"/>
        <v>-18.190000000000001</v>
      </c>
      <c r="M51" s="2"/>
      <c r="N51" s="7">
        <f t="shared" si="32"/>
        <v>-1</v>
      </c>
      <c r="O51" s="11"/>
      <c r="P51" s="6">
        <v>134.81</v>
      </c>
      <c r="Q51" s="2"/>
      <c r="R51" s="7">
        <f t="shared" si="33"/>
        <v>1.6374929898513334E-3</v>
      </c>
      <c r="S51" s="2"/>
      <c r="T51" s="6">
        <v>5379.19</v>
      </c>
      <c r="U51" s="2"/>
      <c r="V51" s="7">
        <f t="shared" si="34"/>
        <v>0.25240288064144384</v>
      </c>
      <c r="W51" s="2"/>
      <c r="X51" s="6">
        <f t="shared" si="35"/>
        <v>-5244.3799999999992</v>
      </c>
      <c r="Y51" s="2"/>
      <c r="Z51" s="7">
        <f t="shared" si="36"/>
        <v>-0.97493860599830073</v>
      </c>
    </row>
    <row r="52" spans="1:26" s="24" customFormat="1" hidden="1" outlineLevel="2" x14ac:dyDescent="0.3">
      <c r="A52" s="27"/>
      <c r="B52" s="11" t="str">
        <f>CONCATENATE("          ", "6007", " - ", "STUDENT HOURLY")</f>
        <v xml:space="preserve">          6007 - STUDENT HOURLY</v>
      </c>
      <c r="C52" s="11"/>
      <c r="D52" s="6">
        <v>3684.6</v>
      </c>
      <c r="E52" s="2"/>
      <c r="F52" s="7">
        <f t="shared" si="29"/>
        <v>0.24921659036045971</v>
      </c>
      <c r="G52" s="2"/>
      <c r="H52" s="6"/>
      <c r="I52" s="2"/>
      <c r="J52" s="7">
        <f t="shared" si="30"/>
        <v>0</v>
      </c>
      <c r="K52" s="2"/>
      <c r="L52" s="6">
        <f t="shared" si="31"/>
        <v>3684.6</v>
      </c>
      <c r="M52" s="2"/>
      <c r="N52" s="7">
        <f t="shared" si="32"/>
        <v>0</v>
      </c>
      <c r="O52" s="11"/>
      <c r="P52" s="6">
        <v>8688.09</v>
      </c>
      <c r="Q52" s="2"/>
      <c r="R52" s="7">
        <f t="shared" si="33"/>
        <v>0.10553138839995158</v>
      </c>
      <c r="S52" s="2"/>
      <c r="T52" s="6">
        <v>2773.35</v>
      </c>
      <c r="U52" s="2"/>
      <c r="V52" s="7">
        <f t="shared" si="34"/>
        <v>0.13013140064339582</v>
      </c>
      <c r="W52" s="2"/>
      <c r="X52" s="6">
        <f t="shared" si="35"/>
        <v>5914.74</v>
      </c>
      <c r="Y52" s="2"/>
      <c r="Z52" s="7">
        <f t="shared" si="36"/>
        <v>2.1327059332576126</v>
      </c>
    </row>
    <row r="53" spans="1:26" s="24" customFormat="1" hidden="1" outlineLevel="2" x14ac:dyDescent="0.3">
      <c r="A53" s="27"/>
      <c r="B53" s="11" t="str">
        <f>CONCATENATE("          ", "6008", " - ", "STUDENT HOURLY-FICA EXEMPT")</f>
        <v xml:space="preserve">          6008 - STUDENT HOURLY-FICA EXEMPT</v>
      </c>
      <c r="C53" s="11"/>
      <c r="D53" s="6">
        <v>1082.08</v>
      </c>
      <c r="E53" s="2"/>
      <c r="F53" s="7">
        <f t="shared" si="29"/>
        <v>7.3189026786420849E-2</v>
      </c>
      <c r="G53" s="2"/>
      <c r="H53" s="6"/>
      <c r="I53" s="2"/>
      <c r="J53" s="7">
        <f t="shared" si="30"/>
        <v>0</v>
      </c>
      <c r="K53" s="2"/>
      <c r="L53" s="6">
        <f t="shared" si="31"/>
        <v>1082.08</v>
      </c>
      <c r="M53" s="2"/>
      <c r="N53" s="7">
        <f t="shared" si="32"/>
        <v>0</v>
      </c>
      <c r="O53" s="11"/>
      <c r="P53" s="6">
        <v>1900.69</v>
      </c>
      <c r="Q53" s="2"/>
      <c r="R53" s="7">
        <f t="shared" si="33"/>
        <v>2.3087059942738158E-2</v>
      </c>
      <c r="S53" s="2"/>
      <c r="T53" s="6"/>
      <c r="U53" s="2"/>
      <c r="V53" s="7">
        <f t="shared" si="34"/>
        <v>0</v>
      </c>
      <c r="W53" s="2"/>
      <c r="X53" s="6">
        <f t="shared" si="35"/>
        <v>1900.69</v>
      </c>
      <c r="Y53" s="2"/>
      <c r="Z53" s="7">
        <f t="shared" si="36"/>
        <v>0</v>
      </c>
    </row>
    <row r="54" spans="1:26" s="29" customFormat="1" outlineLevel="1" collapsed="1" x14ac:dyDescent="0.3">
      <c r="A54" s="28"/>
      <c r="B54" s="14" t="str">
        <f>CONCATENATE("     ","Advertising/Promo                                 ")</f>
        <v xml:space="preserve">     Advertising/Promo                                 </v>
      </c>
      <c r="C54" s="14"/>
      <c r="D54" s="1">
        <f>SUM(OSRRefD22_2x_0)</f>
        <v>1019.63</v>
      </c>
      <c r="E54" s="1"/>
      <c r="F54" s="5">
        <f t="shared" ref="F54:F60" si="37">IF(D$12=0,0,D54/D$12)</f>
        <v>6.8965074100101928E-2</v>
      </c>
      <c r="G54" s="1"/>
      <c r="H54" s="1">
        <f>SUM(OSRRefH22_2x_0)</f>
        <v>0</v>
      </c>
      <c r="I54" s="1"/>
      <c r="J54" s="5">
        <f t="shared" ref="J54:J60" si="38">IF(H$12=0,0,H54/H$12)</f>
        <v>0</v>
      </c>
      <c r="K54" s="1"/>
      <c r="L54" s="1">
        <f t="shared" ref="L54:L60" si="39">+D54-H54</f>
        <v>1019.63</v>
      </c>
      <c r="M54" s="1"/>
      <c r="N54" s="5">
        <f t="shared" ref="N54:N60" si="40">IF(H54=0,0,L54/H54)</f>
        <v>0</v>
      </c>
      <c r="O54" s="14"/>
      <c r="P54" s="1">
        <f>SUM(OSRRefP22_2x_0)</f>
        <v>1188.43</v>
      </c>
      <c r="Q54" s="1"/>
      <c r="R54" s="5">
        <f t="shared" ref="R54:R60" si="41">IF(P$12=0,0,P54/P$12)</f>
        <v>1.4435470617380167E-2</v>
      </c>
      <c r="S54" s="1"/>
      <c r="T54" s="1">
        <f>SUM(OSRRefT22_2x_0)</f>
        <v>124.72</v>
      </c>
      <c r="U54" s="1"/>
      <c r="V54" s="5">
        <f t="shared" ref="V54:V60" si="42">IF(T$12=0,0,T54/T$12)</f>
        <v>5.8521240695347957E-3</v>
      </c>
      <c r="W54" s="1"/>
      <c r="X54" s="1">
        <f t="shared" ref="X54:X60" si="43">+P54-T54</f>
        <v>1063.71</v>
      </c>
      <c r="Y54" s="1"/>
      <c r="Z54" s="5">
        <f t="shared" ref="Z54:Z60" si="44">IF(T54=0,0,X54/T54)</f>
        <v>8.528784477228994</v>
      </c>
    </row>
    <row r="55" spans="1:26" s="24" customFormat="1" hidden="1" outlineLevel="2" x14ac:dyDescent="0.3">
      <c r="A55" s="27"/>
      <c r="B55" s="11" t="str">
        <f>CONCATENATE("          ", "6362", " - ", "ADVERTISING EXPENSE")</f>
        <v xml:space="preserve">          6362 - ADVERTISING EXPENSE</v>
      </c>
      <c r="C55" s="11"/>
      <c r="D55" s="6">
        <v>1019.63</v>
      </c>
      <c r="E55" s="2"/>
      <c r="F55" s="7">
        <f t="shared" si="37"/>
        <v>6.8965074100101928E-2</v>
      </c>
      <c r="G55" s="2"/>
      <c r="H55" s="6"/>
      <c r="I55" s="2"/>
      <c r="J55" s="7">
        <f t="shared" si="38"/>
        <v>0</v>
      </c>
      <c r="K55" s="2"/>
      <c r="L55" s="6">
        <f t="shared" si="39"/>
        <v>1019.63</v>
      </c>
      <c r="M55" s="2"/>
      <c r="N55" s="7">
        <f t="shared" si="40"/>
        <v>0</v>
      </c>
      <c r="O55" s="11"/>
      <c r="P55" s="6">
        <v>1188.43</v>
      </c>
      <c r="Q55" s="2"/>
      <c r="R55" s="7">
        <f t="shared" si="41"/>
        <v>1.4435470617380167E-2</v>
      </c>
      <c r="S55" s="2"/>
      <c r="T55" s="6">
        <v>124.72</v>
      </c>
      <c r="U55" s="2"/>
      <c r="V55" s="7">
        <f t="shared" si="42"/>
        <v>5.8521240695347957E-3</v>
      </c>
      <c r="W55" s="2"/>
      <c r="X55" s="6">
        <f t="shared" si="43"/>
        <v>1063.71</v>
      </c>
      <c r="Y55" s="2"/>
      <c r="Z55" s="7">
        <f t="shared" si="44"/>
        <v>8.528784477228994</v>
      </c>
    </row>
    <row r="56" spans="1:26" s="29" customFormat="1" outlineLevel="1" collapsed="1" x14ac:dyDescent="0.3">
      <c r="A56" s="28"/>
      <c r="B56" s="14" t="str">
        <f>CONCATENATE("     ","Bad Debts/Over/Short                              ")</f>
        <v xml:space="preserve">     Bad Debts/Over/Short                              </v>
      </c>
      <c r="C56" s="14"/>
      <c r="D56" s="1">
        <f>SUM(OSRRefD22_3x_0)</f>
        <v>-0.57999999999999996</v>
      </c>
      <c r="E56" s="1"/>
      <c r="F56" s="5">
        <f t="shared" si="37"/>
        <v>-3.922966466076823E-5</v>
      </c>
      <c r="G56" s="1"/>
      <c r="H56" s="1">
        <f>SUM(OSRRefH22_3x_0)</f>
        <v>0</v>
      </c>
      <c r="I56" s="1"/>
      <c r="J56" s="5">
        <f t="shared" si="38"/>
        <v>0</v>
      </c>
      <c r="K56" s="1"/>
      <c r="L56" s="1">
        <f t="shared" si="39"/>
        <v>-0.57999999999999996</v>
      </c>
      <c r="M56" s="1"/>
      <c r="N56" s="5">
        <f t="shared" si="40"/>
        <v>0</v>
      </c>
      <c r="O56" s="14"/>
      <c r="P56" s="1">
        <f>SUM(OSRRefP22_3x_0)</f>
        <v>-3.47</v>
      </c>
      <c r="Q56" s="1"/>
      <c r="R56" s="5">
        <f t="shared" si="41"/>
        <v>-4.2148955380046935E-5</v>
      </c>
      <c r="S56" s="1"/>
      <c r="T56" s="1">
        <f>SUM(OSRRefT22_3x_0)</f>
        <v>1.1000000000000001</v>
      </c>
      <c r="U56" s="1"/>
      <c r="V56" s="5">
        <f t="shared" si="42"/>
        <v>5.1614307861516002E-5</v>
      </c>
      <c r="W56" s="1"/>
      <c r="X56" s="1">
        <f t="shared" si="43"/>
        <v>-4.57</v>
      </c>
      <c r="Y56" s="1"/>
      <c r="Z56" s="5">
        <f t="shared" si="44"/>
        <v>-4.1545454545454543</v>
      </c>
    </row>
    <row r="57" spans="1:26" s="24" customFormat="1" hidden="1" outlineLevel="2" x14ac:dyDescent="0.3">
      <c r="A57" s="27"/>
      <c r="B57" s="11" t="str">
        <f>CONCATENATE("          ", "6272", " - ", "CASH (OVER/SHORT)")</f>
        <v xml:space="preserve">          6272 - CASH (OVER/SHORT)</v>
      </c>
      <c r="C57" s="11"/>
      <c r="D57" s="6">
        <v>-0.57999999999999996</v>
      </c>
      <c r="E57" s="2"/>
      <c r="F57" s="7">
        <f t="shared" si="37"/>
        <v>-3.922966466076823E-5</v>
      </c>
      <c r="G57" s="2"/>
      <c r="H57" s="6"/>
      <c r="I57" s="2"/>
      <c r="J57" s="7">
        <f t="shared" si="38"/>
        <v>0</v>
      </c>
      <c r="K57" s="2"/>
      <c r="L57" s="6">
        <f t="shared" si="39"/>
        <v>-0.57999999999999996</v>
      </c>
      <c r="M57" s="2"/>
      <c r="N57" s="7">
        <f t="shared" si="40"/>
        <v>0</v>
      </c>
      <c r="O57" s="11"/>
      <c r="P57" s="6">
        <v>-3.47</v>
      </c>
      <c r="Q57" s="2"/>
      <c r="R57" s="7">
        <f t="shared" si="41"/>
        <v>-4.2148955380046935E-5</v>
      </c>
      <c r="S57" s="2"/>
      <c r="T57" s="6">
        <v>1.1000000000000001</v>
      </c>
      <c r="U57" s="2"/>
      <c r="V57" s="7">
        <f t="shared" si="42"/>
        <v>5.1614307861516002E-5</v>
      </c>
      <c r="W57" s="2"/>
      <c r="X57" s="6">
        <f t="shared" si="43"/>
        <v>-4.57</v>
      </c>
      <c r="Y57" s="2"/>
      <c r="Z57" s="7">
        <f t="shared" si="44"/>
        <v>-4.1545454545454543</v>
      </c>
    </row>
    <row r="58" spans="1:26" s="29" customFormat="1" outlineLevel="1" collapsed="1" x14ac:dyDescent="0.3">
      <c r="A58" s="28"/>
      <c r="B58" s="14" t="str">
        <f>CONCATENATE("     ","Discounts and Markdowns                           ")</f>
        <v xml:space="preserve">     Discounts and Markdowns                           </v>
      </c>
      <c r="C58" s="14"/>
      <c r="D58" s="1">
        <f>SUM(OSRRefD22_4x_0)</f>
        <v>2.19</v>
      </c>
      <c r="E58" s="1"/>
      <c r="F58" s="5">
        <f t="shared" si="37"/>
        <v>1.4812580277083178E-4</v>
      </c>
      <c r="G58" s="1"/>
      <c r="H58" s="1">
        <f>SUM(OSRRefH22_4x_0)</f>
        <v>418.85</v>
      </c>
      <c r="I58" s="1"/>
      <c r="J58" s="5">
        <f t="shared" si="38"/>
        <v>0</v>
      </c>
      <c r="K58" s="1"/>
      <c r="L58" s="1">
        <f t="shared" si="39"/>
        <v>-416.66</v>
      </c>
      <c r="M58" s="1"/>
      <c r="N58" s="5">
        <f t="shared" si="40"/>
        <v>-0.99477139787513436</v>
      </c>
      <c r="O58" s="14"/>
      <c r="P58" s="1">
        <f>SUM(OSRRefP22_4x_0)</f>
        <v>-41.35</v>
      </c>
      <c r="Q58" s="1"/>
      <c r="R58" s="5">
        <f t="shared" si="41"/>
        <v>-5.0226492938470915E-4</v>
      </c>
      <c r="S58" s="1"/>
      <c r="T58" s="1">
        <f>SUM(OSRRefT22_4x_0)</f>
        <v>0</v>
      </c>
      <c r="U58" s="1"/>
      <c r="V58" s="5">
        <f t="shared" si="42"/>
        <v>0</v>
      </c>
      <c r="W58" s="1"/>
      <c r="X58" s="1">
        <f t="shared" si="43"/>
        <v>-41.35</v>
      </c>
      <c r="Y58" s="1"/>
      <c r="Z58" s="5">
        <f t="shared" si="44"/>
        <v>0</v>
      </c>
    </row>
    <row r="59" spans="1:26" s="24" customFormat="1" hidden="1" outlineLevel="2" x14ac:dyDescent="0.3">
      <c r="A59" s="27"/>
      <c r="B59" s="11" t="str">
        <f>CONCATENATE("          ", "6382", " - ", "DISCOUNTS/MARK DOWNS")</f>
        <v xml:space="preserve">          6382 - DISCOUNTS/MARK DOWNS</v>
      </c>
      <c r="C59" s="11"/>
      <c r="D59" s="6"/>
      <c r="E59" s="2"/>
      <c r="F59" s="7">
        <f t="shared" si="37"/>
        <v>0</v>
      </c>
      <c r="G59" s="2"/>
      <c r="H59" s="6"/>
      <c r="I59" s="2"/>
      <c r="J59" s="7">
        <f t="shared" si="38"/>
        <v>0</v>
      </c>
      <c r="K59" s="2"/>
      <c r="L59" s="6">
        <f t="shared" si="39"/>
        <v>0</v>
      </c>
      <c r="M59" s="2"/>
      <c r="N59" s="7">
        <f t="shared" si="40"/>
        <v>0</v>
      </c>
      <c r="O59" s="11"/>
      <c r="P59" s="6"/>
      <c r="Q59" s="2"/>
      <c r="R59" s="7">
        <f t="shared" si="41"/>
        <v>0</v>
      </c>
      <c r="S59" s="2"/>
      <c r="T59" s="6">
        <v>0</v>
      </c>
      <c r="U59" s="2"/>
      <c r="V59" s="7">
        <f t="shared" si="42"/>
        <v>0</v>
      </c>
      <c r="W59" s="2"/>
      <c r="X59" s="6">
        <f t="shared" si="43"/>
        <v>0</v>
      </c>
      <c r="Y59" s="2"/>
      <c r="Z59" s="7">
        <f t="shared" si="44"/>
        <v>0</v>
      </c>
    </row>
    <row r="60" spans="1:26" s="24" customFormat="1" hidden="1" outlineLevel="2" x14ac:dyDescent="0.3">
      <c r="A60" s="27"/>
      <c r="B60" s="11" t="str">
        <f>CONCATENATE("          ", "9175", " - ", "EARNED DISCOUNTS")</f>
        <v xml:space="preserve">          9175 - EARNED DISCOUNTS</v>
      </c>
      <c r="C60" s="11"/>
      <c r="D60" s="6">
        <v>2.19</v>
      </c>
      <c r="E60" s="2"/>
      <c r="F60" s="7">
        <f t="shared" si="37"/>
        <v>1.4812580277083178E-4</v>
      </c>
      <c r="G60" s="2"/>
      <c r="H60" s="6">
        <v>418.85</v>
      </c>
      <c r="I60" s="2"/>
      <c r="J60" s="7">
        <f t="shared" si="38"/>
        <v>0</v>
      </c>
      <c r="K60" s="2"/>
      <c r="L60" s="6">
        <f t="shared" si="39"/>
        <v>-416.66</v>
      </c>
      <c r="M60" s="2"/>
      <c r="N60" s="7">
        <f t="shared" si="40"/>
        <v>-0.99477139787513436</v>
      </c>
      <c r="O60" s="11"/>
      <c r="P60" s="6">
        <v>-41.35</v>
      </c>
      <c r="Q60" s="2"/>
      <c r="R60" s="7">
        <f t="shared" si="41"/>
        <v>-5.0226492938470915E-4</v>
      </c>
      <c r="S60" s="2"/>
      <c r="T60" s="6">
        <v>0</v>
      </c>
      <c r="U60" s="2"/>
      <c r="V60" s="7">
        <f t="shared" si="42"/>
        <v>0</v>
      </c>
      <c r="W60" s="2"/>
      <c r="X60" s="6">
        <f t="shared" si="43"/>
        <v>-41.35</v>
      </c>
      <c r="Y60" s="2"/>
      <c r="Z60" s="7">
        <f t="shared" si="44"/>
        <v>0</v>
      </c>
    </row>
    <row r="61" spans="1:26" s="29" customFormat="1" outlineLevel="1" collapsed="1" x14ac:dyDescent="0.3">
      <c r="A61" s="28"/>
      <c r="B61" s="14" t="str">
        <f>CONCATENATE("     ","Freight out/Postage                               ")</f>
        <v xml:space="preserve">     Freight out/Postage                               </v>
      </c>
      <c r="C61" s="14"/>
      <c r="D61" s="1">
        <f>SUM(OSRRefD22_5x_0)</f>
        <v>0</v>
      </c>
      <c r="E61" s="1"/>
      <c r="F61" s="5">
        <f t="shared" ref="F61:F63" si="45">IF(D$12=0,0,D61/D$12)</f>
        <v>0</v>
      </c>
      <c r="G61" s="1"/>
      <c r="H61" s="1">
        <f>SUM(OSRRefH22_5x_0)</f>
        <v>0</v>
      </c>
      <c r="I61" s="1"/>
      <c r="J61" s="5">
        <f t="shared" ref="J61:J63" si="46">IF(H$12=0,0,H61/H$12)</f>
        <v>0</v>
      </c>
      <c r="K61" s="1"/>
      <c r="L61" s="1">
        <f t="shared" ref="L61:L63" si="47">+D61-H61</f>
        <v>0</v>
      </c>
      <c r="M61" s="1"/>
      <c r="N61" s="5">
        <f t="shared" ref="N61:N63" si="48">IF(H61=0,0,L61/H61)</f>
        <v>0</v>
      </c>
      <c r="O61" s="14"/>
      <c r="P61" s="1">
        <f>SUM(OSRRefP22_5x_0)</f>
        <v>54.5</v>
      </c>
      <c r="Q61" s="1"/>
      <c r="R61" s="5">
        <f t="shared" ref="R61:R63" si="49">IF(P$12=0,0,P61/P$12)</f>
        <v>6.619936796001607E-4</v>
      </c>
      <c r="S61" s="1"/>
      <c r="T61" s="1">
        <f>SUM(OSRRefT22_5x_0)</f>
        <v>0</v>
      </c>
      <c r="U61" s="1"/>
      <c r="V61" s="5">
        <f t="shared" ref="V61:V63" si="50">IF(T$12=0,0,T61/T$12)</f>
        <v>0</v>
      </c>
      <c r="W61" s="1"/>
      <c r="X61" s="1">
        <f t="shared" ref="X61:X63" si="51">+P61-T61</f>
        <v>54.5</v>
      </c>
      <c r="Y61" s="1"/>
      <c r="Z61" s="5">
        <f t="shared" ref="Z61:Z63" si="52">IF(T61=0,0,X61/T61)</f>
        <v>0</v>
      </c>
    </row>
    <row r="62" spans="1:26" s="24" customFormat="1" hidden="1" outlineLevel="2" x14ac:dyDescent="0.3">
      <c r="A62" s="27"/>
      <c r="B62" s="11" t="str">
        <f>CONCATENATE("          ", "6305", " - ", "FREIGHT OUT")</f>
        <v xml:space="preserve">          6305 - FREIGHT OUT</v>
      </c>
      <c r="C62" s="11"/>
      <c r="D62" s="6"/>
      <c r="E62" s="2"/>
      <c r="F62" s="7">
        <f t="shared" si="45"/>
        <v>0</v>
      </c>
      <c r="G62" s="2"/>
      <c r="H62" s="6"/>
      <c r="I62" s="2"/>
      <c r="J62" s="7">
        <f t="shared" si="46"/>
        <v>0</v>
      </c>
      <c r="K62" s="2"/>
      <c r="L62" s="6">
        <f t="shared" si="47"/>
        <v>0</v>
      </c>
      <c r="M62" s="2"/>
      <c r="N62" s="7">
        <f t="shared" si="48"/>
        <v>0</v>
      </c>
      <c r="O62" s="11"/>
      <c r="P62" s="6"/>
      <c r="Q62" s="2"/>
      <c r="R62" s="7">
        <f t="shared" si="49"/>
        <v>0</v>
      </c>
      <c r="S62" s="2"/>
      <c r="T62" s="6">
        <v>0</v>
      </c>
      <c r="U62" s="2"/>
      <c r="V62" s="7">
        <f t="shared" si="50"/>
        <v>0</v>
      </c>
      <c r="W62" s="2"/>
      <c r="X62" s="6">
        <f t="shared" si="51"/>
        <v>0</v>
      </c>
      <c r="Y62" s="2"/>
      <c r="Z62" s="7">
        <f t="shared" si="52"/>
        <v>0</v>
      </c>
    </row>
    <row r="63" spans="1:26" s="24" customFormat="1" hidden="1" outlineLevel="2" x14ac:dyDescent="0.3">
      <c r="A63" s="27"/>
      <c r="B63" s="11" t="str">
        <f>CONCATENATE("          ", "6307", " - ", "POSTAGE")</f>
        <v xml:space="preserve">          6307 - POSTAGE</v>
      </c>
      <c r="C63" s="11"/>
      <c r="D63" s="6"/>
      <c r="E63" s="2"/>
      <c r="F63" s="7">
        <f t="shared" si="45"/>
        <v>0</v>
      </c>
      <c r="G63" s="2"/>
      <c r="H63" s="6"/>
      <c r="I63" s="2"/>
      <c r="J63" s="7">
        <f t="shared" si="46"/>
        <v>0</v>
      </c>
      <c r="K63" s="2"/>
      <c r="L63" s="6">
        <f t="shared" si="47"/>
        <v>0</v>
      </c>
      <c r="M63" s="2"/>
      <c r="N63" s="7">
        <f t="shared" si="48"/>
        <v>0</v>
      </c>
      <c r="O63" s="11"/>
      <c r="P63" s="6">
        <v>54.5</v>
      </c>
      <c r="Q63" s="2"/>
      <c r="R63" s="7">
        <f t="shared" si="49"/>
        <v>6.619936796001607E-4</v>
      </c>
      <c r="S63" s="2"/>
      <c r="T63" s="6"/>
      <c r="U63" s="2"/>
      <c r="V63" s="7">
        <f t="shared" si="50"/>
        <v>0</v>
      </c>
      <c r="W63" s="2"/>
      <c r="X63" s="6">
        <f t="shared" si="51"/>
        <v>54.5</v>
      </c>
      <c r="Y63" s="2"/>
      <c r="Z63" s="7">
        <f t="shared" si="52"/>
        <v>0</v>
      </c>
    </row>
    <row r="64" spans="1:26" s="29" customFormat="1" outlineLevel="1" collapsed="1" x14ac:dyDescent="0.3">
      <c r="A64" s="28"/>
      <c r="B64" s="14" t="str">
        <f>CONCATENATE("     ","General                                           ")</f>
        <v xml:space="preserve">     General                                           </v>
      </c>
      <c r="C64" s="14"/>
      <c r="D64" s="1">
        <f>SUM(OSRRefD22_6x_0)</f>
        <v>0</v>
      </c>
      <c r="E64" s="1"/>
      <c r="F64" s="5">
        <f t="shared" ref="F64:F70" si="53">IF(D$12=0,0,D64/D$12)</f>
        <v>0</v>
      </c>
      <c r="G64" s="1"/>
      <c r="H64" s="1">
        <f>SUM(OSRRefH22_6x_0)</f>
        <v>0</v>
      </c>
      <c r="I64" s="1"/>
      <c r="J64" s="5">
        <f t="shared" ref="J64:J70" si="54">IF(H$12=0,0,H64/H$12)</f>
        <v>0</v>
      </c>
      <c r="K64" s="1"/>
      <c r="L64" s="1">
        <f t="shared" ref="L64:L70" si="55">+D64-H64</f>
        <v>0</v>
      </c>
      <c r="M64" s="1"/>
      <c r="N64" s="5">
        <f t="shared" ref="N64:N70" si="56">IF(H64=0,0,L64/H64)</f>
        <v>0</v>
      </c>
      <c r="O64" s="14"/>
      <c r="P64" s="1">
        <f>SUM(OSRRefP22_6x_0)</f>
        <v>228.04</v>
      </c>
      <c r="Q64" s="1"/>
      <c r="R64" s="5">
        <f t="shared" ref="R64:R70" si="57">IF(P$12=0,0,P64/P$12)</f>
        <v>2.7699273155233147E-3</v>
      </c>
      <c r="S64" s="1"/>
      <c r="T64" s="1">
        <f>SUM(OSRRefT22_6x_0)</f>
        <v>719.55</v>
      </c>
      <c r="U64" s="1"/>
      <c r="V64" s="5">
        <f t="shared" ref="V64:V70" si="58">IF(T$12=0,0,T64/T$12)</f>
        <v>3.3762795656139849E-2</v>
      </c>
      <c r="W64" s="1"/>
      <c r="X64" s="1">
        <f t="shared" ref="X64:X70" si="59">+P64-T64</f>
        <v>-491.51</v>
      </c>
      <c r="Y64" s="1"/>
      <c r="Z64" s="5">
        <f t="shared" ref="Z64:Z70" si="60">IF(T64=0,0,X64/T64)</f>
        <v>-0.68307970259189776</v>
      </c>
    </row>
    <row r="65" spans="1:26" s="24" customFormat="1" hidden="1" outlineLevel="2" x14ac:dyDescent="0.3">
      <c r="A65" s="27"/>
      <c r="B65" s="11" t="str">
        <f>CONCATENATE("          ", "6279", " - ", "GENERAL EXPENSE")</f>
        <v xml:space="preserve">          6279 - GENERAL EXPENSE</v>
      </c>
      <c r="C65" s="11"/>
      <c r="D65" s="6"/>
      <c r="E65" s="2"/>
      <c r="F65" s="7">
        <f t="shared" si="53"/>
        <v>0</v>
      </c>
      <c r="G65" s="2"/>
      <c r="H65" s="6"/>
      <c r="I65" s="2"/>
      <c r="J65" s="7">
        <f t="shared" si="54"/>
        <v>0</v>
      </c>
      <c r="K65" s="2"/>
      <c r="L65" s="6">
        <f t="shared" si="55"/>
        <v>0</v>
      </c>
      <c r="M65" s="2"/>
      <c r="N65" s="7">
        <f t="shared" si="56"/>
        <v>0</v>
      </c>
      <c r="O65" s="11"/>
      <c r="P65" s="6">
        <v>228.04</v>
      </c>
      <c r="Q65" s="2"/>
      <c r="R65" s="7">
        <f t="shared" si="57"/>
        <v>2.7699273155233147E-3</v>
      </c>
      <c r="S65" s="2"/>
      <c r="T65" s="6">
        <v>719.55</v>
      </c>
      <c r="U65" s="2"/>
      <c r="V65" s="7">
        <f t="shared" si="58"/>
        <v>3.3762795656139849E-2</v>
      </c>
      <c r="W65" s="2"/>
      <c r="X65" s="6">
        <f t="shared" si="59"/>
        <v>-491.51</v>
      </c>
      <c r="Y65" s="2"/>
      <c r="Z65" s="7">
        <f t="shared" si="60"/>
        <v>-0.68307970259189776</v>
      </c>
    </row>
    <row r="66" spans="1:26" s="29" customFormat="1" outlineLevel="1" collapsed="1" x14ac:dyDescent="0.3">
      <c r="A66" s="28"/>
      <c r="B66" s="14" t="str">
        <f>CONCATENATE("     ","Inventory Adjustment                              ")</f>
        <v xml:space="preserve">     Inventory Adjustment                              </v>
      </c>
      <c r="C66" s="14"/>
      <c r="D66" s="1">
        <f>SUM(OSRRefD22_7x_0)</f>
        <v>650</v>
      </c>
      <c r="E66" s="1"/>
      <c r="F66" s="5">
        <f t="shared" si="53"/>
        <v>4.3964279361205783E-2</v>
      </c>
      <c r="G66" s="1"/>
      <c r="H66" s="1">
        <f>SUM(OSRRefH22_7x_0)</f>
        <v>0</v>
      </c>
      <c r="I66" s="1"/>
      <c r="J66" s="5">
        <f t="shared" si="54"/>
        <v>0</v>
      </c>
      <c r="K66" s="1"/>
      <c r="L66" s="1">
        <f t="shared" si="55"/>
        <v>650</v>
      </c>
      <c r="M66" s="1"/>
      <c r="N66" s="5">
        <f t="shared" si="56"/>
        <v>0</v>
      </c>
      <c r="O66" s="14"/>
      <c r="P66" s="1">
        <f>SUM(OSRRefP22_7x_0)</f>
        <v>3250</v>
      </c>
      <c r="Q66" s="1"/>
      <c r="R66" s="5">
        <f t="shared" si="57"/>
        <v>3.9476687315605913E-2</v>
      </c>
      <c r="S66" s="1"/>
      <c r="T66" s="1">
        <f>SUM(OSRRefT22_7x_0)</f>
        <v>0</v>
      </c>
      <c r="U66" s="1"/>
      <c r="V66" s="5">
        <f t="shared" si="58"/>
        <v>0</v>
      </c>
      <c r="W66" s="1"/>
      <c r="X66" s="1">
        <f t="shared" si="59"/>
        <v>3250</v>
      </c>
      <c r="Y66" s="1"/>
      <c r="Z66" s="5">
        <f t="shared" si="60"/>
        <v>0</v>
      </c>
    </row>
    <row r="67" spans="1:26" s="24" customFormat="1" hidden="1" outlineLevel="2" x14ac:dyDescent="0.3">
      <c r="A67" s="27"/>
      <c r="B67" s="11" t="str">
        <f>CONCATENATE("          ", "6408", " - ", "INVENTORY ADJUSTMENT")</f>
        <v xml:space="preserve">          6408 - INVENTORY ADJUSTMENT</v>
      </c>
      <c r="C67" s="11"/>
      <c r="D67" s="6">
        <v>650</v>
      </c>
      <c r="E67" s="2"/>
      <c r="F67" s="7">
        <f t="shared" si="53"/>
        <v>4.3964279361205783E-2</v>
      </c>
      <c r="G67" s="2"/>
      <c r="H67" s="6"/>
      <c r="I67" s="2"/>
      <c r="J67" s="7">
        <f t="shared" si="54"/>
        <v>0</v>
      </c>
      <c r="K67" s="2"/>
      <c r="L67" s="6">
        <f t="shared" si="55"/>
        <v>650</v>
      </c>
      <c r="M67" s="2"/>
      <c r="N67" s="7">
        <f t="shared" si="56"/>
        <v>0</v>
      </c>
      <c r="O67" s="11"/>
      <c r="P67" s="6">
        <v>3250</v>
      </c>
      <c r="Q67" s="2"/>
      <c r="R67" s="7">
        <f t="shared" si="57"/>
        <v>3.9476687315605913E-2</v>
      </c>
      <c r="S67" s="2"/>
      <c r="T67" s="6"/>
      <c r="U67" s="2"/>
      <c r="V67" s="7">
        <f t="shared" si="58"/>
        <v>0</v>
      </c>
      <c r="W67" s="2"/>
      <c r="X67" s="6">
        <f t="shared" si="59"/>
        <v>3250</v>
      </c>
      <c r="Y67" s="2"/>
      <c r="Z67" s="7">
        <f t="shared" si="60"/>
        <v>0</v>
      </c>
    </row>
    <row r="68" spans="1:26" s="29" customFormat="1" outlineLevel="1" collapsed="1" x14ac:dyDescent="0.3">
      <c r="A68" s="28"/>
      <c r="B68" s="14" t="str">
        <f>CONCATENATE("     ","Repair and Maintenance                            ")</f>
        <v xml:space="preserve">     Repair and Maintenance                            </v>
      </c>
      <c r="C68" s="14"/>
      <c r="D68" s="1">
        <f>SUM(OSRRefD22_8x_0)</f>
        <v>0</v>
      </c>
      <c r="E68" s="1"/>
      <c r="F68" s="5">
        <f t="shared" si="53"/>
        <v>0</v>
      </c>
      <c r="G68" s="1"/>
      <c r="H68" s="1">
        <f>SUM(OSRRefH22_8x_0)</f>
        <v>0</v>
      </c>
      <c r="I68" s="1"/>
      <c r="J68" s="5">
        <f t="shared" si="54"/>
        <v>0</v>
      </c>
      <c r="K68" s="1"/>
      <c r="L68" s="1">
        <f t="shared" si="55"/>
        <v>0</v>
      </c>
      <c r="M68" s="1"/>
      <c r="N68" s="5">
        <f t="shared" si="56"/>
        <v>0</v>
      </c>
      <c r="O68" s="14"/>
      <c r="P68" s="1">
        <f>SUM(OSRRefP22_8x_0)</f>
        <v>244.32999999999998</v>
      </c>
      <c r="Q68" s="1"/>
      <c r="R68" s="5">
        <f t="shared" si="57"/>
        <v>2.9677966190221517E-3</v>
      </c>
      <c r="S68" s="1"/>
      <c r="T68" s="1">
        <f>SUM(OSRRefT22_8x_0)</f>
        <v>139.71</v>
      </c>
      <c r="U68" s="1"/>
      <c r="V68" s="5">
        <f t="shared" si="58"/>
        <v>6.555486319393092E-3</v>
      </c>
      <c r="W68" s="1"/>
      <c r="X68" s="1">
        <f t="shared" si="59"/>
        <v>104.61999999999998</v>
      </c>
      <c r="Y68" s="1"/>
      <c r="Z68" s="5">
        <f t="shared" si="60"/>
        <v>0.74883687638680096</v>
      </c>
    </row>
    <row r="69" spans="1:26" s="24" customFormat="1" hidden="1" outlineLevel="2" x14ac:dyDescent="0.3">
      <c r="A69" s="27"/>
      <c r="B69" s="11" t="str">
        <f>CONCATENATE("          ", "6373", " - ", "MAINTENANCE CONTRACTS")</f>
        <v xml:space="preserve">          6373 - MAINTENANCE CONTRACTS</v>
      </c>
      <c r="C69" s="11"/>
      <c r="D69" s="6"/>
      <c r="E69" s="2"/>
      <c r="F69" s="7">
        <f t="shared" si="53"/>
        <v>0</v>
      </c>
      <c r="G69" s="2"/>
      <c r="H69" s="6"/>
      <c r="I69" s="2"/>
      <c r="J69" s="7">
        <f t="shared" si="54"/>
        <v>0</v>
      </c>
      <c r="K69" s="2"/>
      <c r="L69" s="6">
        <f t="shared" si="55"/>
        <v>0</v>
      </c>
      <c r="M69" s="2"/>
      <c r="N69" s="7">
        <f t="shared" si="56"/>
        <v>0</v>
      </c>
      <c r="O69" s="11"/>
      <c r="P69" s="6">
        <v>61.11</v>
      </c>
      <c r="Q69" s="2"/>
      <c r="R69" s="7">
        <f t="shared" si="57"/>
        <v>7.4228318826359302E-4</v>
      </c>
      <c r="S69" s="2"/>
      <c r="T69" s="6">
        <v>139.71</v>
      </c>
      <c r="U69" s="2"/>
      <c r="V69" s="7">
        <f t="shared" si="58"/>
        <v>6.555486319393092E-3</v>
      </c>
      <c r="W69" s="2"/>
      <c r="X69" s="6">
        <f t="shared" si="59"/>
        <v>-78.600000000000009</v>
      </c>
      <c r="Y69" s="2"/>
      <c r="Z69" s="7">
        <f t="shared" si="60"/>
        <v>-0.56259394459952761</v>
      </c>
    </row>
    <row r="70" spans="1:26" s="24" customFormat="1" hidden="1" outlineLevel="2" x14ac:dyDescent="0.3">
      <c r="A70" s="27"/>
      <c r="B70" s="11" t="str">
        <f>CONCATENATE("          ", "6375", " - ", "OUTSIDE REPAIRS &amp; MAINTENANCE")</f>
        <v xml:space="preserve">          6375 - OUTSIDE REPAIRS &amp; MAINTENANCE</v>
      </c>
      <c r="C70" s="11"/>
      <c r="D70" s="6"/>
      <c r="E70" s="2"/>
      <c r="F70" s="7">
        <f t="shared" si="53"/>
        <v>0</v>
      </c>
      <c r="G70" s="2"/>
      <c r="H70" s="6"/>
      <c r="I70" s="2"/>
      <c r="J70" s="7">
        <f t="shared" si="54"/>
        <v>0</v>
      </c>
      <c r="K70" s="2"/>
      <c r="L70" s="6">
        <f t="shared" si="55"/>
        <v>0</v>
      </c>
      <c r="M70" s="2"/>
      <c r="N70" s="7">
        <f t="shared" si="56"/>
        <v>0</v>
      </c>
      <c r="O70" s="11"/>
      <c r="P70" s="6">
        <v>183.22</v>
      </c>
      <c r="Q70" s="2"/>
      <c r="R70" s="7">
        <f t="shared" si="57"/>
        <v>2.2255134307585587E-3</v>
      </c>
      <c r="S70" s="2"/>
      <c r="T70" s="6"/>
      <c r="U70" s="2"/>
      <c r="V70" s="7">
        <f t="shared" si="58"/>
        <v>0</v>
      </c>
      <c r="W70" s="2"/>
      <c r="X70" s="6">
        <f t="shared" si="59"/>
        <v>183.22</v>
      </c>
      <c r="Y70" s="2"/>
      <c r="Z70" s="7">
        <f t="shared" si="60"/>
        <v>0</v>
      </c>
    </row>
    <row r="71" spans="1:26" s="29" customFormat="1" outlineLevel="1" collapsed="1" x14ac:dyDescent="0.3">
      <c r="A71" s="28"/>
      <c r="B71" s="14" t="str">
        <f>CONCATENATE("     ","Services                                          ")</f>
        <v xml:space="preserve">     Services                                          </v>
      </c>
      <c r="C71" s="14"/>
      <c r="D71" s="1">
        <f>SUM(OSRRefD22_9x_0)</f>
        <v>123.45</v>
      </c>
      <c r="E71" s="1"/>
      <c r="F71" s="5">
        <f t="shared" ref="F71:F73" si="61">IF(D$12=0,0,D71/D$12)</f>
        <v>8.3498312109859286E-3</v>
      </c>
      <c r="G71" s="1"/>
      <c r="H71" s="1">
        <f>SUM(OSRRefH22_9x_0)</f>
        <v>44</v>
      </c>
      <c r="I71" s="1"/>
      <c r="J71" s="5">
        <f t="shared" ref="J71:J73" si="62">IF(H$12=0,0,H71/H$12)</f>
        <v>0</v>
      </c>
      <c r="K71" s="1"/>
      <c r="L71" s="1">
        <f t="shared" ref="L71:L73" si="63">+D71-H71</f>
        <v>79.45</v>
      </c>
      <c r="M71" s="1"/>
      <c r="N71" s="5">
        <f t="shared" ref="N71:N73" si="64">IF(H71=0,0,L71/H71)</f>
        <v>1.8056818181818182</v>
      </c>
      <c r="O71" s="14"/>
      <c r="P71" s="1">
        <f>SUM(OSRRefP22_9x_0)</f>
        <v>3163.44</v>
      </c>
      <c r="Q71" s="1"/>
      <c r="R71" s="5">
        <f t="shared" ref="R71:R73" si="65">IF(P$12=0,0,P71/P$12)</f>
        <v>3.8425271298978575E-2</v>
      </c>
      <c r="S71" s="1"/>
      <c r="T71" s="1">
        <f>SUM(OSRRefT22_9x_0)</f>
        <v>18.5</v>
      </c>
      <c r="U71" s="1"/>
      <c r="V71" s="5">
        <f t="shared" ref="V71:V73" si="66">IF(T$12=0,0,T71/T$12)</f>
        <v>8.6805881403458724E-4</v>
      </c>
      <c r="W71" s="1"/>
      <c r="X71" s="1">
        <f t="shared" ref="X71:X73" si="67">+P71-T71</f>
        <v>3144.94</v>
      </c>
      <c r="Y71" s="1"/>
      <c r="Z71" s="5">
        <f t="shared" ref="Z71:Z73" si="68">IF(T71=0,0,X71/T71)</f>
        <v>169.99675675675675</v>
      </c>
    </row>
    <row r="72" spans="1:26" s="24" customFormat="1" hidden="1" outlineLevel="2" x14ac:dyDescent="0.3">
      <c r="A72" s="27"/>
      <c r="B72" s="11" t="str">
        <f>CONCATENATE("          ", "6282", " - ", "JANITORIAL/EXTERMINATOR EXPENS")</f>
        <v xml:space="preserve">          6282 - JANITORIAL/EXTERMINATOR EXPENS</v>
      </c>
      <c r="C72" s="11"/>
      <c r="D72" s="6"/>
      <c r="E72" s="2"/>
      <c r="F72" s="7">
        <f t="shared" si="61"/>
        <v>0</v>
      </c>
      <c r="G72" s="2"/>
      <c r="H72" s="6">
        <v>44</v>
      </c>
      <c r="I72" s="2"/>
      <c r="J72" s="7">
        <f t="shared" si="62"/>
        <v>0</v>
      </c>
      <c r="K72" s="2"/>
      <c r="L72" s="6">
        <f t="shared" si="63"/>
        <v>-44</v>
      </c>
      <c r="M72" s="2"/>
      <c r="N72" s="7">
        <f t="shared" si="64"/>
        <v>-1</v>
      </c>
      <c r="O72" s="11"/>
      <c r="P72" s="6">
        <v>491.6</v>
      </c>
      <c r="Q72" s="2"/>
      <c r="R72" s="7">
        <f t="shared" si="65"/>
        <v>5.9713044567236521E-3</v>
      </c>
      <c r="S72" s="2"/>
      <c r="T72" s="6">
        <v>176</v>
      </c>
      <c r="U72" s="2"/>
      <c r="V72" s="7">
        <f t="shared" si="66"/>
        <v>8.2582892578425601E-3</v>
      </c>
      <c r="W72" s="2"/>
      <c r="X72" s="6">
        <f t="shared" si="67"/>
        <v>315.60000000000002</v>
      </c>
      <c r="Y72" s="2"/>
      <c r="Z72" s="7">
        <f t="shared" si="68"/>
        <v>1.7931818181818182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123.45</v>
      </c>
      <c r="E73" s="2"/>
      <c r="F73" s="7">
        <f t="shared" si="61"/>
        <v>8.3498312109859286E-3</v>
      </c>
      <c r="G73" s="2"/>
      <c r="H73" s="6"/>
      <c r="I73" s="2"/>
      <c r="J73" s="7">
        <f t="shared" si="62"/>
        <v>0</v>
      </c>
      <c r="K73" s="2"/>
      <c r="L73" s="6">
        <f t="shared" si="63"/>
        <v>123.45</v>
      </c>
      <c r="M73" s="2"/>
      <c r="N73" s="7">
        <f t="shared" si="64"/>
        <v>0</v>
      </c>
      <c r="O73" s="11"/>
      <c r="P73" s="6">
        <v>2671.84</v>
      </c>
      <c r="Q73" s="2"/>
      <c r="R73" s="7">
        <f t="shared" si="65"/>
        <v>3.2453966842254926E-2</v>
      </c>
      <c r="S73" s="2"/>
      <c r="T73" s="6">
        <v>-157.5</v>
      </c>
      <c r="U73" s="2"/>
      <c r="V73" s="7">
        <f t="shared" si="66"/>
        <v>-7.3902304438079732E-3</v>
      </c>
      <c r="W73" s="2"/>
      <c r="X73" s="6">
        <f t="shared" si="67"/>
        <v>2829.34</v>
      </c>
      <c r="Y73" s="2"/>
      <c r="Z73" s="7">
        <f t="shared" si="68"/>
        <v>-17.964063492063492</v>
      </c>
    </row>
    <row r="74" spans="1:26" s="29" customFormat="1" outlineLevel="1" collapsed="1" x14ac:dyDescent="0.3">
      <c r="A74" s="28"/>
      <c r="B74" s="14" t="str">
        <f>CONCATENATE("     ","Supplies                                          ")</f>
        <v xml:space="preserve">     Supplies                                          </v>
      </c>
      <c r="C74" s="14"/>
      <c r="D74" s="1">
        <f>SUM(OSRRefD22_10x_0)</f>
        <v>68.069999999999993</v>
      </c>
      <c r="E74" s="1"/>
      <c r="F74" s="5">
        <f t="shared" ref="F74:F78" si="69">IF(D$12=0,0,D74/D$12)</f>
        <v>4.6040746094111957E-3</v>
      </c>
      <c r="G74" s="1"/>
      <c r="H74" s="1">
        <f>SUM(OSRRefH22_10x_0)</f>
        <v>0</v>
      </c>
      <c r="I74" s="1"/>
      <c r="J74" s="5">
        <f t="shared" ref="J74:J78" si="70">IF(H$12=0,0,H74/H$12)</f>
        <v>0</v>
      </c>
      <c r="K74" s="1"/>
      <c r="L74" s="1">
        <f t="shared" ref="L74:L78" si="71">+D74-H74</f>
        <v>68.069999999999993</v>
      </c>
      <c r="M74" s="1"/>
      <c r="N74" s="5">
        <f t="shared" ref="N74:N78" si="72">IF(H74=0,0,L74/H74)</f>
        <v>0</v>
      </c>
      <c r="O74" s="14"/>
      <c r="P74" s="1">
        <f>SUM(OSRRefP22_10x_0)</f>
        <v>1736.46</v>
      </c>
      <c r="Q74" s="1"/>
      <c r="R74" s="5">
        <f t="shared" ref="R74:R78" si="73">IF(P$12=0,0,P74/P$12)</f>
        <v>2.1092211832632938E-2</v>
      </c>
      <c r="S74" s="1"/>
      <c r="T74" s="1">
        <f>SUM(OSRRefT22_10x_0)</f>
        <v>1892.27</v>
      </c>
      <c r="U74" s="1"/>
      <c r="V74" s="5">
        <f t="shared" ref="V74:V78" si="74">IF(T$12=0,0,T74/T$12)</f>
        <v>8.8789278488282622E-2</v>
      </c>
      <c r="W74" s="1"/>
      <c r="X74" s="1">
        <f t="shared" ref="X74:X78" si="75">+P74-T74</f>
        <v>-155.80999999999995</v>
      </c>
      <c r="Y74" s="1"/>
      <c r="Z74" s="5">
        <f t="shared" ref="Z74:Z78" si="76">IF(T74=0,0,X74/T74)</f>
        <v>-8.2340257997008851E-2</v>
      </c>
    </row>
    <row r="75" spans="1:26" s="24" customFormat="1" hidden="1" outlineLevel="2" x14ac:dyDescent="0.3">
      <c r="A75" s="27"/>
      <c r="B75" s="11" t="str">
        <f>CONCATENATE("          ", "6234", " - ", "EXPENDABLE SUPPLIES &amp; EQUIPMEN")</f>
        <v xml:space="preserve">          6234 - EXPENDABLE SUPPLIES &amp; EQUIPMEN</v>
      </c>
      <c r="C75" s="11"/>
      <c r="D75" s="6">
        <v>46.03</v>
      </c>
      <c r="E75" s="2"/>
      <c r="F75" s="7">
        <f t="shared" si="69"/>
        <v>3.1133473523020034E-3</v>
      </c>
      <c r="G75" s="2"/>
      <c r="H75" s="6"/>
      <c r="I75" s="2"/>
      <c r="J75" s="7">
        <f t="shared" si="70"/>
        <v>0</v>
      </c>
      <c r="K75" s="2"/>
      <c r="L75" s="6">
        <f t="shared" si="71"/>
        <v>46.03</v>
      </c>
      <c r="M75" s="2"/>
      <c r="N75" s="7">
        <f t="shared" si="72"/>
        <v>0</v>
      </c>
      <c r="O75" s="11"/>
      <c r="P75" s="6">
        <v>1393.55</v>
      </c>
      <c r="Q75" s="2"/>
      <c r="R75" s="7">
        <f t="shared" si="73"/>
        <v>1.6926996187280805E-2</v>
      </c>
      <c r="S75" s="2"/>
      <c r="T75" s="6"/>
      <c r="U75" s="2"/>
      <c r="V75" s="7">
        <f t="shared" si="74"/>
        <v>0</v>
      </c>
      <c r="W75" s="2"/>
      <c r="X75" s="6">
        <f t="shared" si="75"/>
        <v>1393.55</v>
      </c>
      <c r="Y75" s="2"/>
      <c r="Z75" s="7">
        <f t="shared" si="76"/>
        <v>0</v>
      </c>
    </row>
    <row r="76" spans="1:26" s="24" customFormat="1" hidden="1" outlineLevel="2" x14ac:dyDescent="0.3">
      <c r="A76" s="27"/>
      <c r="B76" s="11" t="str">
        <f>CONCATENATE("          ", "6235", " - ", "COVID-19 EXPENSES")</f>
        <v xml:space="preserve">          6235 - COVID-19 EXPENSES</v>
      </c>
      <c r="C76" s="11"/>
      <c r="D76" s="6"/>
      <c r="E76" s="2"/>
      <c r="F76" s="7">
        <f t="shared" si="69"/>
        <v>0</v>
      </c>
      <c r="G76" s="2"/>
      <c r="H76" s="6"/>
      <c r="I76" s="2"/>
      <c r="J76" s="7">
        <f t="shared" si="70"/>
        <v>0</v>
      </c>
      <c r="K76" s="2"/>
      <c r="L76" s="6">
        <f t="shared" si="71"/>
        <v>0</v>
      </c>
      <c r="M76" s="2"/>
      <c r="N76" s="7">
        <f t="shared" si="72"/>
        <v>0</v>
      </c>
      <c r="O76" s="11"/>
      <c r="P76" s="6"/>
      <c r="Q76" s="2"/>
      <c r="R76" s="7">
        <f t="shared" si="73"/>
        <v>0</v>
      </c>
      <c r="S76" s="2"/>
      <c r="T76" s="6">
        <v>444.3</v>
      </c>
      <c r="U76" s="2"/>
      <c r="V76" s="7">
        <f t="shared" si="74"/>
        <v>2.0847488166246871E-2</v>
      </c>
      <c r="W76" s="2"/>
      <c r="X76" s="6">
        <f t="shared" si="75"/>
        <v>-444.3</v>
      </c>
      <c r="Y76" s="2"/>
      <c r="Z76" s="7">
        <f t="shared" si="76"/>
        <v>-1</v>
      </c>
    </row>
    <row r="77" spans="1:26" s="24" customFormat="1" hidden="1" outlineLevel="2" x14ac:dyDescent="0.3">
      <c r="A77" s="27"/>
      <c r="B77" s="11" t="str">
        <f>CONCATENATE("          ", "6241", " - ", "OFFICE EXPENSE")</f>
        <v xml:space="preserve">          6241 - OFFICE EXPENSE</v>
      </c>
      <c r="C77" s="11"/>
      <c r="D77" s="6"/>
      <c r="E77" s="2"/>
      <c r="F77" s="7">
        <f t="shared" si="69"/>
        <v>0</v>
      </c>
      <c r="G77" s="2"/>
      <c r="H77" s="6"/>
      <c r="I77" s="2"/>
      <c r="J77" s="7">
        <f t="shared" si="70"/>
        <v>0</v>
      </c>
      <c r="K77" s="2"/>
      <c r="L77" s="6">
        <f t="shared" si="71"/>
        <v>0</v>
      </c>
      <c r="M77" s="2"/>
      <c r="N77" s="7">
        <f t="shared" si="72"/>
        <v>0</v>
      </c>
      <c r="O77" s="11"/>
      <c r="P77" s="6"/>
      <c r="Q77" s="2"/>
      <c r="R77" s="7">
        <f t="shared" si="73"/>
        <v>0</v>
      </c>
      <c r="S77" s="2"/>
      <c r="T77" s="6">
        <v>225.24</v>
      </c>
      <c r="U77" s="2"/>
      <c r="V77" s="7">
        <f t="shared" si="74"/>
        <v>1.056873336611624E-2</v>
      </c>
      <c r="W77" s="2"/>
      <c r="X77" s="6">
        <f t="shared" si="75"/>
        <v>-225.24</v>
      </c>
      <c r="Y77" s="2"/>
      <c r="Z77" s="7">
        <f t="shared" si="76"/>
        <v>-1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6">
        <v>22.04</v>
      </c>
      <c r="E78" s="2"/>
      <c r="F78" s="7">
        <f t="shared" si="69"/>
        <v>1.4907272571091929E-3</v>
      </c>
      <c r="G78" s="2"/>
      <c r="H78" s="6"/>
      <c r="I78" s="2"/>
      <c r="J78" s="7">
        <f t="shared" si="70"/>
        <v>0</v>
      </c>
      <c r="K78" s="2"/>
      <c r="L78" s="6">
        <f t="shared" si="71"/>
        <v>22.04</v>
      </c>
      <c r="M78" s="2"/>
      <c r="N78" s="7">
        <f t="shared" si="72"/>
        <v>0</v>
      </c>
      <c r="O78" s="11"/>
      <c r="P78" s="6">
        <v>342.91</v>
      </c>
      <c r="Q78" s="2"/>
      <c r="R78" s="7">
        <f t="shared" si="73"/>
        <v>4.165215645352131E-3</v>
      </c>
      <c r="S78" s="2"/>
      <c r="T78" s="6">
        <v>1222.73</v>
      </c>
      <c r="U78" s="2"/>
      <c r="V78" s="7">
        <f t="shared" si="74"/>
        <v>5.7373056955919509E-2</v>
      </c>
      <c r="W78" s="2"/>
      <c r="X78" s="6">
        <f t="shared" si="75"/>
        <v>-879.81999999999994</v>
      </c>
      <c r="Y78" s="2"/>
      <c r="Z78" s="7">
        <f t="shared" si="76"/>
        <v>-0.7195537853818913</v>
      </c>
    </row>
    <row r="79" spans="1:26" s="29" customFormat="1" outlineLevel="1" collapsed="1" x14ac:dyDescent="0.3">
      <c r="A79" s="28"/>
      <c r="B79" s="14" t="str">
        <f>CONCATENATE("     ","Telephone/Data Lines                              ")</f>
        <v xml:space="preserve">     Telephone/Data Lines                              </v>
      </c>
      <c r="C79" s="14"/>
      <c r="D79" s="1">
        <f>SUM(OSRRefD22_11x_0)</f>
        <v>53</v>
      </c>
      <c r="E79" s="1"/>
      <c r="F79" s="5">
        <f t="shared" ref="F79:F82" si="77">IF(D$12=0,0,D79/D$12)</f>
        <v>3.5847797017598561E-3</v>
      </c>
      <c r="G79" s="1"/>
      <c r="H79" s="1">
        <f>SUM(OSRRefH22_11x_0)</f>
        <v>53.15</v>
      </c>
      <c r="I79" s="1"/>
      <c r="J79" s="5">
        <f t="shared" ref="J79:J82" si="78">IF(H$12=0,0,H79/H$12)</f>
        <v>0</v>
      </c>
      <c r="K79" s="1"/>
      <c r="L79" s="1">
        <f t="shared" ref="L79:L82" si="79">+D79-H79</f>
        <v>-0.14999999999999858</v>
      </c>
      <c r="M79" s="1"/>
      <c r="N79" s="5">
        <f t="shared" ref="N79:N82" si="80">IF(H79=0,0,L79/H79)</f>
        <v>-2.8222013170272546E-3</v>
      </c>
      <c r="O79" s="14"/>
      <c r="P79" s="1">
        <f>SUM(OSRRefP22_11x_0)</f>
        <v>225</v>
      </c>
      <c r="Q79" s="1"/>
      <c r="R79" s="5">
        <f t="shared" ref="R79:R82" si="81">IF(P$12=0,0,P79/P$12)</f>
        <v>2.7330014295419481E-3</v>
      </c>
      <c r="S79" s="1"/>
      <c r="T79" s="1">
        <f>SUM(OSRRefT22_11x_0)</f>
        <v>313.05</v>
      </c>
      <c r="U79" s="1"/>
      <c r="V79" s="5">
        <f t="shared" ref="V79:V82" si="82">IF(T$12=0,0,T79/T$12)</f>
        <v>1.4688962796406895E-2</v>
      </c>
      <c r="W79" s="1"/>
      <c r="X79" s="1">
        <f t="shared" ref="X79:X82" si="83">+P79-T79</f>
        <v>-88.050000000000011</v>
      </c>
      <c r="Y79" s="1"/>
      <c r="Z79" s="5">
        <f t="shared" ref="Z79:Z82" si="84">IF(T79=0,0,X79/T79)</f>
        <v>-0.28126497364638237</v>
      </c>
    </row>
    <row r="80" spans="1:26" s="24" customFormat="1" hidden="1" outlineLevel="2" x14ac:dyDescent="0.3">
      <c r="A80" s="27"/>
      <c r="B80" s="11" t="str">
        <f>CONCATENATE("          ", "6309", " - ", "TELEPHONE")</f>
        <v xml:space="preserve">          6309 - TELEPHONE</v>
      </c>
      <c r="C80" s="11"/>
      <c r="D80" s="6">
        <v>53</v>
      </c>
      <c r="E80" s="2"/>
      <c r="F80" s="7">
        <f t="shared" si="77"/>
        <v>3.5847797017598561E-3</v>
      </c>
      <c r="G80" s="2"/>
      <c r="H80" s="6">
        <v>53.15</v>
      </c>
      <c r="I80" s="2"/>
      <c r="J80" s="7">
        <f t="shared" si="78"/>
        <v>0</v>
      </c>
      <c r="K80" s="2"/>
      <c r="L80" s="6">
        <f t="shared" si="79"/>
        <v>-0.14999999999999858</v>
      </c>
      <c r="M80" s="2"/>
      <c r="N80" s="7">
        <f t="shared" si="80"/>
        <v>-2.8222013170272546E-3</v>
      </c>
      <c r="O80" s="11"/>
      <c r="P80" s="6">
        <v>225</v>
      </c>
      <c r="Q80" s="2"/>
      <c r="R80" s="7">
        <f t="shared" si="81"/>
        <v>2.7330014295419481E-3</v>
      </c>
      <c r="S80" s="2"/>
      <c r="T80" s="6">
        <v>313.05</v>
      </c>
      <c r="U80" s="2"/>
      <c r="V80" s="7">
        <f t="shared" si="82"/>
        <v>1.4688962796406895E-2</v>
      </c>
      <c r="W80" s="2"/>
      <c r="X80" s="6">
        <f t="shared" si="83"/>
        <v>-88.050000000000011</v>
      </c>
      <c r="Y80" s="2"/>
      <c r="Z80" s="7">
        <f t="shared" si="84"/>
        <v>-0.28126497364638237</v>
      </c>
    </row>
    <row r="81" spans="1:26" s="29" customFormat="1" outlineLevel="1" collapsed="1" x14ac:dyDescent="0.3">
      <c r="A81" s="28"/>
      <c r="B81" s="14" t="str">
        <f>CONCATENATE("     ","Training                                          ")</f>
        <v xml:space="preserve">     Training                                          </v>
      </c>
      <c r="C81" s="14"/>
      <c r="D81" s="1">
        <f>SUM(OSRRefD22_12x_0)</f>
        <v>0</v>
      </c>
      <c r="E81" s="1"/>
      <c r="F81" s="5">
        <f t="shared" si="77"/>
        <v>0</v>
      </c>
      <c r="G81" s="1"/>
      <c r="H81" s="1">
        <f>SUM(OSRRefH22_12x_0)</f>
        <v>0</v>
      </c>
      <c r="I81" s="1"/>
      <c r="J81" s="5">
        <f t="shared" si="78"/>
        <v>0</v>
      </c>
      <c r="K81" s="1"/>
      <c r="L81" s="1">
        <f t="shared" si="79"/>
        <v>0</v>
      </c>
      <c r="M81" s="1"/>
      <c r="N81" s="5">
        <f t="shared" si="80"/>
        <v>0</v>
      </c>
      <c r="O81" s="14"/>
      <c r="P81" s="1">
        <f>SUM(OSRRefP22_12x_0)</f>
        <v>0</v>
      </c>
      <c r="Q81" s="1"/>
      <c r="R81" s="5">
        <f t="shared" si="81"/>
        <v>0</v>
      </c>
      <c r="S81" s="1"/>
      <c r="T81" s="1">
        <f>SUM(OSRRefT22_12x_0)</f>
        <v>14</v>
      </c>
      <c r="U81" s="1"/>
      <c r="V81" s="5">
        <f t="shared" si="82"/>
        <v>6.5690937278293094E-4</v>
      </c>
      <c r="W81" s="1"/>
      <c r="X81" s="1">
        <f t="shared" si="83"/>
        <v>-14</v>
      </c>
      <c r="Y81" s="1"/>
      <c r="Z81" s="5">
        <f t="shared" si="84"/>
        <v>-1</v>
      </c>
    </row>
    <row r="82" spans="1:26" s="24" customFormat="1" hidden="1" outlineLevel="2" x14ac:dyDescent="0.3">
      <c r="A82" s="27"/>
      <c r="B82" s="11" t="str">
        <f>CONCATENATE("          ", "6376", " - ", "TRAINING")</f>
        <v xml:space="preserve">          6376 - TRAINING</v>
      </c>
      <c r="C82" s="11"/>
      <c r="D82" s="6"/>
      <c r="E82" s="2"/>
      <c r="F82" s="7">
        <f t="shared" si="77"/>
        <v>0</v>
      </c>
      <c r="G82" s="2"/>
      <c r="H82" s="6"/>
      <c r="I82" s="2"/>
      <c r="J82" s="7">
        <f t="shared" si="78"/>
        <v>0</v>
      </c>
      <c r="K82" s="2"/>
      <c r="L82" s="6">
        <f t="shared" si="79"/>
        <v>0</v>
      </c>
      <c r="M82" s="2"/>
      <c r="N82" s="7">
        <f t="shared" si="80"/>
        <v>0</v>
      </c>
      <c r="O82" s="11"/>
      <c r="P82" s="6"/>
      <c r="Q82" s="2"/>
      <c r="R82" s="7">
        <f t="shared" si="81"/>
        <v>0</v>
      </c>
      <c r="S82" s="2"/>
      <c r="T82" s="6">
        <v>14</v>
      </c>
      <c r="U82" s="2"/>
      <c r="V82" s="7">
        <f t="shared" si="82"/>
        <v>6.5690937278293094E-4</v>
      </c>
      <c r="W82" s="2"/>
      <c r="X82" s="6">
        <f t="shared" si="83"/>
        <v>-14</v>
      </c>
      <c r="Y82" s="2"/>
      <c r="Z82" s="7">
        <f t="shared" si="84"/>
        <v>-1</v>
      </c>
    </row>
    <row r="83" spans="1:26" s="62" customFormat="1" x14ac:dyDescent="0.3">
      <c r="A83" s="37"/>
      <c r="B83" s="37"/>
      <c r="C83" s="37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6" t="s">
        <v>292</v>
      </c>
      <c r="C84" s="10"/>
      <c r="D84" s="4">
        <f>SUM(0)</f>
        <v>0</v>
      </c>
      <c r="E84" s="4"/>
      <c r="F84" s="12">
        <f>IF(D$12=0,0,D84/D$12)</f>
        <v>0</v>
      </c>
      <c r="G84" s="4"/>
      <c r="H84" s="4">
        <f>SUM(0)</f>
        <v>0</v>
      </c>
      <c r="I84" s="4"/>
      <c r="J84" s="12">
        <f>IF(H$12=0,0,H84/H$12)</f>
        <v>0</v>
      </c>
      <c r="K84" s="4"/>
      <c r="L84" s="4">
        <f>+D84-H84</f>
        <v>0</v>
      </c>
      <c r="M84" s="4"/>
      <c r="N84" s="12">
        <f>IF(H84=0,0,L84/H84)</f>
        <v>0</v>
      </c>
      <c r="O84" s="10"/>
      <c r="P84" s="4">
        <f>SUM(0)</f>
        <v>0</v>
      </c>
      <c r="Q84" s="4"/>
      <c r="R84" s="12">
        <f>IF(P$12=0,0,P84/P$12)</f>
        <v>0</v>
      </c>
      <c r="S84" s="4"/>
      <c r="T84" s="4">
        <f>SUM(0)</f>
        <v>0</v>
      </c>
      <c r="U84" s="4"/>
      <c r="V84" s="12">
        <f>IF(T$12=0,0,T84/T$12)</f>
        <v>0</v>
      </c>
      <c r="W84" s="4"/>
      <c r="X84" s="4">
        <f>+P84-T84</f>
        <v>0</v>
      </c>
      <c r="Y84" s="4"/>
      <c r="Z84" s="12">
        <f>IF(T84=0,0,X84/T84)</f>
        <v>0</v>
      </c>
    </row>
    <row r="85" spans="1:26" x14ac:dyDescent="0.3">
      <c r="A85" s="9"/>
      <c r="B85" s="10"/>
      <c r="C85" s="10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O85" s="10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10"/>
      <c r="B86" s="25" t="s">
        <v>276</v>
      </c>
      <c r="C86" s="25"/>
      <c r="D86" s="21">
        <f>+D42-D44+D84</f>
        <v>-184.65999999999804</v>
      </c>
      <c r="E86" s="13"/>
      <c r="F86" s="22">
        <f>IF(D$12=0,0,D86/D$12)</f>
        <v>-1.2489913579754113E-2</v>
      </c>
      <c r="G86" s="13"/>
      <c r="H86" s="21">
        <f>+H42-H44+H84</f>
        <v>-553.19000000000005</v>
      </c>
      <c r="I86" s="13"/>
      <c r="J86" s="22">
        <f>IF(H$12=0,0,H86/H$12)</f>
        <v>0</v>
      </c>
      <c r="K86" s="16"/>
      <c r="L86" s="21">
        <f>+D86-H86</f>
        <v>368.53000000000202</v>
      </c>
      <c r="M86" s="16"/>
      <c r="N86" s="22">
        <f>IF(H86=0,0,L86/H86)</f>
        <v>-0.6661906397440337</v>
      </c>
      <c r="O86" s="26"/>
      <c r="P86" s="21">
        <f>+P42-P44+P84</f>
        <v>14839.329999999994</v>
      </c>
      <c r="Q86" s="13"/>
      <c r="R86" s="22">
        <f>IF(P$12=0,0,P86/P$12)</f>
        <v>0.1802484893486431</v>
      </c>
      <c r="S86" s="13"/>
      <c r="T86" s="21">
        <f>+T42-T44+T84</f>
        <v>-5042.3799999999901</v>
      </c>
      <c r="U86" s="13"/>
      <c r="V86" s="22">
        <f>IF(T$12=0,0,T86/T$12)</f>
        <v>-0.23659904879522778</v>
      </c>
      <c r="W86" s="16"/>
      <c r="X86" s="21">
        <f>+P86-T86</f>
        <v>19881.709999999985</v>
      </c>
      <c r="Y86" s="16"/>
      <c r="Z86" s="22">
        <f>IF(T86=0,0,X86/T86)</f>
        <v>-3.9429217948667143</v>
      </c>
    </row>
    <row r="87" spans="1:26" x14ac:dyDescent="0.3">
      <c r="A87" s="9"/>
      <c r="B87" s="10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x14ac:dyDescent="0.3">
      <c r="A88" s="51"/>
      <c r="B88" s="10" t="s">
        <v>127</v>
      </c>
      <c r="C88" s="10"/>
      <c r="D88" s="4">
        <v>1998.78</v>
      </c>
      <c r="E88" s="4"/>
      <c r="F88" s="12">
        <f>IF(D$12=0,0,D88/D$12)</f>
        <v>0.13519218815629366</v>
      </c>
      <c r="G88" s="4"/>
      <c r="H88" s="4">
        <v>-1230.1600000000001</v>
      </c>
      <c r="I88" s="4"/>
      <c r="J88" s="12">
        <f>IF(H$12=0,0,H88/H$12)</f>
        <v>0</v>
      </c>
      <c r="K88" s="4"/>
      <c r="L88" s="4">
        <f>+D88-H88</f>
        <v>3228.94</v>
      </c>
      <c r="M88" s="4"/>
      <c r="N88" s="12">
        <f>IF(H88=0,0,L88/H88)</f>
        <v>-2.6248130324510632</v>
      </c>
      <c r="O88" s="10"/>
      <c r="P88" s="4">
        <v>9806.1200000000008</v>
      </c>
      <c r="Q88" s="4"/>
      <c r="R88" s="12">
        <f>IF(P$12=0,0,P88/P$12)</f>
        <v>0.11911173323671062</v>
      </c>
      <c r="S88" s="4"/>
      <c r="T88" s="4">
        <v>3386.46</v>
      </c>
      <c r="U88" s="4"/>
      <c r="V88" s="12">
        <f>IF(T$12=0,0,T88/T$12)</f>
        <v>0.15889980818246316</v>
      </c>
      <c r="W88" s="4"/>
      <c r="X88" s="4">
        <f>+P88-T88</f>
        <v>6419.6600000000008</v>
      </c>
      <c r="Y88" s="4"/>
      <c r="Z88" s="12">
        <f>IF(T88=0,0,X88/T88)</f>
        <v>1.895684579177076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ht="15" thickBot="1" x14ac:dyDescent="0.35">
      <c r="A90" s="10"/>
      <c r="B90" s="25" t="s">
        <v>125</v>
      </c>
      <c r="C90" s="25"/>
      <c r="D90" s="35">
        <f>+D86-D88</f>
        <v>-2183.4399999999978</v>
      </c>
      <c r="E90" s="13"/>
      <c r="F90" s="31">
        <f>IF(D$12=0,0,D90/D$12)</f>
        <v>-0.14768210173604776</v>
      </c>
      <c r="G90" s="13"/>
      <c r="H90" s="35">
        <f>+H86-H88</f>
        <v>676.97</v>
      </c>
      <c r="I90" s="13"/>
      <c r="J90" s="31">
        <f>IF(H$12=0,0,H90/H$12)</f>
        <v>0</v>
      </c>
      <c r="K90" s="16"/>
      <c r="L90" s="35">
        <f>D90-H90</f>
        <v>-2860.409999999998</v>
      </c>
      <c r="M90" s="16"/>
      <c r="N90" s="31">
        <f>IF(H90=0,0,L90/H90)</f>
        <v>-4.225312790817906</v>
      </c>
      <c r="O90" s="26"/>
      <c r="P90" s="35">
        <f>+P86-P88</f>
        <v>5033.2099999999937</v>
      </c>
      <c r="Q90" s="13"/>
      <c r="R90" s="31">
        <f>IF(P$12=0,0,P90/P$12)</f>
        <v>6.1136756111932491E-2</v>
      </c>
      <c r="S90" s="13"/>
      <c r="T90" s="35">
        <f>+T86-T88</f>
        <v>-8428.8399999999892</v>
      </c>
      <c r="U90" s="13"/>
      <c r="V90" s="31">
        <f>IF(T$12=0,0,T90/T$12)</f>
        <v>-0.39549885697769088</v>
      </c>
      <c r="W90" s="16"/>
      <c r="X90" s="35">
        <f>P90-T90</f>
        <v>13462.049999999983</v>
      </c>
      <c r="Y90" s="16"/>
      <c r="Z90" s="31">
        <f>IF(T90=0,0,X90/T90)</f>
        <v>-1.5971414809155233</v>
      </c>
    </row>
    <row r="91" spans="1:26" ht="15" thickTop="1" x14ac:dyDescent="0.3">
      <c r="A91" s="9"/>
      <c r="B91" s="9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x14ac:dyDescent="0.3">
      <c r="A92" s="9"/>
      <c r="B92" s="9"/>
      <c r="C92" s="9"/>
      <c r="D92" s="3"/>
      <c r="E92" s="3"/>
      <c r="F92" s="8"/>
      <c r="G92" s="3"/>
      <c r="H92" s="3"/>
      <c r="I92" s="3"/>
      <c r="J92" s="8"/>
      <c r="K92" s="3"/>
      <c r="L92" s="3"/>
      <c r="M92" s="3"/>
      <c r="N92" s="8"/>
      <c r="P92" s="3"/>
      <c r="Q92" s="3"/>
      <c r="R92" s="8"/>
      <c r="S92" s="3"/>
      <c r="T92" s="3"/>
      <c r="U92" s="3"/>
      <c r="V92" s="8"/>
      <c r="W92" s="3"/>
      <c r="X92" s="3"/>
      <c r="Y92" s="3"/>
      <c r="Z92" s="8"/>
    </row>
    <row r="93" spans="1:26" s="23" customFormat="1" ht="15" thickBot="1" x14ac:dyDescent="0.35">
      <c r="A93" s="10"/>
      <c r="B93" s="25" t="s">
        <v>293</v>
      </c>
      <c r="C93" s="25"/>
      <c r="D93" s="36">
        <f>SUM(D90:D92)</f>
        <v>-2183.4399999999978</v>
      </c>
      <c r="E93" s="13"/>
      <c r="F93" s="33">
        <f>IF(D$12=0,0,D93/D$12)</f>
        <v>-0.14768210173604776</v>
      </c>
      <c r="G93" s="13"/>
      <c r="H93" s="36">
        <f>SUM(H90:H92)</f>
        <v>676.97</v>
      </c>
      <c r="I93" s="13"/>
      <c r="J93" s="33">
        <f>IF(H$12=0,0,H93/H$12)</f>
        <v>0</v>
      </c>
      <c r="K93" s="16"/>
      <c r="L93" s="36">
        <f>+D93-H93</f>
        <v>-2860.409999999998</v>
      </c>
      <c r="M93" s="16"/>
      <c r="N93" s="33">
        <f>IF(H93=0,0,L93/H93)</f>
        <v>-4.225312790817906</v>
      </c>
      <c r="O93" s="26"/>
      <c r="P93" s="36">
        <f>SUM(P90:P92)</f>
        <v>5033.2099999999937</v>
      </c>
      <c r="Q93" s="13"/>
      <c r="R93" s="33">
        <f>IF(P$12=0,0,P93/P$12)</f>
        <v>6.1136756111932491E-2</v>
      </c>
      <c r="S93" s="13"/>
      <c r="T93" s="36">
        <f>SUM(T90:T92)</f>
        <v>-8428.8399999999892</v>
      </c>
      <c r="U93" s="13"/>
      <c r="V93" s="33">
        <f>IF(T$12=0,0,T93/T$12)</f>
        <v>-0.39549885697769088</v>
      </c>
      <c r="W93" s="16"/>
      <c r="X93" s="36">
        <f>+P93-T93</f>
        <v>13462.049999999983</v>
      </c>
      <c r="Y93" s="16"/>
      <c r="Z93" s="33">
        <f>IF(T93=0,0,X93/T93)</f>
        <v>-1.5971414809155233</v>
      </c>
    </row>
    <row r="94" spans="1:26" ht="15" thickTop="1" x14ac:dyDescent="0.3">
      <c r="A94" s="9"/>
      <c r="C94" s="9"/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52">
        <v>44543.765570833333</v>
      </c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A96" s="9"/>
      <c r="B96" s="59" t="s">
        <v>56</v>
      </c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  <row r="97" spans="1:24" x14ac:dyDescent="0.3">
      <c r="A97" s="9"/>
      <c r="B97" s="61"/>
      <c r="D97" s="17"/>
      <c r="E97" s="17"/>
      <c r="G97" s="17"/>
      <c r="H97" s="17"/>
      <c r="I97" s="17"/>
      <c r="J97" s="42"/>
      <c r="K97" s="17"/>
      <c r="L97" s="17"/>
      <c r="M97" s="17"/>
      <c r="P97" s="17"/>
      <c r="Q97" s="17"/>
      <c r="R97" s="42"/>
      <c r="S97" s="17"/>
      <c r="T97" s="17"/>
      <c r="U97" s="17"/>
      <c r="V97" s="42"/>
      <c r="W97" s="17"/>
      <c r="X97" s="17"/>
    </row>
    <row r="98" spans="1:24" x14ac:dyDescent="0.3"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</sheetData>
  <pageMargins left="0.25" right="0.25" top="0.75" bottom="0.75" header="0.3" footer="0.3"/>
  <pageSetup scale="55" fitToWidth="2" orientation="landscape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","307", " - ", "Art Store")</f>
        <v>Department 307 - Art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14784.730000000001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5" si="0">+D12-H12</f>
        <v>14784.730000000001</v>
      </c>
      <c r="M12" s="4"/>
      <c r="N12" s="12">
        <f t="shared" ref="N12:N25" si="1">IF(H12=0,0,L12/H12)</f>
        <v>0</v>
      </c>
      <c r="O12" s="10"/>
      <c r="P12" s="4">
        <f>SUM(OSRRefP13x_0)</f>
        <v>82327.069999999992</v>
      </c>
      <c r="Q12" s="4"/>
      <c r="R12" s="12"/>
      <c r="S12" s="4"/>
      <c r="T12" s="4">
        <f>SUM(OSRRefT13x_0)</f>
        <v>21311.919999999998</v>
      </c>
      <c r="U12" s="4"/>
      <c r="V12" s="12"/>
      <c r="W12" s="4"/>
      <c r="X12" s="4">
        <f t="shared" ref="X12:X25" si="2">+P12-T12</f>
        <v>61015.149999999994</v>
      </c>
      <c r="Y12" s="4"/>
      <c r="Z12" s="12">
        <f t="shared" ref="Z12:Z25" si="3">IF(T12=0,0,X12/T12)</f>
        <v>2.8629588511968889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--9822.43</f>
        <v>9822.43</v>
      </c>
      <c r="E13" s="2"/>
      <c r="F13" s="19"/>
      <c r="G13" s="2"/>
      <c r="H13" s="2">
        <f t="shared" ref="H13:H25" si="4">0</f>
        <v>0</v>
      </c>
      <c r="I13" s="2"/>
      <c r="J13" s="19"/>
      <c r="K13" s="2"/>
      <c r="L13" s="2">
        <f t="shared" si="0"/>
        <v>9822.43</v>
      </c>
      <c r="M13" s="2"/>
      <c r="N13" s="19">
        <f t="shared" si="1"/>
        <v>0</v>
      </c>
      <c r="O13" s="11"/>
      <c r="P13" s="2">
        <f>--61071.48</f>
        <v>61071.48</v>
      </c>
      <c r="Q13" s="2"/>
      <c r="R13" s="19"/>
      <c r="S13" s="2"/>
      <c r="T13" s="2">
        <f>-1096.44</f>
        <v>-1096.44</v>
      </c>
      <c r="U13" s="2"/>
      <c r="V13" s="19"/>
      <c r="W13" s="2"/>
      <c r="X13" s="2">
        <f t="shared" si="2"/>
        <v>62167.920000000006</v>
      </c>
      <c r="Y13" s="2"/>
      <c r="Z13" s="19">
        <f t="shared" si="3"/>
        <v>-56.699792054284778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19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9" si="6">0</f>
        <v>0</v>
      </c>
      <c r="Q14" s="2"/>
      <c r="R14" s="19"/>
      <c r="S14" s="2"/>
      <c r="T14" s="2">
        <f>--17.51</f>
        <v>17.510000000000002</v>
      </c>
      <c r="U14" s="2"/>
      <c r="V14" s="19"/>
      <c r="W14" s="2"/>
      <c r="X14" s="2">
        <f t="shared" si="2"/>
        <v>-17.510000000000002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--7990.32</f>
        <v>7990.32</v>
      </c>
      <c r="U15" s="2"/>
      <c r="V15" s="19"/>
      <c r="W15" s="2"/>
      <c r="X15" s="2">
        <f t="shared" si="2"/>
        <v>-7990.32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5"/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>--12479.05</f>
        <v>12479.05</v>
      </c>
      <c r="U16" s="2"/>
      <c r="V16" s="19"/>
      <c r="W16" s="2"/>
      <c r="X16" s="2">
        <f t="shared" si="2"/>
        <v>-12479.05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5"/>
        <v>0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6"/>
        <v>0</v>
      </c>
      <c r="Q17" s="2"/>
      <c r="R17" s="19"/>
      <c r="S17" s="2"/>
      <c r="T17" s="2">
        <f>--374.55</f>
        <v>374.55</v>
      </c>
      <c r="U17" s="2"/>
      <c r="V17" s="19"/>
      <c r="W17" s="2"/>
      <c r="X17" s="2">
        <f t="shared" si="2"/>
        <v>-374.55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"4081", " - ", "TAXABLE SALES-ELECTRONICS")</f>
        <v xml:space="preserve">          4081 - TAXABLE SALES-ELECTRONICS</v>
      </c>
      <c r="C18" s="11"/>
      <c r="D18" s="2">
        <f t="shared" si="5"/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6"/>
        <v>0</v>
      </c>
      <c r="Q18" s="2"/>
      <c r="R18" s="19"/>
      <c r="S18" s="2"/>
      <c r="T18" s="2">
        <f>--71.95</f>
        <v>71.95</v>
      </c>
      <c r="U18" s="2"/>
      <c r="V18" s="19"/>
      <c r="W18" s="2"/>
      <c r="X18" s="2">
        <f t="shared" si="2"/>
        <v>-71.95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"4083", " - ", "TAXABLE SALES-COMPUTER EQUIPME")</f>
        <v xml:space="preserve">          4083 - TAXABLE SALES-COMPUTER EQUIPME</v>
      </c>
      <c r="C19" s="11"/>
      <c r="D19" s="2">
        <f t="shared" si="5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6"/>
        <v>0</v>
      </c>
      <c r="Q19" s="2"/>
      <c r="R19" s="19"/>
      <c r="S19" s="2"/>
      <c r="T19" s="2">
        <f>--9.99</f>
        <v>9.99</v>
      </c>
      <c r="U19" s="2"/>
      <c r="V19" s="19"/>
      <c r="W19" s="2"/>
      <c r="X19" s="2">
        <f t="shared" si="2"/>
        <v>-9.99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--5218.66</f>
        <v>5218.66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5218.66</v>
      </c>
      <c r="M20" s="2"/>
      <c r="N20" s="19">
        <f t="shared" si="1"/>
        <v>0</v>
      </c>
      <c r="O20" s="11"/>
      <c r="P20" s="2">
        <f>--22537.83</f>
        <v>22537.83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22537.83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"4131", " - ", "NON-TAXABLE SALES-FOOD")</f>
        <v xml:space="preserve">          4131 - NON-TAXABLE SALES-FOOD</v>
      </c>
      <c r="C21" s="11"/>
      <c r="D21" s="2">
        <f>0</f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>0</f>
        <v>0</v>
      </c>
      <c r="Q21" s="2"/>
      <c r="R21" s="19"/>
      <c r="S21" s="2"/>
      <c r="T21" s="2">
        <f>--1847.16</f>
        <v>1847.16</v>
      </c>
      <c r="U21" s="2"/>
      <c r="V21" s="19"/>
      <c r="W21" s="2"/>
      <c r="X21" s="2">
        <f t="shared" si="2"/>
        <v>-1847.16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>-97.23</f>
        <v>-97.23</v>
      </c>
      <c r="E22" s="2"/>
      <c r="F22" s="19"/>
      <c r="G22" s="2"/>
      <c r="H22" s="2">
        <f t="shared" si="4"/>
        <v>0</v>
      </c>
      <c r="I22" s="2"/>
      <c r="J22" s="19"/>
      <c r="K22" s="2"/>
      <c r="L22" s="2">
        <f t="shared" si="0"/>
        <v>-97.23</v>
      </c>
      <c r="M22" s="2"/>
      <c r="N22" s="19">
        <f t="shared" si="1"/>
        <v>0</v>
      </c>
      <c r="O22" s="11"/>
      <c r="P22" s="2">
        <f>-972.52</f>
        <v>-972.52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-972.52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"4227", " - ", "SALES RETURN TAXABLE-SCHOOL SU")</f>
        <v xml:space="preserve">          4227 - SALES RETURN TAXABLE-SCHOOL SU</v>
      </c>
      <c r="C23" s="11"/>
      <c r="D23" s="2">
        <f t="shared" ref="D23:D24" si="7">0</f>
        <v>0</v>
      </c>
      <c r="E23" s="2"/>
      <c r="F23" s="19"/>
      <c r="G23" s="2"/>
      <c r="H23" s="2">
        <f t="shared" si="4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ref="P23:P24" si="8">0</f>
        <v>0</v>
      </c>
      <c r="Q23" s="2"/>
      <c r="R23" s="19"/>
      <c r="S23" s="2"/>
      <c r="T23" s="2">
        <f>-159.97</f>
        <v>-159.97</v>
      </c>
      <c r="U23" s="2"/>
      <c r="V23" s="19"/>
      <c r="W23" s="2"/>
      <c r="X23" s="2">
        <f t="shared" si="2"/>
        <v>159.97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"4228", " - ", "SALES RETURN TAXABLE-ART/TECH")</f>
        <v xml:space="preserve">          4228 - SALES RETURN TAXABLE-ART/TECH</v>
      </c>
      <c r="C24" s="11"/>
      <c r="D24" s="2">
        <f t="shared" si="7"/>
        <v>0</v>
      </c>
      <c r="E24" s="2"/>
      <c r="F24" s="19"/>
      <c r="G24" s="2"/>
      <c r="H24" s="2">
        <f t="shared" si="4"/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8"/>
        <v>0</v>
      </c>
      <c r="Q24" s="2"/>
      <c r="R24" s="19"/>
      <c r="S24" s="2"/>
      <c r="T24" s="2">
        <f>-222.2</f>
        <v>-222.2</v>
      </c>
      <c r="U24" s="2"/>
      <c r="V24" s="19"/>
      <c r="W24" s="2"/>
      <c r="X24" s="2">
        <f t="shared" si="2"/>
        <v>222.2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"4500", " - ", "SALES DISCOUNT")</f>
        <v xml:space="preserve">          4500 - SALES DISCOUNT</v>
      </c>
      <c r="C25" s="11"/>
      <c r="D25" s="2">
        <f>-159.13</f>
        <v>-159.13</v>
      </c>
      <c r="E25" s="2"/>
      <c r="F25" s="19"/>
      <c r="G25" s="2"/>
      <c r="H25" s="2">
        <f t="shared" si="4"/>
        <v>0</v>
      </c>
      <c r="I25" s="2"/>
      <c r="J25" s="19"/>
      <c r="K25" s="2"/>
      <c r="L25" s="2">
        <f t="shared" si="0"/>
        <v>-159.13</v>
      </c>
      <c r="M25" s="2"/>
      <c r="N25" s="19">
        <f t="shared" si="1"/>
        <v>0</v>
      </c>
      <c r="O25" s="11"/>
      <c r="P25" s="2">
        <f>-309.72</f>
        <v>-309.72000000000003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-309.72000000000003</v>
      </c>
      <c r="Y25" s="2"/>
      <c r="Z25" s="19">
        <f t="shared" si="3"/>
        <v>0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6" t="s">
        <v>256</v>
      </c>
      <c r="C27" s="10"/>
      <c r="D27" s="4">
        <f>SUM(OSRRefD16x_0)</f>
        <v>8191.56</v>
      </c>
      <c r="E27" s="4"/>
      <c r="F27" s="12">
        <f t="shared" ref="F27:F37" si="9">IF(D$12=0,0,D27/D$12)</f>
        <v>0.5540554342216597</v>
      </c>
      <c r="G27" s="4"/>
      <c r="H27" s="4">
        <f>SUM(OSRRefH16x_0)</f>
        <v>17.61</v>
      </c>
      <c r="I27" s="4"/>
      <c r="J27" s="12">
        <f t="shared" ref="J27:J37" si="10">IF(H$12=0,0,H27/H$12)</f>
        <v>0</v>
      </c>
      <c r="K27" s="4"/>
      <c r="L27" s="4">
        <f t="shared" ref="L27:L37" si="11">+D27-H27</f>
        <v>8173.9500000000007</v>
      </c>
      <c r="M27" s="4"/>
      <c r="N27" s="12">
        <f t="shared" ref="N27:N37" si="12">IF(H27=0,0,L27/H27)</f>
        <v>464.16524701873942</v>
      </c>
      <c r="O27" s="10"/>
      <c r="P27" s="4">
        <f>SUM(OSRRefP16x_0)</f>
        <v>46493.02</v>
      </c>
      <c r="Q27" s="4"/>
      <c r="R27" s="12">
        <f t="shared" ref="R27:R37" si="13">IF(P$12=0,0,P27/P$12)</f>
        <v>0.56473551166098834</v>
      </c>
      <c r="S27" s="4"/>
      <c r="T27" s="4">
        <f>SUM(OSRRefT16x_0)</f>
        <v>14200.659999999993</v>
      </c>
      <c r="U27" s="4"/>
      <c r="V27" s="12">
        <f t="shared" ref="V27:V37" si="14">IF(T$12=0,0,T27/T$12)</f>
        <v>0.6663247609788322</v>
      </c>
      <c r="W27" s="4"/>
      <c r="X27" s="4">
        <f t="shared" ref="X27:X37" si="15">+P27-T27</f>
        <v>32292.360000000004</v>
      </c>
      <c r="Y27" s="4"/>
      <c r="Z27" s="12">
        <f t="shared" ref="Z27:Z37" si="16">IF(T27=0,0,X27/T27)</f>
        <v>2.2740041660035533</v>
      </c>
    </row>
    <row r="28" spans="1:26" s="24" customFormat="1" hidden="1" outlineLevel="1" x14ac:dyDescent="0.3">
      <c r="A28" s="44"/>
      <c r="B28" s="11" t="str">
        <f>CONCATENATE("          ", "5000", " - ", "PURCHASES @ COST")</f>
        <v xml:space="preserve">          5000 - PURCHASES @ COST</v>
      </c>
      <c r="C28" s="11"/>
      <c r="D28" s="2">
        <v>25133.41</v>
      </c>
      <c r="E28" s="2"/>
      <c r="F28" s="19">
        <f t="shared" si="9"/>
        <v>1.6999573208303431</v>
      </c>
      <c r="G28" s="2"/>
      <c r="H28" s="2"/>
      <c r="I28" s="2"/>
      <c r="J28" s="19">
        <f t="shared" si="10"/>
        <v>0</v>
      </c>
      <c r="K28" s="2"/>
      <c r="L28" s="2">
        <f t="shared" si="11"/>
        <v>25133.41</v>
      </c>
      <c r="M28" s="2"/>
      <c r="N28" s="19">
        <f t="shared" si="12"/>
        <v>0</v>
      </c>
      <c r="O28" s="11"/>
      <c r="P28" s="2">
        <v>72525.16</v>
      </c>
      <c r="Q28" s="2"/>
      <c r="R28" s="19">
        <f t="shared" si="13"/>
        <v>0.88093940425670447</v>
      </c>
      <c r="S28" s="2"/>
      <c r="T28" s="2"/>
      <c r="U28" s="2"/>
      <c r="V28" s="19">
        <f t="shared" si="14"/>
        <v>0</v>
      </c>
      <c r="W28" s="2"/>
      <c r="X28" s="2">
        <f t="shared" si="15"/>
        <v>72525.16</v>
      </c>
      <c r="Y28" s="2"/>
      <c r="Z28" s="19">
        <f t="shared" si="16"/>
        <v>0</v>
      </c>
    </row>
    <row r="29" spans="1:26" s="24" customFormat="1" hidden="1" outlineLevel="1" x14ac:dyDescent="0.3">
      <c r="A29" s="44"/>
      <c r="B29" s="11" t="str">
        <f>CONCATENATE("          ", "5026", " - ", "PURCHASES @ COST-WRITING INSTR")</f>
        <v xml:space="preserve">          5026 - PURCHASES @ COST-WRITING INSTR</v>
      </c>
      <c r="C29" s="11"/>
      <c r="D29" s="2"/>
      <c r="E29" s="2"/>
      <c r="F29" s="19">
        <f t="shared" si="9"/>
        <v>0</v>
      </c>
      <c r="G29" s="2"/>
      <c r="H29" s="2"/>
      <c r="I29" s="2"/>
      <c r="J29" s="19">
        <f t="shared" si="10"/>
        <v>0</v>
      </c>
      <c r="K29" s="2"/>
      <c r="L29" s="2">
        <f t="shared" si="11"/>
        <v>0</v>
      </c>
      <c r="M29" s="2"/>
      <c r="N29" s="19">
        <f t="shared" si="12"/>
        <v>0</v>
      </c>
      <c r="O29" s="11"/>
      <c r="P29" s="2">
        <v>0</v>
      </c>
      <c r="Q29" s="2"/>
      <c r="R29" s="19">
        <f t="shared" si="13"/>
        <v>0</v>
      </c>
      <c r="S29" s="2"/>
      <c r="T29" s="2">
        <v>370.02</v>
      </c>
      <c r="U29" s="2"/>
      <c r="V29" s="19">
        <f t="shared" si="14"/>
        <v>1.7362114722652863E-2</v>
      </c>
      <c r="W29" s="2"/>
      <c r="X29" s="2">
        <f t="shared" si="15"/>
        <v>-370.02</v>
      </c>
      <c r="Y29" s="2"/>
      <c r="Z29" s="19">
        <f t="shared" si="16"/>
        <v>-1</v>
      </c>
    </row>
    <row r="30" spans="1:26" s="24" customFormat="1" hidden="1" outlineLevel="1" x14ac:dyDescent="0.3">
      <c r="A30" s="44"/>
      <c r="B30" s="11" t="str">
        <f>CONCATENATE("          ", "5027", " - ", "PURCHASES @ COST-SCHOOL SUPPLI")</f>
        <v xml:space="preserve">          5027 - PURCHASES @ COST-SCHOOL SUPPLI</v>
      </c>
      <c r="C30" s="11"/>
      <c r="D30" s="2"/>
      <c r="E30" s="2"/>
      <c r="F30" s="19">
        <f t="shared" si="9"/>
        <v>0</v>
      </c>
      <c r="G30" s="2"/>
      <c r="H30" s="2"/>
      <c r="I30" s="2"/>
      <c r="J30" s="19">
        <f t="shared" si="10"/>
        <v>0</v>
      </c>
      <c r="K30" s="2"/>
      <c r="L30" s="2">
        <f t="shared" si="11"/>
        <v>0</v>
      </c>
      <c r="M30" s="2"/>
      <c r="N30" s="19">
        <f t="shared" si="12"/>
        <v>0</v>
      </c>
      <c r="O30" s="11"/>
      <c r="P30" s="2">
        <v>0</v>
      </c>
      <c r="Q30" s="2"/>
      <c r="R30" s="19">
        <f t="shared" si="13"/>
        <v>0</v>
      </c>
      <c r="S30" s="2"/>
      <c r="T30" s="2">
        <v>895.47</v>
      </c>
      <c r="U30" s="2"/>
      <c r="V30" s="19">
        <f t="shared" si="14"/>
        <v>4.201733114613794E-2</v>
      </c>
      <c r="W30" s="2"/>
      <c r="X30" s="2">
        <f t="shared" si="15"/>
        <v>-895.47</v>
      </c>
      <c r="Y30" s="2"/>
      <c r="Z30" s="19">
        <f t="shared" si="16"/>
        <v>-1</v>
      </c>
    </row>
    <row r="31" spans="1:26" s="24" customFormat="1" hidden="1" outlineLevel="1" x14ac:dyDescent="0.3">
      <c r="A31" s="44"/>
      <c r="B31" s="11" t="str">
        <f>CONCATENATE("          ", "5028", " - ", "PURCHASES @ COST-ART/TECH")</f>
        <v xml:space="preserve">          5028 - PURCHASES @ COST-ART/TECH</v>
      </c>
      <c r="C31" s="11"/>
      <c r="D31" s="2"/>
      <c r="E31" s="2"/>
      <c r="F31" s="19">
        <f t="shared" si="9"/>
        <v>0</v>
      </c>
      <c r="G31" s="2"/>
      <c r="H31" s="2">
        <v>15.89</v>
      </c>
      <c r="I31" s="2"/>
      <c r="J31" s="19">
        <f t="shared" si="10"/>
        <v>0</v>
      </c>
      <c r="K31" s="2"/>
      <c r="L31" s="2">
        <f t="shared" si="11"/>
        <v>-15.89</v>
      </c>
      <c r="M31" s="2"/>
      <c r="N31" s="19">
        <f t="shared" si="12"/>
        <v>-1</v>
      </c>
      <c r="O31" s="11"/>
      <c r="P31" s="2">
        <v>0</v>
      </c>
      <c r="Q31" s="2"/>
      <c r="R31" s="19">
        <f t="shared" si="13"/>
        <v>0</v>
      </c>
      <c r="S31" s="2"/>
      <c r="T31" s="2">
        <v>41441.85</v>
      </c>
      <c r="U31" s="2"/>
      <c r="V31" s="19">
        <f t="shared" si="14"/>
        <v>1.9445385493188789</v>
      </c>
      <c r="W31" s="2"/>
      <c r="X31" s="2">
        <f t="shared" si="15"/>
        <v>-41441.85</v>
      </c>
      <c r="Y31" s="2"/>
      <c r="Z31" s="19">
        <f t="shared" si="16"/>
        <v>-1</v>
      </c>
    </row>
    <row r="32" spans="1:26" s="24" customFormat="1" hidden="1" outlineLevel="1" x14ac:dyDescent="0.3">
      <c r="A32" s="44"/>
      <c r="B32" s="11" t="str">
        <f>CONCATENATE("          ", "5031", " - ", "PURCHASES @ COST-FOOD")</f>
        <v xml:space="preserve">          5031 - PURCHASES @ COST-FOOD</v>
      </c>
      <c r="C32" s="11"/>
      <c r="D32" s="2"/>
      <c r="E32" s="2"/>
      <c r="F32" s="19">
        <f t="shared" si="9"/>
        <v>0</v>
      </c>
      <c r="G32" s="2"/>
      <c r="H32" s="2"/>
      <c r="I32" s="2"/>
      <c r="J32" s="19">
        <f t="shared" si="10"/>
        <v>0</v>
      </c>
      <c r="K32" s="2"/>
      <c r="L32" s="2">
        <f t="shared" si="11"/>
        <v>0</v>
      </c>
      <c r="M32" s="2"/>
      <c r="N32" s="19">
        <f t="shared" si="12"/>
        <v>0</v>
      </c>
      <c r="O32" s="11"/>
      <c r="P32" s="2">
        <v>0</v>
      </c>
      <c r="Q32" s="2"/>
      <c r="R32" s="19">
        <f t="shared" si="13"/>
        <v>0</v>
      </c>
      <c r="S32" s="2"/>
      <c r="T32" s="2">
        <v>2929.67</v>
      </c>
      <c r="U32" s="2"/>
      <c r="V32" s="19">
        <f t="shared" si="14"/>
        <v>0.13746626301149781</v>
      </c>
      <c r="W32" s="2"/>
      <c r="X32" s="2">
        <f t="shared" si="15"/>
        <v>-2929.67</v>
      </c>
      <c r="Y32" s="2"/>
      <c r="Z32" s="19">
        <f t="shared" si="16"/>
        <v>-1</v>
      </c>
    </row>
    <row r="33" spans="1:26" s="24" customFormat="1" hidden="1" outlineLevel="1" x14ac:dyDescent="0.3">
      <c r="A33" s="44"/>
      <c r="B33" s="11" t="str">
        <f>CONCATENATE("          ", "5042", " - ", "PURCHASES @ COST-EVERYDAY GIFT")</f>
        <v xml:space="preserve">          5042 - PURCHASES @ COST-EVERYDAY GIFT</v>
      </c>
      <c r="C33" s="11"/>
      <c r="D33" s="2"/>
      <c r="E33" s="2"/>
      <c r="F33" s="19">
        <f t="shared" si="9"/>
        <v>0</v>
      </c>
      <c r="G33" s="2"/>
      <c r="H33" s="2"/>
      <c r="I33" s="2"/>
      <c r="J33" s="19">
        <f t="shared" si="10"/>
        <v>0</v>
      </c>
      <c r="K33" s="2"/>
      <c r="L33" s="2">
        <f t="shared" si="11"/>
        <v>0</v>
      </c>
      <c r="M33" s="2"/>
      <c r="N33" s="19">
        <f t="shared" si="12"/>
        <v>0</v>
      </c>
      <c r="O33" s="11"/>
      <c r="P33" s="2">
        <v>0</v>
      </c>
      <c r="Q33" s="2"/>
      <c r="R33" s="19">
        <f t="shared" si="13"/>
        <v>0</v>
      </c>
      <c r="S33" s="2"/>
      <c r="T33" s="2"/>
      <c r="U33" s="2"/>
      <c r="V33" s="19">
        <f t="shared" si="14"/>
        <v>0</v>
      </c>
      <c r="W33" s="2"/>
      <c r="X33" s="2">
        <f t="shared" si="15"/>
        <v>0</v>
      </c>
      <c r="Y33" s="2"/>
      <c r="Z33" s="19">
        <f t="shared" si="16"/>
        <v>0</v>
      </c>
    </row>
    <row r="34" spans="1:26" s="24" customFormat="1" hidden="1" outlineLevel="1" x14ac:dyDescent="0.3">
      <c r="A34" s="44"/>
      <c r="B34" s="11" t="str">
        <f>CONCATENATE("          ", "5200", " - ", "PURCHASES OFFSET")</f>
        <v xml:space="preserve">          5200 - PURCHASES OFFSET</v>
      </c>
      <c r="C34" s="11"/>
      <c r="D34" s="2">
        <v>-25192.57</v>
      </c>
      <c r="E34" s="2"/>
      <c r="F34" s="19">
        <f t="shared" si="9"/>
        <v>-1.7039587466257413</v>
      </c>
      <c r="G34" s="2"/>
      <c r="H34" s="2"/>
      <c r="I34" s="2"/>
      <c r="J34" s="19">
        <f t="shared" si="10"/>
        <v>0</v>
      </c>
      <c r="K34" s="2"/>
      <c r="L34" s="2">
        <f t="shared" si="11"/>
        <v>-25192.57</v>
      </c>
      <c r="M34" s="2"/>
      <c r="N34" s="19">
        <f t="shared" si="12"/>
        <v>0</v>
      </c>
      <c r="O34" s="11"/>
      <c r="P34" s="2">
        <v>-73336.55</v>
      </c>
      <c r="Q34" s="2"/>
      <c r="R34" s="19">
        <f t="shared" si="13"/>
        <v>-0.89079509327855355</v>
      </c>
      <c r="S34" s="2"/>
      <c r="T34" s="2">
        <v>-45863.33</v>
      </c>
      <c r="U34" s="2"/>
      <c r="V34" s="19">
        <f t="shared" si="14"/>
        <v>-2.1520036674311842</v>
      </c>
      <c r="W34" s="2"/>
      <c r="X34" s="2">
        <f t="shared" si="15"/>
        <v>-27473.22</v>
      </c>
      <c r="Y34" s="2"/>
      <c r="Z34" s="19">
        <f t="shared" si="16"/>
        <v>0.59902366443954247</v>
      </c>
    </row>
    <row r="35" spans="1:26" s="24" customFormat="1" hidden="1" outlineLevel="1" x14ac:dyDescent="0.3">
      <c r="A35" s="44"/>
      <c r="B35" s="11" t="str">
        <f>CONCATENATE("          ", "5300", " - ", "COG$ OFFSET")</f>
        <v xml:space="preserve">          5300 - COG$ OFFSET</v>
      </c>
      <c r="C35" s="11"/>
      <c r="D35" s="2">
        <v>8191.56</v>
      </c>
      <c r="E35" s="2"/>
      <c r="F35" s="19">
        <f t="shared" si="9"/>
        <v>0.5540554342216597</v>
      </c>
      <c r="G35" s="2"/>
      <c r="H35" s="2"/>
      <c r="I35" s="2"/>
      <c r="J35" s="19">
        <f t="shared" si="10"/>
        <v>0</v>
      </c>
      <c r="K35" s="2"/>
      <c r="L35" s="2">
        <f t="shared" si="11"/>
        <v>8191.56</v>
      </c>
      <c r="M35" s="2"/>
      <c r="N35" s="19">
        <f t="shared" si="12"/>
        <v>0</v>
      </c>
      <c r="O35" s="11"/>
      <c r="P35" s="2">
        <v>46493.02</v>
      </c>
      <c r="Q35" s="2"/>
      <c r="R35" s="19">
        <f t="shared" si="13"/>
        <v>0.56473551166098834</v>
      </c>
      <c r="S35" s="2"/>
      <c r="T35" s="2">
        <v>14145</v>
      </c>
      <c r="U35" s="2"/>
      <c r="V35" s="19">
        <f t="shared" si="14"/>
        <v>0.66371307700103988</v>
      </c>
      <c r="W35" s="2"/>
      <c r="X35" s="2">
        <f t="shared" si="15"/>
        <v>32348.019999999997</v>
      </c>
      <c r="Y35" s="2"/>
      <c r="Z35" s="19">
        <f t="shared" si="16"/>
        <v>2.2868872393071755</v>
      </c>
    </row>
    <row r="36" spans="1:26" s="24" customFormat="1" hidden="1" outlineLevel="1" x14ac:dyDescent="0.3">
      <c r="A36" s="44"/>
      <c r="B36" s="11" t="str">
        <f>CONCATENATE("          ", "5500", " - ", "FREIGHT-IN")</f>
        <v xml:space="preserve">          5500 - FREIGHT-IN</v>
      </c>
      <c r="C36" s="11"/>
      <c r="D36" s="2">
        <v>59.16</v>
      </c>
      <c r="E36" s="2"/>
      <c r="F36" s="19">
        <f t="shared" si="9"/>
        <v>4.0014257953983595E-3</v>
      </c>
      <c r="G36" s="2"/>
      <c r="H36" s="2"/>
      <c r="I36" s="2"/>
      <c r="J36" s="19">
        <f t="shared" si="10"/>
        <v>0</v>
      </c>
      <c r="K36" s="2"/>
      <c r="L36" s="2">
        <f t="shared" si="11"/>
        <v>59.16</v>
      </c>
      <c r="M36" s="2"/>
      <c r="N36" s="19">
        <f t="shared" si="12"/>
        <v>0</v>
      </c>
      <c r="O36" s="11"/>
      <c r="P36" s="2">
        <v>811.39</v>
      </c>
      <c r="Q36" s="2"/>
      <c r="R36" s="19">
        <f t="shared" si="13"/>
        <v>9.855689021849072E-3</v>
      </c>
      <c r="S36" s="2"/>
      <c r="T36" s="2"/>
      <c r="U36" s="2"/>
      <c r="V36" s="19">
        <f t="shared" si="14"/>
        <v>0</v>
      </c>
      <c r="W36" s="2"/>
      <c r="X36" s="2">
        <f t="shared" si="15"/>
        <v>811.39</v>
      </c>
      <c r="Y36" s="2"/>
      <c r="Z36" s="19">
        <f t="shared" si="16"/>
        <v>0</v>
      </c>
    </row>
    <row r="37" spans="1:26" s="24" customFormat="1" hidden="1" outlineLevel="1" x14ac:dyDescent="0.3">
      <c r="A37" s="44"/>
      <c r="B37" s="11" t="str">
        <f>CONCATENATE("          ", "5528", " - ", "FREIGHT-IN-ART/TECH")</f>
        <v xml:space="preserve">          5528 - FREIGHT-IN-ART/TECH</v>
      </c>
      <c r="C37" s="11"/>
      <c r="D37" s="2"/>
      <c r="E37" s="2"/>
      <c r="F37" s="19">
        <f t="shared" si="9"/>
        <v>0</v>
      </c>
      <c r="G37" s="2"/>
      <c r="H37" s="2">
        <v>1.72</v>
      </c>
      <c r="I37" s="2"/>
      <c r="J37" s="19">
        <f t="shared" si="10"/>
        <v>0</v>
      </c>
      <c r="K37" s="2"/>
      <c r="L37" s="2">
        <f t="shared" si="11"/>
        <v>-1.72</v>
      </c>
      <c r="M37" s="2"/>
      <c r="N37" s="19">
        <f t="shared" si="12"/>
        <v>-1</v>
      </c>
      <c r="O37" s="11"/>
      <c r="P37" s="2">
        <v>0</v>
      </c>
      <c r="Q37" s="2"/>
      <c r="R37" s="19">
        <f t="shared" si="13"/>
        <v>0</v>
      </c>
      <c r="S37" s="2"/>
      <c r="T37" s="2">
        <v>281.98</v>
      </c>
      <c r="U37" s="2"/>
      <c r="V37" s="19">
        <f t="shared" si="14"/>
        <v>1.3231093209809348E-2</v>
      </c>
      <c r="W37" s="2"/>
      <c r="X37" s="2">
        <f t="shared" si="15"/>
        <v>-281.98</v>
      </c>
      <c r="Y37" s="2"/>
      <c r="Z37" s="19">
        <f t="shared" si="16"/>
        <v>-1</v>
      </c>
    </row>
    <row r="38" spans="1:26" x14ac:dyDescent="0.3">
      <c r="A38" s="9"/>
      <c r="B38" s="10"/>
      <c r="C38" s="10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O38" s="10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x14ac:dyDescent="0.3">
      <c r="A39" s="10"/>
      <c r="B39" s="25" t="s">
        <v>107</v>
      </c>
      <c r="C39" s="25"/>
      <c r="D39" s="21">
        <f>D12-D27</f>
        <v>6593.170000000001</v>
      </c>
      <c r="E39" s="13"/>
      <c r="F39" s="22">
        <f>IF(D$12=0,0,D39/D$12)</f>
        <v>0.44594456577834024</v>
      </c>
      <c r="G39" s="13"/>
      <c r="H39" s="21">
        <f>H12-H27</f>
        <v>-17.61</v>
      </c>
      <c r="I39" s="13"/>
      <c r="J39" s="22">
        <f>IF(H$12=0,0,H39/H$12)</f>
        <v>0</v>
      </c>
      <c r="K39" s="16"/>
      <c r="L39" s="21">
        <f>+D39-H39</f>
        <v>6610.7800000000007</v>
      </c>
      <c r="M39" s="16"/>
      <c r="N39" s="22">
        <f>IF(H39=0,0,L39/H39)</f>
        <v>-375.39920499716078</v>
      </c>
      <c r="O39" s="26"/>
      <c r="P39" s="21">
        <f>P12-P27</f>
        <v>35834.049999999996</v>
      </c>
      <c r="Q39" s="13"/>
      <c r="R39" s="22">
        <f>IF(P$12=0,0,P39/P$12)</f>
        <v>0.43526448833901171</v>
      </c>
      <c r="S39" s="13"/>
      <c r="T39" s="21">
        <f>T12-T27</f>
        <v>7111.2600000000057</v>
      </c>
      <c r="U39" s="13"/>
      <c r="V39" s="22">
        <f>IF(T$12=0,0,T39/T$12)</f>
        <v>0.3336752390211678</v>
      </c>
      <c r="W39" s="16"/>
      <c r="X39" s="21">
        <f>+P39-T39</f>
        <v>28722.78999999999</v>
      </c>
      <c r="Y39" s="16"/>
      <c r="Z39" s="22">
        <f>IF(T39=0,0,X39/T39)</f>
        <v>4.0390577759778106</v>
      </c>
    </row>
    <row r="40" spans="1:26" x14ac:dyDescent="0.3">
      <c r="A40" s="9"/>
      <c r="B40" s="10"/>
      <c r="C40" s="9"/>
      <c r="D40" s="1"/>
      <c r="E40" s="1"/>
      <c r="F40" s="5"/>
      <c r="G40" s="1"/>
      <c r="H40" s="1"/>
      <c r="I40" s="1"/>
      <c r="J40" s="5"/>
      <c r="K40" s="1"/>
      <c r="L40" s="1"/>
      <c r="M40" s="1"/>
      <c r="N40" s="5"/>
      <c r="O40" s="37"/>
      <c r="P40" s="1"/>
      <c r="Q40" s="1"/>
      <c r="R40" s="5"/>
      <c r="S40" s="1"/>
      <c r="T40" s="1"/>
      <c r="U40" s="1"/>
      <c r="V40" s="5"/>
      <c r="W40" s="1"/>
      <c r="X40" s="1"/>
      <c r="Y40" s="1"/>
      <c r="Z40" s="5"/>
    </row>
    <row r="41" spans="1:26" s="23" customFormat="1" x14ac:dyDescent="0.3">
      <c r="A41" s="10"/>
      <c r="B41" s="26" t="s">
        <v>294</v>
      </c>
      <c r="C41" s="10"/>
      <c r="D41" s="20">
        <f>SUM(OSRRefD22x_0)</f>
        <v>6777.829999999999</v>
      </c>
      <c r="E41" s="20"/>
      <c r="F41" s="32">
        <f t="shared" ref="F41:F45" si="17">IF(D$12=0,0,D41/D$12)</f>
        <v>0.45843447935809434</v>
      </c>
      <c r="G41" s="20"/>
      <c r="H41" s="20">
        <f>SUM(OSRRefH22x_0)</f>
        <v>535.58000000000004</v>
      </c>
      <c r="I41" s="20"/>
      <c r="J41" s="32">
        <f t="shared" ref="J41:J45" si="18">IF(H$12=0,0,H41/H$12)</f>
        <v>0</v>
      </c>
      <c r="K41" s="4"/>
      <c r="L41" s="20">
        <f t="shared" ref="L41:L45" si="19">+D41-H41</f>
        <v>6242.2499999999991</v>
      </c>
      <c r="M41" s="4"/>
      <c r="N41" s="32">
        <f t="shared" ref="N41:N45" si="20">IF(H41=0,0,L41/H41)</f>
        <v>11.655121550468648</v>
      </c>
      <c r="O41" s="10"/>
      <c r="P41" s="20">
        <f>SUM(OSRRefP22x_0)</f>
        <v>20994.720000000001</v>
      </c>
      <c r="Q41" s="20"/>
      <c r="R41" s="32">
        <f t="shared" ref="R41:R45" si="21">IF(P$12=0,0,P41/P$12)</f>
        <v>0.25501599899036859</v>
      </c>
      <c r="S41" s="20"/>
      <c r="T41" s="20">
        <f>SUM(OSRRefT22x_0)</f>
        <v>12153.639999999996</v>
      </c>
      <c r="U41" s="20"/>
      <c r="V41" s="32">
        <f t="shared" ref="V41:V45" si="22">IF(T$12=0,0,T41/T$12)</f>
        <v>0.57027428781639555</v>
      </c>
      <c r="W41" s="4"/>
      <c r="X41" s="20">
        <f t="shared" ref="X41:X45" si="23">+P41-T41</f>
        <v>8841.0800000000054</v>
      </c>
      <c r="Y41" s="4"/>
      <c r="Z41" s="32">
        <f t="shared" ref="Z41:Z45" si="24">IF(T41=0,0,X41/T41)</f>
        <v>0.7274429718174974</v>
      </c>
    </row>
    <row r="42" spans="1:26" s="29" customFormat="1" outlineLevel="1" collapsed="1" x14ac:dyDescent="0.3">
      <c r="A42" s="28"/>
      <c r="B42" s="14" t="str">
        <f>CONCATENATE("     ","*Benefits                                         ")</f>
        <v xml:space="preserve">     *Benefits                                         </v>
      </c>
      <c r="C42" s="14"/>
      <c r="D42" s="1">
        <f>SUM(OSRRefD22_0x_0)</f>
        <v>95.39</v>
      </c>
      <c r="E42" s="1"/>
      <c r="F42" s="5">
        <f t="shared" si="17"/>
        <v>6.4519270896391066E-3</v>
      </c>
      <c r="G42" s="1"/>
      <c r="H42" s="1">
        <f>SUM(OSRRefH22_0x_0)</f>
        <v>1.39</v>
      </c>
      <c r="I42" s="1"/>
      <c r="J42" s="5">
        <f t="shared" si="18"/>
        <v>0</v>
      </c>
      <c r="K42" s="1"/>
      <c r="L42" s="1">
        <f t="shared" si="19"/>
        <v>94</v>
      </c>
      <c r="M42" s="1"/>
      <c r="N42" s="5">
        <f t="shared" si="20"/>
        <v>67.625899280575538</v>
      </c>
      <c r="O42" s="14"/>
      <c r="P42" s="1">
        <f>SUM(OSRRefP22_0x_0)</f>
        <v>225.75</v>
      </c>
      <c r="Q42" s="1"/>
      <c r="R42" s="5">
        <f t="shared" si="21"/>
        <v>2.7421114343070879E-3</v>
      </c>
      <c r="S42" s="1"/>
      <c r="T42" s="1">
        <f>SUM(OSRRefT22_0x_0)</f>
        <v>778.2</v>
      </c>
      <c r="U42" s="1"/>
      <c r="V42" s="5">
        <f t="shared" si="22"/>
        <v>3.6514776707119778E-2</v>
      </c>
      <c r="W42" s="1"/>
      <c r="X42" s="1">
        <f t="shared" si="23"/>
        <v>-552.45000000000005</v>
      </c>
      <c r="Y42" s="1"/>
      <c r="Z42" s="5">
        <f t="shared" si="24"/>
        <v>-0.70990747879722438</v>
      </c>
    </row>
    <row r="43" spans="1:26" s="24" customFormat="1" hidden="1" outlineLevel="2" x14ac:dyDescent="0.3">
      <c r="A43" s="27"/>
      <c r="B43" s="11" t="str">
        <f>CONCATENATE("          ", "6111", " - ", "F.I.C.A.")</f>
        <v xml:space="preserve">          6111 - F.I.C.A.</v>
      </c>
      <c r="C43" s="11"/>
      <c r="D43" s="6"/>
      <c r="E43" s="2"/>
      <c r="F43" s="7">
        <f t="shared" si="17"/>
        <v>0</v>
      </c>
      <c r="G43" s="2"/>
      <c r="H43" s="6">
        <v>1.39</v>
      </c>
      <c r="I43" s="2"/>
      <c r="J43" s="7">
        <f t="shared" si="18"/>
        <v>0</v>
      </c>
      <c r="K43" s="2"/>
      <c r="L43" s="6">
        <f t="shared" si="19"/>
        <v>-1.39</v>
      </c>
      <c r="M43" s="2"/>
      <c r="N43" s="7">
        <f t="shared" si="20"/>
        <v>-1</v>
      </c>
      <c r="O43" s="11"/>
      <c r="P43" s="6">
        <v>10.31</v>
      </c>
      <c r="Q43" s="2"/>
      <c r="R43" s="7">
        <f t="shared" si="21"/>
        <v>1.2523219883812215E-4</v>
      </c>
      <c r="S43" s="2"/>
      <c r="T43" s="6">
        <v>484.61</v>
      </c>
      <c r="U43" s="2"/>
      <c r="V43" s="7">
        <f t="shared" si="22"/>
        <v>2.2738917938881154E-2</v>
      </c>
      <c r="W43" s="2"/>
      <c r="X43" s="6">
        <f t="shared" si="23"/>
        <v>-474.3</v>
      </c>
      <c r="Y43" s="2"/>
      <c r="Z43" s="7">
        <f t="shared" si="24"/>
        <v>-0.97872516043829061</v>
      </c>
    </row>
    <row r="44" spans="1:26" s="24" customFormat="1" hidden="1" outlineLevel="2" x14ac:dyDescent="0.3">
      <c r="A44" s="27"/>
      <c r="B44" s="11" t="str">
        <f>CONCATENATE("          ", "6112", " - ", "COMPENSATION INSURANCE")</f>
        <v xml:space="preserve">          6112 - COMPENSATION INSURANCE</v>
      </c>
      <c r="C44" s="11"/>
      <c r="D44" s="6">
        <v>81.14</v>
      </c>
      <c r="E44" s="2"/>
      <c r="F44" s="7">
        <f t="shared" si="17"/>
        <v>5.4880948113357492E-3</v>
      </c>
      <c r="G44" s="2"/>
      <c r="H44" s="6"/>
      <c r="I44" s="2"/>
      <c r="J44" s="7">
        <f t="shared" si="18"/>
        <v>0</v>
      </c>
      <c r="K44" s="2"/>
      <c r="L44" s="6">
        <f t="shared" si="19"/>
        <v>81.14</v>
      </c>
      <c r="M44" s="2"/>
      <c r="N44" s="7">
        <f t="shared" si="20"/>
        <v>0</v>
      </c>
      <c r="O44" s="11"/>
      <c r="P44" s="6">
        <v>183.25</v>
      </c>
      <c r="Q44" s="2"/>
      <c r="R44" s="7">
        <f t="shared" si="21"/>
        <v>2.2258778309491643E-3</v>
      </c>
      <c r="S44" s="2"/>
      <c r="T44" s="6">
        <v>255.57</v>
      </c>
      <c r="U44" s="2"/>
      <c r="V44" s="7">
        <f t="shared" si="22"/>
        <v>1.1991880600152403E-2</v>
      </c>
      <c r="W44" s="2"/>
      <c r="X44" s="6">
        <f t="shared" si="23"/>
        <v>-72.319999999999993</v>
      </c>
      <c r="Y44" s="2"/>
      <c r="Z44" s="7">
        <f t="shared" si="24"/>
        <v>-0.28297531009116872</v>
      </c>
    </row>
    <row r="45" spans="1:26" s="24" customFormat="1" hidden="1" outlineLevel="2" x14ac:dyDescent="0.3">
      <c r="A45" s="27"/>
      <c r="B45" s="11" t="str">
        <f>CONCATENATE("          ", "6114", " - ", "STATE UNEMPLOYMENT INSURANCE")</f>
        <v xml:space="preserve">          6114 - STATE UNEMPLOYMENT INSURANCE</v>
      </c>
      <c r="C45" s="11"/>
      <c r="D45" s="6">
        <v>14.25</v>
      </c>
      <c r="E45" s="2"/>
      <c r="F45" s="7">
        <f t="shared" si="17"/>
        <v>9.6383227830335754E-4</v>
      </c>
      <c r="G45" s="2"/>
      <c r="H45" s="6"/>
      <c r="I45" s="2"/>
      <c r="J45" s="7">
        <f t="shared" si="18"/>
        <v>0</v>
      </c>
      <c r="K45" s="2"/>
      <c r="L45" s="6">
        <f t="shared" si="19"/>
        <v>14.25</v>
      </c>
      <c r="M45" s="2"/>
      <c r="N45" s="7">
        <f t="shared" si="20"/>
        <v>0</v>
      </c>
      <c r="O45" s="11"/>
      <c r="P45" s="6">
        <v>32.19</v>
      </c>
      <c r="Q45" s="2"/>
      <c r="R45" s="7">
        <f t="shared" si="21"/>
        <v>3.9100140451980132E-4</v>
      </c>
      <c r="S45" s="2"/>
      <c r="T45" s="6">
        <v>38.020000000000003</v>
      </c>
      <c r="U45" s="2"/>
      <c r="V45" s="7">
        <f t="shared" si="22"/>
        <v>1.7839781680862169E-3</v>
      </c>
      <c r="W45" s="2"/>
      <c r="X45" s="6">
        <f t="shared" si="23"/>
        <v>-5.8300000000000054</v>
      </c>
      <c r="Y45" s="2"/>
      <c r="Z45" s="7">
        <f t="shared" si="24"/>
        <v>-0.15334034718569187</v>
      </c>
    </row>
    <row r="46" spans="1:26" s="29" customFormat="1" outlineLevel="1" collapsed="1" x14ac:dyDescent="0.3">
      <c r="A46" s="28"/>
      <c r="B46" s="14" t="str">
        <f>CONCATENATE("     ","*Payroll                                          ")</f>
        <v xml:space="preserve">     *Payroll                                          </v>
      </c>
      <c r="C46" s="14"/>
      <c r="D46" s="1">
        <f>SUM(OSRRefD22_1x_0)</f>
        <v>4766.68</v>
      </c>
      <c r="E46" s="1"/>
      <c r="F46" s="5">
        <f t="shared" ref="F46:F49" si="25">IF(D$12=0,0,D46/D$12)</f>
        <v>0.3224056171468806</v>
      </c>
      <c r="G46" s="1"/>
      <c r="H46" s="1">
        <f>SUM(OSRRefH22_1x_0)</f>
        <v>18.190000000000001</v>
      </c>
      <c r="I46" s="1"/>
      <c r="J46" s="5">
        <f t="shared" ref="J46:J49" si="26">IF(H$12=0,0,H46/H$12)</f>
        <v>0</v>
      </c>
      <c r="K46" s="1"/>
      <c r="L46" s="1">
        <f t="shared" ref="L46:L49" si="27">+D46-H46</f>
        <v>4748.4900000000007</v>
      </c>
      <c r="M46" s="1"/>
      <c r="N46" s="5">
        <f t="shared" ref="N46:N49" si="28">IF(H46=0,0,L46/H46)</f>
        <v>261.04947773501925</v>
      </c>
      <c r="O46" s="14"/>
      <c r="P46" s="1">
        <f>SUM(OSRRefP22_1x_0)</f>
        <v>10723.59</v>
      </c>
      <c r="Q46" s="1"/>
      <c r="R46" s="5">
        <f t="shared" ref="R46:R49" si="29">IF(P$12=0,0,P46/P$12)</f>
        <v>0.13025594133254106</v>
      </c>
      <c r="S46" s="1"/>
      <c r="T46" s="1">
        <f>SUM(OSRRefT22_1x_0)</f>
        <v>8152.5399999999991</v>
      </c>
      <c r="U46" s="1"/>
      <c r="V46" s="5">
        <f t="shared" ref="V46:V49" si="30">IF(T$12=0,0,T46/T$12)</f>
        <v>0.38253428128483963</v>
      </c>
      <c r="W46" s="1"/>
      <c r="X46" s="1">
        <f t="shared" ref="X46:X49" si="31">+P46-T46</f>
        <v>2571.0500000000011</v>
      </c>
      <c r="Y46" s="1"/>
      <c r="Z46" s="5">
        <f t="shared" ref="Z46:Z49" si="32">IF(T46=0,0,X46/T46)</f>
        <v>0.31536797120897309</v>
      </c>
    </row>
    <row r="47" spans="1:26" s="24" customFormat="1" hidden="1" outlineLevel="2" x14ac:dyDescent="0.3">
      <c r="A47" s="27"/>
      <c r="B47" s="11" t="str">
        <f>CONCATENATE("          ", "6005", " - ", "TEMPORARY WAGES-HOURLY")</f>
        <v xml:space="preserve">          6005 - TEMPORARY WAGES-HOURLY</v>
      </c>
      <c r="C47" s="11"/>
      <c r="D47" s="6"/>
      <c r="E47" s="2"/>
      <c r="F47" s="7">
        <f t="shared" si="25"/>
        <v>0</v>
      </c>
      <c r="G47" s="2"/>
      <c r="H47" s="6">
        <v>18.190000000000001</v>
      </c>
      <c r="I47" s="2"/>
      <c r="J47" s="7">
        <f t="shared" si="26"/>
        <v>0</v>
      </c>
      <c r="K47" s="2"/>
      <c r="L47" s="6">
        <f t="shared" si="27"/>
        <v>-18.190000000000001</v>
      </c>
      <c r="M47" s="2"/>
      <c r="N47" s="7">
        <f t="shared" si="28"/>
        <v>-1</v>
      </c>
      <c r="O47" s="11"/>
      <c r="P47" s="6">
        <v>134.81</v>
      </c>
      <c r="Q47" s="2"/>
      <c r="R47" s="7">
        <f t="shared" si="29"/>
        <v>1.6374929898513334E-3</v>
      </c>
      <c r="S47" s="2"/>
      <c r="T47" s="6">
        <v>5379.19</v>
      </c>
      <c r="U47" s="2"/>
      <c r="V47" s="7">
        <f t="shared" si="30"/>
        <v>0.25240288064144384</v>
      </c>
      <c r="W47" s="2"/>
      <c r="X47" s="6">
        <f t="shared" si="31"/>
        <v>-5244.3799999999992</v>
      </c>
      <c r="Y47" s="2"/>
      <c r="Z47" s="7">
        <f t="shared" si="32"/>
        <v>-0.97493860599830073</v>
      </c>
    </row>
    <row r="48" spans="1:26" s="24" customFormat="1" hidden="1" outlineLevel="2" x14ac:dyDescent="0.3">
      <c r="A48" s="27"/>
      <c r="B48" s="11" t="str">
        <f>CONCATENATE("          ", "6007", " - ", "STUDENT HOURLY")</f>
        <v xml:space="preserve">          6007 - STUDENT HOURLY</v>
      </c>
      <c r="C48" s="11"/>
      <c r="D48" s="6">
        <v>3684.6</v>
      </c>
      <c r="E48" s="2"/>
      <c r="F48" s="7">
        <f t="shared" si="25"/>
        <v>0.24921659036045971</v>
      </c>
      <c r="G48" s="2"/>
      <c r="H48" s="6"/>
      <c r="I48" s="2"/>
      <c r="J48" s="7">
        <f t="shared" si="26"/>
        <v>0</v>
      </c>
      <c r="K48" s="2"/>
      <c r="L48" s="6">
        <f t="shared" si="27"/>
        <v>3684.6</v>
      </c>
      <c r="M48" s="2"/>
      <c r="N48" s="7">
        <f t="shared" si="28"/>
        <v>0</v>
      </c>
      <c r="O48" s="11"/>
      <c r="P48" s="6">
        <v>8688.09</v>
      </c>
      <c r="Q48" s="2"/>
      <c r="R48" s="7">
        <f t="shared" si="29"/>
        <v>0.10553138839995158</v>
      </c>
      <c r="S48" s="2"/>
      <c r="T48" s="6">
        <v>2773.35</v>
      </c>
      <c r="U48" s="2"/>
      <c r="V48" s="7">
        <f t="shared" si="30"/>
        <v>0.13013140064339582</v>
      </c>
      <c r="W48" s="2"/>
      <c r="X48" s="6">
        <f t="shared" si="31"/>
        <v>5914.74</v>
      </c>
      <c r="Y48" s="2"/>
      <c r="Z48" s="7">
        <f t="shared" si="32"/>
        <v>2.1327059332576126</v>
      </c>
    </row>
    <row r="49" spans="1:26" s="24" customFormat="1" hidden="1" outlineLevel="2" x14ac:dyDescent="0.3">
      <c r="A49" s="27"/>
      <c r="B49" s="11" t="str">
        <f>CONCATENATE("          ", "6008", " - ", "STUDENT HOURLY-FICA EXEMPT")</f>
        <v xml:space="preserve">          6008 - STUDENT HOURLY-FICA EXEMPT</v>
      </c>
      <c r="C49" s="11"/>
      <c r="D49" s="6">
        <v>1082.08</v>
      </c>
      <c r="E49" s="2"/>
      <c r="F49" s="7">
        <f t="shared" si="25"/>
        <v>7.3189026786420849E-2</v>
      </c>
      <c r="G49" s="2"/>
      <c r="H49" s="6"/>
      <c r="I49" s="2"/>
      <c r="J49" s="7">
        <f t="shared" si="26"/>
        <v>0</v>
      </c>
      <c r="K49" s="2"/>
      <c r="L49" s="6">
        <f t="shared" si="27"/>
        <v>1082.08</v>
      </c>
      <c r="M49" s="2"/>
      <c r="N49" s="7">
        <f t="shared" si="28"/>
        <v>0</v>
      </c>
      <c r="O49" s="11"/>
      <c r="P49" s="6">
        <v>1900.69</v>
      </c>
      <c r="Q49" s="2"/>
      <c r="R49" s="7">
        <f t="shared" si="29"/>
        <v>2.3087059942738158E-2</v>
      </c>
      <c r="S49" s="2"/>
      <c r="T49" s="6"/>
      <c r="U49" s="2"/>
      <c r="V49" s="7">
        <f t="shared" si="30"/>
        <v>0</v>
      </c>
      <c r="W49" s="2"/>
      <c r="X49" s="6">
        <f t="shared" si="31"/>
        <v>1900.69</v>
      </c>
      <c r="Y49" s="2"/>
      <c r="Z49" s="7">
        <f t="shared" si="32"/>
        <v>0</v>
      </c>
    </row>
    <row r="50" spans="1:26" s="29" customFormat="1" outlineLevel="1" collapsed="1" x14ac:dyDescent="0.3">
      <c r="A50" s="28"/>
      <c r="B50" s="14" t="str">
        <f>CONCATENATE("     ","Advertising/Promo                                 ")</f>
        <v xml:space="preserve">     Advertising/Promo                                 </v>
      </c>
      <c r="C50" s="14"/>
      <c r="D50" s="1">
        <f>SUM(OSRRefD22_2x_0)</f>
        <v>1019.63</v>
      </c>
      <c r="E50" s="1"/>
      <c r="F50" s="5">
        <f t="shared" ref="F50:F56" si="33">IF(D$12=0,0,D50/D$12)</f>
        <v>6.8965074100101928E-2</v>
      </c>
      <c r="G50" s="1"/>
      <c r="H50" s="1">
        <f>SUM(OSRRefH22_2x_0)</f>
        <v>0</v>
      </c>
      <c r="I50" s="1"/>
      <c r="J50" s="5">
        <f t="shared" ref="J50:J56" si="34">IF(H$12=0,0,H50/H$12)</f>
        <v>0</v>
      </c>
      <c r="K50" s="1"/>
      <c r="L50" s="1">
        <f t="shared" ref="L50:L56" si="35">+D50-H50</f>
        <v>1019.63</v>
      </c>
      <c r="M50" s="1"/>
      <c r="N50" s="5">
        <f t="shared" ref="N50:N56" si="36">IF(H50=0,0,L50/H50)</f>
        <v>0</v>
      </c>
      <c r="O50" s="14"/>
      <c r="P50" s="1">
        <f>SUM(OSRRefP22_2x_0)</f>
        <v>1188.43</v>
      </c>
      <c r="Q50" s="1"/>
      <c r="R50" s="5">
        <f t="shared" ref="R50:R56" si="37">IF(P$12=0,0,P50/P$12)</f>
        <v>1.4435470617380167E-2</v>
      </c>
      <c r="S50" s="1"/>
      <c r="T50" s="1">
        <f>SUM(OSRRefT22_2x_0)</f>
        <v>124.72</v>
      </c>
      <c r="U50" s="1"/>
      <c r="V50" s="5">
        <f t="shared" ref="V50:V56" si="38">IF(T$12=0,0,T50/T$12)</f>
        <v>5.8521240695347957E-3</v>
      </c>
      <c r="W50" s="1"/>
      <c r="X50" s="1">
        <f t="shared" ref="X50:X56" si="39">+P50-T50</f>
        <v>1063.71</v>
      </c>
      <c r="Y50" s="1"/>
      <c r="Z50" s="5">
        <f t="shared" ref="Z50:Z56" si="40">IF(T50=0,0,X50/T50)</f>
        <v>8.528784477228994</v>
      </c>
    </row>
    <row r="51" spans="1:26" s="24" customFormat="1" hidden="1" outlineLevel="2" x14ac:dyDescent="0.3">
      <c r="A51" s="27"/>
      <c r="B51" s="11" t="str">
        <f>CONCATENATE("          ", "6362", " - ", "ADVERTISING EXPENSE")</f>
        <v xml:space="preserve">          6362 - ADVERTISING EXPENSE</v>
      </c>
      <c r="C51" s="11"/>
      <c r="D51" s="6">
        <v>1019.63</v>
      </c>
      <c r="E51" s="2"/>
      <c r="F51" s="7">
        <f t="shared" si="33"/>
        <v>6.8965074100101928E-2</v>
      </c>
      <c r="G51" s="2"/>
      <c r="H51" s="6"/>
      <c r="I51" s="2"/>
      <c r="J51" s="7">
        <f t="shared" si="34"/>
        <v>0</v>
      </c>
      <c r="K51" s="2"/>
      <c r="L51" s="6">
        <f t="shared" si="35"/>
        <v>1019.63</v>
      </c>
      <c r="M51" s="2"/>
      <c r="N51" s="7">
        <f t="shared" si="36"/>
        <v>0</v>
      </c>
      <c r="O51" s="11"/>
      <c r="P51" s="6">
        <v>1188.43</v>
      </c>
      <c r="Q51" s="2"/>
      <c r="R51" s="7">
        <f t="shared" si="37"/>
        <v>1.4435470617380167E-2</v>
      </c>
      <c r="S51" s="2"/>
      <c r="T51" s="6">
        <v>124.72</v>
      </c>
      <c r="U51" s="2"/>
      <c r="V51" s="7">
        <f t="shared" si="38"/>
        <v>5.8521240695347957E-3</v>
      </c>
      <c r="W51" s="2"/>
      <c r="X51" s="6">
        <f t="shared" si="39"/>
        <v>1063.71</v>
      </c>
      <c r="Y51" s="2"/>
      <c r="Z51" s="7">
        <f t="shared" si="40"/>
        <v>8.528784477228994</v>
      </c>
    </row>
    <row r="52" spans="1:26" s="29" customFormat="1" outlineLevel="1" collapsed="1" x14ac:dyDescent="0.3">
      <c r="A52" s="28"/>
      <c r="B52" s="14" t="str">
        <f>CONCATENATE("     ","Bad Debts/Over/Short                              ")</f>
        <v xml:space="preserve">     Bad Debts/Over/Short                              </v>
      </c>
      <c r="C52" s="14"/>
      <c r="D52" s="1">
        <f>SUM(OSRRefD22_3x_0)</f>
        <v>-0.57999999999999996</v>
      </c>
      <c r="E52" s="1"/>
      <c r="F52" s="5">
        <f t="shared" si="33"/>
        <v>-3.922966466076823E-5</v>
      </c>
      <c r="G52" s="1"/>
      <c r="H52" s="1">
        <f>SUM(OSRRefH22_3x_0)</f>
        <v>0</v>
      </c>
      <c r="I52" s="1"/>
      <c r="J52" s="5">
        <f t="shared" si="34"/>
        <v>0</v>
      </c>
      <c r="K52" s="1"/>
      <c r="L52" s="1">
        <f t="shared" si="35"/>
        <v>-0.57999999999999996</v>
      </c>
      <c r="M52" s="1"/>
      <c r="N52" s="5">
        <f t="shared" si="36"/>
        <v>0</v>
      </c>
      <c r="O52" s="14"/>
      <c r="P52" s="1">
        <f>SUM(OSRRefP22_3x_0)</f>
        <v>-3.47</v>
      </c>
      <c r="Q52" s="1"/>
      <c r="R52" s="5">
        <f t="shared" si="37"/>
        <v>-4.2148955380046935E-5</v>
      </c>
      <c r="S52" s="1"/>
      <c r="T52" s="1">
        <f>SUM(OSRRefT22_3x_0)</f>
        <v>1.1000000000000001</v>
      </c>
      <c r="U52" s="1"/>
      <c r="V52" s="5">
        <f t="shared" si="38"/>
        <v>5.1614307861516002E-5</v>
      </c>
      <c r="W52" s="1"/>
      <c r="X52" s="1">
        <f t="shared" si="39"/>
        <v>-4.57</v>
      </c>
      <c r="Y52" s="1"/>
      <c r="Z52" s="5">
        <f t="shared" si="40"/>
        <v>-4.1545454545454543</v>
      </c>
    </row>
    <row r="53" spans="1:26" s="24" customFormat="1" hidden="1" outlineLevel="2" x14ac:dyDescent="0.3">
      <c r="A53" s="27"/>
      <c r="B53" s="11" t="str">
        <f>CONCATENATE("          ", "6272", " - ", "CASH (OVER/SHORT)")</f>
        <v xml:space="preserve">          6272 - CASH (OVER/SHORT)</v>
      </c>
      <c r="C53" s="11"/>
      <c r="D53" s="6">
        <v>-0.57999999999999996</v>
      </c>
      <c r="E53" s="2"/>
      <c r="F53" s="7">
        <f t="shared" si="33"/>
        <v>-3.922966466076823E-5</v>
      </c>
      <c r="G53" s="2"/>
      <c r="H53" s="6"/>
      <c r="I53" s="2"/>
      <c r="J53" s="7">
        <f t="shared" si="34"/>
        <v>0</v>
      </c>
      <c r="K53" s="2"/>
      <c r="L53" s="6">
        <f t="shared" si="35"/>
        <v>-0.57999999999999996</v>
      </c>
      <c r="M53" s="2"/>
      <c r="N53" s="7">
        <f t="shared" si="36"/>
        <v>0</v>
      </c>
      <c r="O53" s="11"/>
      <c r="P53" s="6">
        <v>-3.47</v>
      </c>
      <c r="Q53" s="2"/>
      <c r="R53" s="7">
        <f t="shared" si="37"/>
        <v>-4.2148955380046935E-5</v>
      </c>
      <c r="S53" s="2"/>
      <c r="T53" s="6">
        <v>1.1000000000000001</v>
      </c>
      <c r="U53" s="2"/>
      <c r="V53" s="7">
        <f t="shared" si="38"/>
        <v>5.1614307861516002E-5</v>
      </c>
      <c r="W53" s="2"/>
      <c r="X53" s="6">
        <f t="shared" si="39"/>
        <v>-4.57</v>
      </c>
      <c r="Y53" s="2"/>
      <c r="Z53" s="7">
        <f t="shared" si="40"/>
        <v>-4.1545454545454543</v>
      </c>
    </row>
    <row r="54" spans="1:26" s="29" customFormat="1" outlineLevel="1" collapsed="1" x14ac:dyDescent="0.3">
      <c r="A54" s="28"/>
      <c r="B54" s="14" t="str">
        <f>CONCATENATE("     ","Discounts and Markdowns                           ")</f>
        <v xml:space="preserve">     Discounts and Markdowns                           </v>
      </c>
      <c r="C54" s="14"/>
      <c r="D54" s="1">
        <f>SUM(OSRRefD22_4x_0)</f>
        <v>2.19</v>
      </c>
      <c r="E54" s="1"/>
      <c r="F54" s="5">
        <f t="shared" si="33"/>
        <v>1.4812580277083178E-4</v>
      </c>
      <c r="G54" s="1"/>
      <c r="H54" s="1">
        <f>SUM(OSRRefH22_4x_0)</f>
        <v>418.85</v>
      </c>
      <c r="I54" s="1"/>
      <c r="J54" s="5">
        <f t="shared" si="34"/>
        <v>0</v>
      </c>
      <c r="K54" s="1"/>
      <c r="L54" s="1">
        <f t="shared" si="35"/>
        <v>-416.66</v>
      </c>
      <c r="M54" s="1"/>
      <c r="N54" s="5">
        <f t="shared" si="36"/>
        <v>-0.99477139787513436</v>
      </c>
      <c r="O54" s="14"/>
      <c r="P54" s="1">
        <f>SUM(OSRRefP22_4x_0)</f>
        <v>-41.35</v>
      </c>
      <c r="Q54" s="1"/>
      <c r="R54" s="5">
        <f t="shared" si="37"/>
        <v>-5.0226492938470915E-4</v>
      </c>
      <c r="S54" s="1"/>
      <c r="T54" s="1">
        <f>SUM(OSRRefT22_4x_0)</f>
        <v>0</v>
      </c>
      <c r="U54" s="1"/>
      <c r="V54" s="5">
        <f t="shared" si="38"/>
        <v>0</v>
      </c>
      <c r="W54" s="1"/>
      <c r="X54" s="1">
        <f t="shared" si="39"/>
        <v>-41.35</v>
      </c>
      <c r="Y54" s="1"/>
      <c r="Z54" s="5">
        <f t="shared" si="40"/>
        <v>0</v>
      </c>
    </row>
    <row r="55" spans="1:26" s="24" customFormat="1" hidden="1" outlineLevel="2" x14ac:dyDescent="0.3">
      <c r="A55" s="27"/>
      <c r="B55" s="11" t="str">
        <f>CONCATENATE("          ", "6382", " - ", "DISCOUNTS/MARK DOWNS")</f>
        <v xml:space="preserve">          6382 - DISCOUNTS/MARK DOWNS</v>
      </c>
      <c r="C55" s="11"/>
      <c r="D55" s="6"/>
      <c r="E55" s="2"/>
      <c r="F55" s="7">
        <f t="shared" si="33"/>
        <v>0</v>
      </c>
      <c r="G55" s="2"/>
      <c r="H55" s="6"/>
      <c r="I55" s="2"/>
      <c r="J55" s="7">
        <f t="shared" si="34"/>
        <v>0</v>
      </c>
      <c r="K55" s="2"/>
      <c r="L55" s="6">
        <f t="shared" si="35"/>
        <v>0</v>
      </c>
      <c r="M55" s="2"/>
      <c r="N55" s="7">
        <f t="shared" si="36"/>
        <v>0</v>
      </c>
      <c r="O55" s="11"/>
      <c r="P55" s="6"/>
      <c r="Q55" s="2"/>
      <c r="R55" s="7">
        <f t="shared" si="37"/>
        <v>0</v>
      </c>
      <c r="S55" s="2"/>
      <c r="T55" s="6">
        <v>0</v>
      </c>
      <c r="U55" s="2"/>
      <c r="V55" s="7">
        <f t="shared" si="38"/>
        <v>0</v>
      </c>
      <c r="W55" s="2"/>
      <c r="X55" s="6">
        <f t="shared" si="39"/>
        <v>0</v>
      </c>
      <c r="Y55" s="2"/>
      <c r="Z55" s="7">
        <f t="shared" si="40"/>
        <v>0</v>
      </c>
    </row>
    <row r="56" spans="1:26" s="24" customFormat="1" hidden="1" outlineLevel="2" x14ac:dyDescent="0.3">
      <c r="A56" s="27"/>
      <c r="B56" s="11" t="str">
        <f>CONCATENATE("          ", "9175", " - ", "EARNED DISCOUNTS")</f>
        <v xml:space="preserve">          9175 - EARNED DISCOUNTS</v>
      </c>
      <c r="C56" s="11"/>
      <c r="D56" s="6">
        <v>2.19</v>
      </c>
      <c r="E56" s="2"/>
      <c r="F56" s="7">
        <f t="shared" si="33"/>
        <v>1.4812580277083178E-4</v>
      </c>
      <c r="G56" s="2"/>
      <c r="H56" s="6">
        <v>418.85</v>
      </c>
      <c r="I56" s="2"/>
      <c r="J56" s="7">
        <f t="shared" si="34"/>
        <v>0</v>
      </c>
      <c r="K56" s="2"/>
      <c r="L56" s="6">
        <f t="shared" si="35"/>
        <v>-416.66</v>
      </c>
      <c r="M56" s="2"/>
      <c r="N56" s="7">
        <f t="shared" si="36"/>
        <v>-0.99477139787513436</v>
      </c>
      <c r="O56" s="11"/>
      <c r="P56" s="6">
        <v>-41.35</v>
      </c>
      <c r="Q56" s="2"/>
      <c r="R56" s="7">
        <f t="shared" si="37"/>
        <v>-5.0226492938470915E-4</v>
      </c>
      <c r="S56" s="2"/>
      <c r="T56" s="6">
        <v>0</v>
      </c>
      <c r="U56" s="2"/>
      <c r="V56" s="7">
        <f t="shared" si="38"/>
        <v>0</v>
      </c>
      <c r="W56" s="2"/>
      <c r="X56" s="6">
        <f t="shared" si="39"/>
        <v>-41.35</v>
      </c>
      <c r="Y56" s="2"/>
      <c r="Z56" s="7">
        <f t="shared" si="40"/>
        <v>0</v>
      </c>
    </row>
    <row r="57" spans="1:26" s="29" customFormat="1" outlineLevel="1" collapsed="1" x14ac:dyDescent="0.3">
      <c r="A57" s="28"/>
      <c r="B57" s="14" t="str">
        <f>CONCATENATE("     ","Freight out/Postage                               ")</f>
        <v xml:space="preserve">     Freight out/Postage                               </v>
      </c>
      <c r="C57" s="14"/>
      <c r="D57" s="1">
        <f>SUM(OSRRefD22_5x_0)</f>
        <v>0</v>
      </c>
      <c r="E57" s="1"/>
      <c r="F57" s="5">
        <f t="shared" ref="F57:F65" si="41">IF(D$12=0,0,D57/D$12)</f>
        <v>0</v>
      </c>
      <c r="G57" s="1"/>
      <c r="H57" s="1">
        <f>SUM(OSRRefH22_5x_0)</f>
        <v>0</v>
      </c>
      <c r="I57" s="1"/>
      <c r="J57" s="5">
        <f t="shared" ref="J57:J65" si="42">IF(H$12=0,0,H57/H$12)</f>
        <v>0</v>
      </c>
      <c r="K57" s="1"/>
      <c r="L57" s="1">
        <f t="shared" ref="L57:L65" si="43">+D57-H57</f>
        <v>0</v>
      </c>
      <c r="M57" s="1"/>
      <c r="N57" s="5">
        <f t="shared" ref="N57:N65" si="44">IF(H57=0,0,L57/H57)</f>
        <v>0</v>
      </c>
      <c r="O57" s="14"/>
      <c r="P57" s="1">
        <f>SUM(OSRRefP22_5x_0)</f>
        <v>54.5</v>
      </c>
      <c r="Q57" s="1"/>
      <c r="R57" s="5">
        <f t="shared" ref="R57:R65" si="45">IF(P$12=0,0,P57/P$12)</f>
        <v>6.619936796001607E-4</v>
      </c>
      <c r="S57" s="1"/>
      <c r="T57" s="1">
        <f>SUM(OSRRefT22_5x_0)</f>
        <v>0</v>
      </c>
      <c r="U57" s="1"/>
      <c r="V57" s="5">
        <f t="shared" ref="V57:V65" si="46">IF(T$12=0,0,T57/T$12)</f>
        <v>0</v>
      </c>
      <c r="W57" s="1"/>
      <c r="X57" s="1">
        <f t="shared" ref="X57:X65" si="47">+P57-T57</f>
        <v>54.5</v>
      </c>
      <c r="Y57" s="1"/>
      <c r="Z57" s="5">
        <f t="shared" ref="Z57:Z65" si="48">IF(T57=0,0,X57/T57)</f>
        <v>0</v>
      </c>
    </row>
    <row r="58" spans="1:26" s="24" customFormat="1" hidden="1" outlineLevel="2" x14ac:dyDescent="0.3">
      <c r="A58" s="27"/>
      <c r="B58" s="11" t="str">
        <f>CONCATENATE("          ", "6307", " - ", "POSTAGE")</f>
        <v xml:space="preserve">          6307 - POSTAGE</v>
      </c>
      <c r="C58" s="11"/>
      <c r="D58" s="6"/>
      <c r="E58" s="2"/>
      <c r="F58" s="7">
        <f t="shared" si="41"/>
        <v>0</v>
      </c>
      <c r="G58" s="2"/>
      <c r="H58" s="6"/>
      <c r="I58" s="2"/>
      <c r="J58" s="7">
        <f t="shared" si="42"/>
        <v>0</v>
      </c>
      <c r="K58" s="2"/>
      <c r="L58" s="6">
        <f t="shared" si="43"/>
        <v>0</v>
      </c>
      <c r="M58" s="2"/>
      <c r="N58" s="7">
        <f t="shared" si="44"/>
        <v>0</v>
      </c>
      <c r="O58" s="11"/>
      <c r="P58" s="6">
        <v>54.5</v>
      </c>
      <c r="Q58" s="2"/>
      <c r="R58" s="7">
        <f t="shared" si="45"/>
        <v>6.619936796001607E-4</v>
      </c>
      <c r="S58" s="2"/>
      <c r="T58" s="6"/>
      <c r="U58" s="2"/>
      <c r="V58" s="7">
        <f t="shared" si="46"/>
        <v>0</v>
      </c>
      <c r="W58" s="2"/>
      <c r="X58" s="6">
        <f t="shared" si="47"/>
        <v>54.5</v>
      </c>
      <c r="Y58" s="2"/>
      <c r="Z58" s="7">
        <f t="shared" si="48"/>
        <v>0</v>
      </c>
    </row>
    <row r="59" spans="1:26" s="29" customFormat="1" outlineLevel="1" collapsed="1" x14ac:dyDescent="0.3">
      <c r="A59" s="28"/>
      <c r="B59" s="14" t="str">
        <f>CONCATENATE("     ","General                                           ")</f>
        <v xml:space="preserve">     General                                           </v>
      </c>
      <c r="C59" s="14"/>
      <c r="D59" s="1">
        <f>SUM(OSRRefD22_6x_0)</f>
        <v>0</v>
      </c>
      <c r="E59" s="1"/>
      <c r="F59" s="5">
        <f t="shared" si="41"/>
        <v>0</v>
      </c>
      <c r="G59" s="1"/>
      <c r="H59" s="1">
        <f>SUM(OSRRefH22_6x_0)</f>
        <v>0</v>
      </c>
      <c r="I59" s="1"/>
      <c r="J59" s="5">
        <f t="shared" si="42"/>
        <v>0</v>
      </c>
      <c r="K59" s="1"/>
      <c r="L59" s="1">
        <f t="shared" si="43"/>
        <v>0</v>
      </c>
      <c r="M59" s="1"/>
      <c r="N59" s="5">
        <f t="shared" si="44"/>
        <v>0</v>
      </c>
      <c r="O59" s="14"/>
      <c r="P59" s="1">
        <f>SUM(OSRRefP22_6x_0)</f>
        <v>228.04</v>
      </c>
      <c r="Q59" s="1"/>
      <c r="R59" s="5">
        <f t="shared" si="45"/>
        <v>2.7699273155233147E-3</v>
      </c>
      <c r="S59" s="1"/>
      <c r="T59" s="1">
        <f>SUM(OSRRefT22_6x_0)</f>
        <v>719.55</v>
      </c>
      <c r="U59" s="1"/>
      <c r="V59" s="5">
        <f t="shared" si="46"/>
        <v>3.3762795656139849E-2</v>
      </c>
      <c r="W59" s="1"/>
      <c r="X59" s="1">
        <f t="shared" si="47"/>
        <v>-491.51</v>
      </c>
      <c r="Y59" s="1"/>
      <c r="Z59" s="5">
        <f t="shared" si="48"/>
        <v>-0.68307970259189776</v>
      </c>
    </row>
    <row r="60" spans="1:26" s="24" customFormat="1" hidden="1" outlineLevel="2" x14ac:dyDescent="0.3">
      <c r="A60" s="27"/>
      <c r="B60" s="11" t="str">
        <f>CONCATENATE("          ", "6279", " - ", "GENERAL EXPENSE")</f>
        <v xml:space="preserve">          6279 - GENERAL EXPENSE</v>
      </c>
      <c r="C60" s="11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1"/>
      <c r="P60" s="6">
        <v>228.04</v>
      </c>
      <c r="Q60" s="2"/>
      <c r="R60" s="7">
        <f t="shared" si="45"/>
        <v>2.7699273155233147E-3</v>
      </c>
      <c r="S60" s="2"/>
      <c r="T60" s="6">
        <v>719.55</v>
      </c>
      <c r="U60" s="2"/>
      <c r="V60" s="7">
        <f t="shared" si="46"/>
        <v>3.3762795656139849E-2</v>
      </c>
      <c r="W60" s="2"/>
      <c r="X60" s="6">
        <f t="shared" si="47"/>
        <v>-491.51</v>
      </c>
      <c r="Y60" s="2"/>
      <c r="Z60" s="7">
        <f t="shared" si="48"/>
        <v>-0.68307970259189776</v>
      </c>
    </row>
    <row r="61" spans="1:26" s="29" customFormat="1" outlineLevel="1" collapsed="1" x14ac:dyDescent="0.3">
      <c r="A61" s="28"/>
      <c r="B61" s="14" t="str">
        <f>CONCATENATE("     ","Inventory Adjustment                              ")</f>
        <v xml:space="preserve">     Inventory Adjustment                              </v>
      </c>
      <c r="C61" s="14"/>
      <c r="D61" s="1">
        <f>SUM(OSRRefD22_7x_0)</f>
        <v>650</v>
      </c>
      <c r="E61" s="1"/>
      <c r="F61" s="5">
        <f t="shared" si="41"/>
        <v>4.3964279361205783E-2</v>
      </c>
      <c r="G61" s="1"/>
      <c r="H61" s="1">
        <f>SUM(OSRRefH22_7x_0)</f>
        <v>0</v>
      </c>
      <c r="I61" s="1"/>
      <c r="J61" s="5">
        <f t="shared" si="42"/>
        <v>0</v>
      </c>
      <c r="K61" s="1"/>
      <c r="L61" s="1">
        <f t="shared" si="43"/>
        <v>650</v>
      </c>
      <c r="M61" s="1"/>
      <c r="N61" s="5">
        <f t="shared" si="44"/>
        <v>0</v>
      </c>
      <c r="O61" s="14"/>
      <c r="P61" s="1">
        <f>SUM(OSRRefP22_7x_0)</f>
        <v>3250</v>
      </c>
      <c r="Q61" s="1"/>
      <c r="R61" s="5">
        <f t="shared" si="45"/>
        <v>3.9476687315605913E-2</v>
      </c>
      <c r="S61" s="1"/>
      <c r="T61" s="1">
        <f>SUM(OSRRefT22_7x_0)</f>
        <v>0</v>
      </c>
      <c r="U61" s="1"/>
      <c r="V61" s="5">
        <f t="shared" si="46"/>
        <v>0</v>
      </c>
      <c r="W61" s="1"/>
      <c r="X61" s="1">
        <f t="shared" si="47"/>
        <v>3250</v>
      </c>
      <c r="Y61" s="1"/>
      <c r="Z61" s="5">
        <f t="shared" si="48"/>
        <v>0</v>
      </c>
    </row>
    <row r="62" spans="1:26" s="24" customFormat="1" hidden="1" outlineLevel="2" x14ac:dyDescent="0.3">
      <c r="A62" s="27"/>
      <c r="B62" s="11" t="str">
        <f>CONCATENATE("          ", "6408", " - ", "INVENTORY ADJUSTMENT")</f>
        <v xml:space="preserve">          6408 - INVENTORY ADJUSTMENT</v>
      </c>
      <c r="C62" s="11"/>
      <c r="D62" s="6">
        <v>650</v>
      </c>
      <c r="E62" s="2"/>
      <c r="F62" s="7">
        <f t="shared" si="41"/>
        <v>4.3964279361205783E-2</v>
      </c>
      <c r="G62" s="2"/>
      <c r="H62" s="6"/>
      <c r="I62" s="2"/>
      <c r="J62" s="7">
        <f t="shared" si="42"/>
        <v>0</v>
      </c>
      <c r="K62" s="2"/>
      <c r="L62" s="6">
        <f t="shared" si="43"/>
        <v>650</v>
      </c>
      <c r="M62" s="2"/>
      <c r="N62" s="7">
        <f t="shared" si="44"/>
        <v>0</v>
      </c>
      <c r="O62" s="11"/>
      <c r="P62" s="6">
        <v>3250</v>
      </c>
      <c r="Q62" s="2"/>
      <c r="R62" s="7">
        <f t="shared" si="45"/>
        <v>3.9476687315605913E-2</v>
      </c>
      <c r="S62" s="2"/>
      <c r="T62" s="6"/>
      <c r="U62" s="2"/>
      <c r="V62" s="7">
        <f t="shared" si="46"/>
        <v>0</v>
      </c>
      <c r="W62" s="2"/>
      <c r="X62" s="6">
        <f t="shared" si="47"/>
        <v>3250</v>
      </c>
      <c r="Y62" s="2"/>
      <c r="Z62" s="7">
        <f t="shared" si="48"/>
        <v>0</v>
      </c>
    </row>
    <row r="63" spans="1:26" s="29" customFormat="1" outlineLevel="1" collapsed="1" x14ac:dyDescent="0.3">
      <c r="A63" s="28"/>
      <c r="B63" s="14" t="str">
        <f>CONCATENATE("     ","Repair and Maintenance                            ")</f>
        <v xml:space="preserve">     Repair and Maintenance                            </v>
      </c>
      <c r="C63" s="14"/>
      <c r="D63" s="1">
        <f>SUM(OSRRefD22_8x_0)</f>
        <v>0</v>
      </c>
      <c r="E63" s="1"/>
      <c r="F63" s="5">
        <f t="shared" si="41"/>
        <v>0</v>
      </c>
      <c r="G63" s="1"/>
      <c r="H63" s="1">
        <f>SUM(OSRRefH22_8x_0)</f>
        <v>0</v>
      </c>
      <c r="I63" s="1"/>
      <c r="J63" s="5">
        <f t="shared" si="42"/>
        <v>0</v>
      </c>
      <c r="K63" s="1"/>
      <c r="L63" s="1">
        <f t="shared" si="43"/>
        <v>0</v>
      </c>
      <c r="M63" s="1"/>
      <c r="N63" s="5">
        <f t="shared" si="44"/>
        <v>0</v>
      </c>
      <c r="O63" s="14"/>
      <c r="P63" s="1">
        <f>SUM(OSRRefP22_8x_0)</f>
        <v>244.32999999999998</v>
      </c>
      <c r="Q63" s="1"/>
      <c r="R63" s="5">
        <f t="shared" si="45"/>
        <v>2.9677966190221517E-3</v>
      </c>
      <c r="S63" s="1"/>
      <c r="T63" s="1">
        <f>SUM(OSRRefT22_8x_0)</f>
        <v>139.71</v>
      </c>
      <c r="U63" s="1"/>
      <c r="V63" s="5">
        <f t="shared" si="46"/>
        <v>6.555486319393092E-3</v>
      </c>
      <c r="W63" s="1"/>
      <c r="X63" s="1">
        <f t="shared" si="47"/>
        <v>104.61999999999998</v>
      </c>
      <c r="Y63" s="1"/>
      <c r="Z63" s="5">
        <f t="shared" si="48"/>
        <v>0.74883687638680096</v>
      </c>
    </row>
    <row r="64" spans="1:26" s="24" customFormat="1" hidden="1" outlineLevel="2" x14ac:dyDescent="0.3">
      <c r="A64" s="27"/>
      <c r="B64" s="11" t="str">
        <f>CONCATENATE("          ", "6373", " - ", "MAINTENANCE CONTRACTS")</f>
        <v xml:space="preserve">          6373 - MAINTENANCE CONTRACTS</v>
      </c>
      <c r="C64" s="11"/>
      <c r="D64" s="6"/>
      <c r="E64" s="2"/>
      <c r="F64" s="7">
        <f t="shared" si="41"/>
        <v>0</v>
      </c>
      <c r="G64" s="2"/>
      <c r="H64" s="6"/>
      <c r="I64" s="2"/>
      <c r="J64" s="7">
        <f t="shared" si="42"/>
        <v>0</v>
      </c>
      <c r="K64" s="2"/>
      <c r="L64" s="6">
        <f t="shared" si="43"/>
        <v>0</v>
      </c>
      <c r="M64" s="2"/>
      <c r="N64" s="7">
        <f t="shared" si="44"/>
        <v>0</v>
      </c>
      <c r="O64" s="11"/>
      <c r="P64" s="6">
        <v>61.11</v>
      </c>
      <c r="Q64" s="2"/>
      <c r="R64" s="7">
        <f t="shared" si="45"/>
        <v>7.4228318826359302E-4</v>
      </c>
      <c r="S64" s="2"/>
      <c r="T64" s="6">
        <v>139.71</v>
      </c>
      <c r="U64" s="2"/>
      <c r="V64" s="7">
        <f t="shared" si="46"/>
        <v>6.555486319393092E-3</v>
      </c>
      <c r="W64" s="2"/>
      <c r="X64" s="6">
        <f t="shared" si="47"/>
        <v>-78.600000000000009</v>
      </c>
      <c r="Y64" s="2"/>
      <c r="Z64" s="7">
        <f t="shared" si="48"/>
        <v>-0.56259394459952761</v>
      </c>
    </row>
    <row r="65" spans="1:26" s="24" customFormat="1" hidden="1" outlineLevel="2" x14ac:dyDescent="0.3">
      <c r="A65" s="27"/>
      <c r="B65" s="11" t="str">
        <f>CONCATENATE("          ", "6375", " - ", "OUTSIDE REPAIRS &amp; MAINTENANCE")</f>
        <v xml:space="preserve">          6375 - OUTSIDE REPAIRS &amp; MAINTENANCE</v>
      </c>
      <c r="C65" s="11"/>
      <c r="D65" s="6"/>
      <c r="E65" s="2"/>
      <c r="F65" s="7">
        <f t="shared" si="41"/>
        <v>0</v>
      </c>
      <c r="G65" s="2"/>
      <c r="H65" s="6"/>
      <c r="I65" s="2"/>
      <c r="J65" s="7">
        <f t="shared" si="42"/>
        <v>0</v>
      </c>
      <c r="K65" s="2"/>
      <c r="L65" s="6">
        <f t="shared" si="43"/>
        <v>0</v>
      </c>
      <c r="M65" s="2"/>
      <c r="N65" s="7">
        <f t="shared" si="44"/>
        <v>0</v>
      </c>
      <c r="O65" s="11"/>
      <c r="P65" s="6">
        <v>183.22</v>
      </c>
      <c r="Q65" s="2"/>
      <c r="R65" s="7">
        <f t="shared" si="45"/>
        <v>2.2255134307585587E-3</v>
      </c>
      <c r="S65" s="2"/>
      <c r="T65" s="6"/>
      <c r="U65" s="2"/>
      <c r="V65" s="7">
        <f t="shared" si="46"/>
        <v>0</v>
      </c>
      <c r="W65" s="2"/>
      <c r="X65" s="6">
        <f t="shared" si="47"/>
        <v>183.22</v>
      </c>
      <c r="Y65" s="2"/>
      <c r="Z65" s="7">
        <f t="shared" si="48"/>
        <v>0</v>
      </c>
    </row>
    <row r="66" spans="1:26" s="29" customFormat="1" outlineLevel="1" collapsed="1" x14ac:dyDescent="0.3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SUM(OSRRefD22_9x_0)</f>
        <v>123.45</v>
      </c>
      <c r="E66" s="1"/>
      <c r="F66" s="5">
        <f t="shared" ref="F66:F68" si="49">IF(D$12=0,0,D66/D$12)</f>
        <v>8.3498312109859286E-3</v>
      </c>
      <c r="G66" s="1"/>
      <c r="H66" s="1">
        <f>SUM(OSRRefH22_9x_0)</f>
        <v>44</v>
      </c>
      <c r="I66" s="1"/>
      <c r="J66" s="5">
        <f t="shared" ref="J66:J68" si="50">IF(H$12=0,0,H66/H$12)</f>
        <v>0</v>
      </c>
      <c r="K66" s="1"/>
      <c r="L66" s="1">
        <f t="shared" ref="L66:L68" si="51">+D66-H66</f>
        <v>79.45</v>
      </c>
      <c r="M66" s="1"/>
      <c r="N66" s="5">
        <f t="shared" ref="N66:N68" si="52">IF(H66=0,0,L66/H66)</f>
        <v>1.8056818181818182</v>
      </c>
      <c r="O66" s="14"/>
      <c r="P66" s="1">
        <f>SUM(OSRRefP22_9x_0)</f>
        <v>3163.44</v>
      </c>
      <c r="Q66" s="1"/>
      <c r="R66" s="5">
        <f t="shared" ref="R66:R68" si="53">IF(P$12=0,0,P66/P$12)</f>
        <v>3.8425271298978575E-2</v>
      </c>
      <c r="S66" s="1"/>
      <c r="T66" s="1">
        <f>SUM(OSRRefT22_9x_0)</f>
        <v>18.5</v>
      </c>
      <c r="U66" s="1"/>
      <c r="V66" s="5">
        <f t="shared" ref="V66:V68" si="54">IF(T$12=0,0,T66/T$12)</f>
        <v>8.6805881403458724E-4</v>
      </c>
      <c r="W66" s="1"/>
      <c r="X66" s="1">
        <f t="shared" ref="X66:X68" si="55">+P66-T66</f>
        <v>3144.94</v>
      </c>
      <c r="Y66" s="1"/>
      <c r="Z66" s="5">
        <f t="shared" ref="Z66:Z68" si="56">IF(T66=0,0,X66/T66)</f>
        <v>169.99675675675675</v>
      </c>
    </row>
    <row r="67" spans="1:26" s="24" customFormat="1" hidden="1" outlineLevel="2" x14ac:dyDescent="0.3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/>
      <c r="E67" s="2"/>
      <c r="F67" s="7">
        <f t="shared" si="49"/>
        <v>0</v>
      </c>
      <c r="G67" s="2"/>
      <c r="H67" s="6">
        <v>44</v>
      </c>
      <c r="I67" s="2"/>
      <c r="J67" s="7">
        <f t="shared" si="50"/>
        <v>0</v>
      </c>
      <c r="K67" s="2"/>
      <c r="L67" s="6">
        <f t="shared" si="51"/>
        <v>-44</v>
      </c>
      <c r="M67" s="2"/>
      <c r="N67" s="7">
        <f t="shared" si="52"/>
        <v>-1</v>
      </c>
      <c r="O67" s="11"/>
      <c r="P67" s="6">
        <v>491.6</v>
      </c>
      <c r="Q67" s="2"/>
      <c r="R67" s="7">
        <f t="shared" si="53"/>
        <v>5.9713044567236521E-3</v>
      </c>
      <c r="S67" s="2"/>
      <c r="T67" s="6">
        <v>176</v>
      </c>
      <c r="U67" s="2"/>
      <c r="V67" s="7">
        <f t="shared" si="54"/>
        <v>8.2582892578425601E-3</v>
      </c>
      <c r="W67" s="2"/>
      <c r="X67" s="6">
        <f t="shared" si="55"/>
        <v>315.60000000000002</v>
      </c>
      <c r="Y67" s="2"/>
      <c r="Z67" s="7">
        <f t="shared" si="56"/>
        <v>1.7931818181818182</v>
      </c>
    </row>
    <row r="68" spans="1:26" s="24" customFormat="1" hidden="1" outlineLevel="2" x14ac:dyDescent="0.3">
      <c r="A68" s="27"/>
      <c r="B68" s="11" t="str">
        <f>CONCATENATE("          ", "6285", " - ", "JANITORIAL SERVICES")</f>
        <v xml:space="preserve">          6285 - JANITORIAL SERVICES</v>
      </c>
      <c r="C68" s="11"/>
      <c r="D68" s="6">
        <v>123.45</v>
      </c>
      <c r="E68" s="2"/>
      <c r="F68" s="7">
        <f t="shared" si="49"/>
        <v>8.3498312109859286E-3</v>
      </c>
      <c r="G68" s="2"/>
      <c r="H68" s="6"/>
      <c r="I68" s="2"/>
      <c r="J68" s="7">
        <f t="shared" si="50"/>
        <v>0</v>
      </c>
      <c r="K68" s="2"/>
      <c r="L68" s="6">
        <f t="shared" si="51"/>
        <v>123.45</v>
      </c>
      <c r="M68" s="2"/>
      <c r="N68" s="7">
        <f t="shared" si="52"/>
        <v>0</v>
      </c>
      <c r="O68" s="11"/>
      <c r="P68" s="6">
        <v>2671.84</v>
      </c>
      <c r="Q68" s="2"/>
      <c r="R68" s="7">
        <f t="shared" si="53"/>
        <v>3.2453966842254926E-2</v>
      </c>
      <c r="S68" s="2"/>
      <c r="T68" s="6">
        <v>-157.5</v>
      </c>
      <c r="U68" s="2"/>
      <c r="V68" s="7">
        <f t="shared" si="54"/>
        <v>-7.3902304438079732E-3</v>
      </c>
      <c r="W68" s="2"/>
      <c r="X68" s="6">
        <f t="shared" si="55"/>
        <v>2829.34</v>
      </c>
      <c r="Y68" s="2"/>
      <c r="Z68" s="7">
        <f t="shared" si="56"/>
        <v>-17.964063492063492</v>
      </c>
    </row>
    <row r="69" spans="1:26" s="29" customFormat="1" outlineLevel="1" collapsed="1" x14ac:dyDescent="0.3">
      <c r="A69" s="28"/>
      <c r="B69" s="14" t="str">
        <f>CONCATENATE("     ","Supplies                                          ")</f>
        <v xml:space="preserve">     Supplies                                          </v>
      </c>
      <c r="C69" s="14"/>
      <c r="D69" s="1">
        <f>SUM(OSRRefD22_10x_0)</f>
        <v>68.069999999999993</v>
      </c>
      <c r="E69" s="1"/>
      <c r="F69" s="5">
        <f t="shared" ref="F69:F73" si="57">IF(D$12=0,0,D69/D$12)</f>
        <v>4.6040746094111957E-3</v>
      </c>
      <c r="G69" s="1"/>
      <c r="H69" s="1">
        <f>SUM(OSRRefH22_10x_0)</f>
        <v>0</v>
      </c>
      <c r="I69" s="1"/>
      <c r="J69" s="5">
        <f t="shared" ref="J69:J73" si="58">IF(H$12=0,0,H69/H$12)</f>
        <v>0</v>
      </c>
      <c r="K69" s="1"/>
      <c r="L69" s="1">
        <f t="shared" ref="L69:L73" si="59">+D69-H69</f>
        <v>68.069999999999993</v>
      </c>
      <c r="M69" s="1"/>
      <c r="N69" s="5">
        <f t="shared" ref="N69:N73" si="60">IF(H69=0,0,L69/H69)</f>
        <v>0</v>
      </c>
      <c r="O69" s="14"/>
      <c r="P69" s="1">
        <f>SUM(OSRRefP22_10x_0)</f>
        <v>1736.46</v>
      </c>
      <c r="Q69" s="1"/>
      <c r="R69" s="5">
        <f t="shared" ref="R69:R73" si="61">IF(P$12=0,0,P69/P$12)</f>
        <v>2.1092211832632938E-2</v>
      </c>
      <c r="S69" s="1"/>
      <c r="T69" s="1">
        <f>SUM(OSRRefT22_10x_0)</f>
        <v>1892.27</v>
      </c>
      <c r="U69" s="1"/>
      <c r="V69" s="5">
        <f t="shared" ref="V69:V73" si="62">IF(T$12=0,0,T69/T$12)</f>
        <v>8.8789278488282622E-2</v>
      </c>
      <c r="W69" s="1"/>
      <c r="X69" s="1">
        <f t="shared" ref="X69:X73" si="63">+P69-T69</f>
        <v>-155.80999999999995</v>
      </c>
      <c r="Y69" s="1"/>
      <c r="Z69" s="5">
        <f t="shared" ref="Z69:Z73" si="64">IF(T69=0,0,X69/T69)</f>
        <v>-8.2340257997008851E-2</v>
      </c>
    </row>
    <row r="70" spans="1:26" s="24" customFormat="1" hidden="1" outlineLevel="2" x14ac:dyDescent="0.3">
      <c r="A70" s="27"/>
      <c r="B70" s="11" t="str">
        <f>CONCATENATE("          ", "6234", " - ", "EXPENDABLE SUPPLIES &amp; EQUIPMEN")</f>
        <v xml:space="preserve">          6234 - EXPENDABLE SUPPLIES &amp; EQUIPMEN</v>
      </c>
      <c r="C70" s="11"/>
      <c r="D70" s="6">
        <v>46.03</v>
      </c>
      <c r="E70" s="2"/>
      <c r="F70" s="7">
        <f t="shared" si="57"/>
        <v>3.1133473523020034E-3</v>
      </c>
      <c r="G70" s="2"/>
      <c r="H70" s="6"/>
      <c r="I70" s="2"/>
      <c r="J70" s="7">
        <f t="shared" si="58"/>
        <v>0</v>
      </c>
      <c r="K70" s="2"/>
      <c r="L70" s="6">
        <f t="shared" si="59"/>
        <v>46.03</v>
      </c>
      <c r="M70" s="2"/>
      <c r="N70" s="7">
        <f t="shared" si="60"/>
        <v>0</v>
      </c>
      <c r="O70" s="11"/>
      <c r="P70" s="6">
        <v>1393.55</v>
      </c>
      <c r="Q70" s="2"/>
      <c r="R70" s="7">
        <f t="shared" si="61"/>
        <v>1.6926996187280805E-2</v>
      </c>
      <c r="S70" s="2"/>
      <c r="T70" s="6"/>
      <c r="U70" s="2"/>
      <c r="V70" s="7">
        <f t="shared" si="62"/>
        <v>0</v>
      </c>
      <c r="W70" s="2"/>
      <c r="X70" s="6">
        <f t="shared" si="63"/>
        <v>1393.55</v>
      </c>
      <c r="Y70" s="2"/>
      <c r="Z70" s="7">
        <f t="shared" si="64"/>
        <v>0</v>
      </c>
    </row>
    <row r="71" spans="1:26" s="24" customFormat="1" hidden="1" outlineLevel="2" x14ac:dyDescent="0.3">
      <c r="A71" s="27"/>
      <c r="B71" s="11" t="str">
        <f>CONCATENATE("          ", "6235", " - ", "COVID-19 EXPENSES")</f>
        <v xml:space="preserve">          6235 - COVID-19 EXPENSES</v>
      </c>
      <c r="C71" s="11"/>
      <c r="D71" s="6"/>
      <c r="E71" s="2"/>
      <c r="F71" s="7">
        <f t="shared" si="57"/>
        <v>0</v>
      </c>
      <c r="G71" s="2"/>
      <c r="H71" s="6"/>
      <c r="I71" s="2"/>
      <c r="J71" s="7">
        <f t="shared" si="58"/>
        <v>0</v>
      </c>
      <c r="K71" s="2"/>
      <c r="L71" s="6">
        <f t="shared" si="59"/>
        <v>0</v>
      </c>
      <c r="M71" s="2"/>
      <c r="N71" s="7">
        <f t="shared" si="60"/>
        <v>0</v>
      </c>
      <c r="O71" s="11"/>
      <c r="P71" s="6"/>
      <c r="Q71" s="2"/>
      <c r="R71" s="7">
        <f t="shared" si="61"/>
        <v>0</v>
      </c>
      <c r="S71" s="2"/>
      <c r="T71" s="6">
        <v>444.3</v>
      </c>
      <c r="U71" s="2"/>
      <c r="V71" s="7">
        <f t="shared" si="62"/>
        <v>2.0847488166246871E-2</v>
      </c>
      <c r="W71" s="2"/>
      <c r="X71" s="6">
        <f t="shared" si="63"/>
        <v>-444.3</v>
      </c>
      <c r="Y71" s="2"/>
      <c r="Z71" s="7">
        <f t="shared" si="64"/>
        <v>-1</v>
      </c>
    </row>
    <row r="72" spans="1:26" s="24" customFormat="1" hidden="1" outlineLevel="2" x14ac:dyDescent="0.3">
      <c r="A72" s="27"/>
      <c r="B72" s="11" t="str">
        <f>CONCATENATE("          ", "6241", " - ", "OFFICE EXPENSE")</f>
        <v xml:space="preserve">          6241 - OFFICE EXPENSE</v>
      </c>
      <c r="C72" s="11"/>
      <c r="D72" s="6"/>
      <c r="E72" s="2"/>
      <c r="F72" s="7">
        <f t="shared" si="57"/>
        <v>0</v>
      </c>
      <c r="G72" s="2"/>
      <c r="H72" s="6"/>
      <c r="I72" s="2"/>
      <c r="J72" s="7">
        <f t="shared" si="58"/>
        <v>0</v>
      </c>
      <c r="K72" s="2"/>
      <c r="L72" s="6">
        <f t="shared" si="59"/>
        <v>0</v>
      </c>
      <c r="M72" s="2"/>
      <c r="N72" s="7">
        <f t="shared" si="60"/>
        <v>0</v>
      </c>
      <c r="O72" s="11"/>
      <c r="P72" s="6"/>
      <c r="Q72" s="2"/>
      <c r="R72" s="7">
        <f t="shared" si="61"/>
        <v>0</v>
      </c>
      <c r="S72" s="2"/>
      <c r="T72" s="6">
        <v>225.24</v>
      </c>
      <c r="U72" s="2"/>
      <c r="V72" s="7">
        <f t="shared" si="62"/>
        <v>1.056873336611624E-2</v>
      </c>
      <c r="W72" s="2"/>
      <c r="X72" s="6">
        <f t="shared" si="63"/>
        <v>-225.24</v>
      </c>
      <c r="Y72" s="2"/>
      <c r="Z72" s="7">
        <f t="shared" si="64"/>
        <v>-1</v>
      </c>
    </row>
    <row r="73" spans="1:26" s="24" customFormat="1" hidden="1" outlineLevel="2" x14ac:dyDescent="0.3">
      <c r="A73" s="27"/>
      <c r="B73" s="11" t="str">
        <f>CONCATENATE("          ", "6247", " - ", "STORE SUPPLIES")</f>
        <v xml:space="preserve">          6247 - STORE SUPPLIES</v>
      </c>
      <c r="C73" s="11"/>
      <c r="D73" s="6">
        <v>22.04</v>
      </c>
      <c r="E73" s="2"/>
      <c r="F73" s="7">
        <f t="shared" si="57"/>
        <v>1.4907272571091929E-3</v>
      </c>
      <c r="G73" s="2"/>
      <c r="H73" s="6"/>
      <c r="I73" s="2"/>
      <c r="J73" s="7">
        <f t="shared" si="58"/>
        <v>0</v>
      </c>
      <c r="K73" s="2"/>
      <c r="L73" s="6">
        <f t="shared" si="59"/>
        <v>22.04</v>
      </c>
      <c r="M73" s="2"/>
      <c r="N73" s="7">
        <f t="shared" si="60"/>
        <v>0</v>
      </c>
      <c r="O73" s="11"/>
      <c r="P73" s="6">
        <v>342.91</v>
      </c>
      <c r="Q73" s="2"/>
      <c r="R73" s="7">
        <f t="shared" si="61"/>
        <v>4.165215645352131E-3</v>
      </c>
      <c r="S73" s="2"/>
      <c r="T73" s="6">
        <v>1222.73</v>
      </c>
      <c r="U73" s="2"/>
      <c r="V73" s="7">
        <f t="shared" si="62"/>
        <v>5.7373056955919509E-2</v>
      </c>
      <c r="W73" s="2"/>
      <c r="X73" s="6">
        <f t="shared" si="63"/>
        <v>-879.81999999999994</v>
      </c>
      <c r="Y73" s="2"/>
      <c r="Z73" s="7">
        <f t="shared" si="64"/>
        <v>-0.7195537853818913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SUM(OSRRefD22_11x_0)</f>
        <v>53</v>
      </c>
      <c r="E74" s="1"/>
      <c r="F74" s="5">
        <f t="shared" ref="F74:F77" si="65">IF(D$12=0,0,D74/D$12)</f>
        <v>3.5847797017598561E-3</v>
      </c>
      <c r="G74" s="1"/>
      <c r="H74" s="1">
        <f>SUM(OSRRefH22_11x_0)</f>
        <v>53.15</v>
      </c>
      <c r="I74" s="1"/>
      <c r="J74" s="5">
        <f t="shared" ref="J74:J77" si="66">IF(H$12=0,0,H74/H$12)</f>
        <v>0</v>
      </c>
      <c r="K74" s="1"/>
      <c r="L74" s="1">
        <f t="shared" ref="L74:L77" si="67">+D74-H74</f>
        <v>-0.14999999999999858</v>
      </c>
      <c r="M74" s="1"/>
      <c r="N74" s="5">
        <f t="shared" ref="N74:N77" si="68">IF(H74=0,0,L74/H74)</f>
        <v>-2.8222013170272546E-3</v>
      </c>
      <c r="O74" s="14"/>
      <c r="P74" s="1">
        <f>SUM(OSRRefP22_11x_0)</f>
        <v>225</v>
      </c>
      <c r="Q74" s="1"/>
      <c r="R74" s="5">
        <f t="shared" ref="R74:R77" si="69">IF(P$12=0,0,P74/P$12)</f>
        <v>2.7330014295419481E-3</v>
      </c>
      <c r="S74" s="1"/>
      <c r="T74" s="1">
        <f>SUM(OSRRefT22_11x_0)</f>
        <v>313.05</v>
      </c>
      <c r="U74" s="1"/>
      <c r="V74" s="5">
        <f t="shared" ref="V74:V77" si="70">IF(T$12=0,0,T74/T$12)</f>
        <v>1.4688962796406895E-2</v>
      </c>
      <c r="W74" s="1"/>
      <c r="X74" s="1">
        <f t="shared" ref="X74:X77" si="71">+P74-T74</f>
        <v>-88.050000000000011</v>
      </c>
      <c r="Y74" s="1"/>
      <c r="Z74" s="5">
        <f t="shared" ref="Z74:Z77" si="72">IF(T74=0,0,X74/T74)</f>
        <v>-0.28126497364638237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6">
        <v>53</v>
      </c>
      <c r="E75" s="2"/>
      <c r="F75" s="7">
        <f t="shared" si="65"/>
        <v>3.5847797017598561E-3</v>
      </c>
      <c r="G75" s="2"/>
      <c r="H75" s="6">
        <v>53.15</v>
      </c>
      <c r="I75" s="2"/>
      <c r="J75" s="7">
        <f t="shared" si="66"/>
        <v>0</v>
      </c>
      <c r="K75" s="2"/>
      <c r="L75" s="6">
        <f t="shared" si="67"/>
        <v>-0.14999999999999858</v>
      </c>
      <c r="M75" s="2"/>
      <c r="N75" s="7">
        <f t="shared" si="68"/>
        <v>-2.8222013170272546E-3</v>
      </c>
      <c r="O75" s="11"/>
      <c r="P75" s="6">
        <v>225</v>
      </c>
      <c r="Q75" s="2"/>
      <c r="R75" s="7">
        <f t="shared" si="69"/>
        <v>2.7330014295419481E-3</v>
      </c>
      <c r="S75" s="2"/>
      <c r="T75" s="6">
        <v>313.05</v>
      </c>
      <c r="U75" s="2"/>
      <c r="V75" s="7">
        <f t="shared" si="70"/>
        <v>1.4688962796406895E-2</v>
      </c>
      <c r="W75" s="2"/>
      <c r="X75" s="6">
        <f t="shared" si="71"/>
        <v>-88.050000000000011</v>
      </c>
      <c r="Y75" s="2"/>
      <c r="Z75" s="7">
        <f t="shared" si="72"/>
        <v>-0.28126497364638237</v>
      </c>
    </row>
    <row r="76" spans="1:26" s="29" customFormat="1" outlineLevel="1" collapsed="1" x14ac:dyDescent="0.3">
      <c r="A76" s="28"/>
      <c r="B76" s="14" t="str">
        <f>CONCATENATE("     ","Training                                          ")</f>
        <v xml:space="preserve">     Training                                          </v>
      </c>
      <c r="C76" s="14"/>
      <c r="D76" s="1">
        <f>SUM(OSRRefD22_12x_0)</f>
        <v>0</v>
      </c>
      <c r="E76" s="1"/>
      <c r="F76" s="5">
        <f t="shared" si="65"/>
        <v>0</v>
      </c>
      <c r="G76" s="1"/>
      <c r="H76" s="1">
        <f>SUM(OSRRefH22_12x_0)</f>
        <v>0</v>
      </c>
      <c r="I76" s="1"/>
      <c r="J76" s="5">
        <f t="shared" si="66"/>
        <v>0</v>
      </c>
      <c r="K76" s="1"/>
      <c r="L76" s="1">
        <f t="shared" si="67"/>
        <v>0</v>
      </c>
      <c r="M76" s="1"/>
      <c r="N76" s="5">
        <f t="shared" si="68"/>
        <v>0</v>
      </c>
      <c r="O76" s="14"/>
      <c r="P76" s="1">
        <f>SUM(OSRRefP22_12x_0)</f>
        <v>0</v>
      </c>
      <c r="Q76" s="1"/>
      <c r="R76" s="5">
        <f t="shared" si="69"/>
        <v>0</v>
      </c>
      <c r="S76" s="1"/>
      <c r="T76" s="1">
        <f>SUM(OSRRefT22_12x_0)</f>
        <v>14</v>
      </c>
      <c r="U76" s="1"/>
      <c r="V76" s="5">
        <f t="shared" si="70"/>
        <v>6.5690937278293094E-4</v>
      </c>
      <c r="W76" s="1"/>
      <c r="X76" s="1">
        <f t="shared" si="71"/>
        <v>-14</v>
      </c>
      <c r="Y76" s="1"/>
      <c r="Z76" s="5">
        <f t="shared" si="72"/>
        <v>-1</v>
      </c>
    </row>
    <row r="77" spans="1:26" s="24" customFormat="1" hidden="1" outlineLevel="2" x14ac:dyDescent="0.3">
      <c r="A77" s="27"/>
      <c r="B77" s="11" t="str">
        <f>CONCATENATE("          ", "6376", " - ", "TRAINING")</f>
        <v xml:space="preserve">          6376 - TRAINING</v>
      </c>
      <c r="C77" s="11"/>
      <c r="D77" s="6"/>
      <c r="E77" s="2"/>
      <c r="F77" s="7">
        <f t="shared" si="65"/>
        <v>0</v>
      </c>
      <c r="G77" s="2"/>
      <c r="H77" s="6"/>
      <c r="I77" s="2"/>
      <c r="J77" s="7">
        <f t="shared" si="66"/>
        <v>0</v>
      </c>
      <c r="K77" s="2"/>
      <c r="L77" s="6">
        <f t="shared" si="67"/>
        <v>0</v>
      </c>
      <c r="M77" s="2"/>
      <c r="N77" s="7">
        <f t="shared" si="68"/>
        <v>0</v>
      </c>
      <c r="O77" s="11"/>
      <c r="P77" s="6"/>
      <c r="Q77" s="2"/>
      <c r="R77" s="7">
        <f t="shared" si="69"/>
        <v>0</v>
      </c>
      <c r="S77" s="2"/>
      <c r="T77" s="6">
        <v>14</v>
      </c>
      <c r="U77" s="2"/>
      <c r="V77" s="7">
        <f t="shared" si="70"/>
        <v>6.5690937278293094E-4</v>
      </c>
      <c r="W77" s="2"/>
      <c r="X77" s="6">
        <f t="shared" si="71"/>
        <v>-14</v>
      </c>
      <c r="Y77" s="2"/>
      <c r="Z77" s="7">
        <f t="shared" si="72"/>
        <v>-1</v>
      </c>
    </row>
    <row r="78" spans="1:26" s="62" customFormat="1" x14ac:dyDescent="0.3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3">
      <c r="A79" s="10"/>
      <c r="B79" s="26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+D39-D41+D79</f>
        <v>-184.65999999999804</v>
      </c>
      <c r="E81" s="13"/>
      <c r="F81" s="22">
        <f>IF(D$12=0,0,D81/D$12)</f>
        <v>-1.2489913579754113E-2</v>
      </c>
      <c r="G81" s="13"/>
      <c r="H81" s="21">
        <f>+H39-H41+H79</f>
        <v>-553.19000000000005</v>
      </c>
      <c r="I81" s="13"/>
      <c r="J81" s="22">
        <f>IF(H$12=0,0,H81/H$12)</f>
        <v>0</v>
      </c>
      <c r="K81" s="16"/>
      <c r="L81" s="21">
        <f>+D81-H81</f>
        <v>368.53000000000202</v>
      </c>
      <c r="M81" s="16"/>
      <c r="N81" s="22">
        <f>IF(H81=0,0,L81/H81)</f>
        <v>-0.6661906397440337</v>
      </c>
      <c r="O81" s="26"/>
      <c r="P81" s="21">
        <f>+P39-P41+P79</f>
        <v>14839.329999999994</v>
      </c>
      <c r="Q81" s="13"/>
      <c r="R81" s="22">
        <f>IF(P$12=0,0,P81/P$12)</f>
        <v>0.1802484893486431</v>
      </c>
      <c r="S81" s="13"/>
      <c r="T81" s="21">
        <f>+T39-T41+T79</f>
        <v>-5042.3799999999901</v>
      </c>
      <c r="U81" s="13"/>
      <c r="V81" s="22">
        <f>IF(T$12=0,0,T81/T$12)</f>
        <v>-0.23659904879522778</v>
      </c>
      <c r="W81" s="16"/>
      <c r="X81" s="21">
        <f>+P81-T81</f>
        <v>19881.709999999985</v>
      </c>
      <c r="Y81" s="16"/>
      <c r="Z81" s="22">
        <f>IF(T81=0,0,X81/T81)</f>
        <v>-3.9429217948667143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1998.78</v>
      </c>
      <c r="E83" s="4"/>
      <c r="F83" s="12">
        <f>IF(D$12=0,0,D83/D$12)</f>
        <v>0.13519218815629366</v>
      </c>
      <c r="G83" s="4"/>
      <c r="H83" s="4">
        <v>-1230.1600000000001</v>
      </c>
      <c r="I83" s="4"/>
      <c r="J83" s="12">
        <f>IF(H$12=0,0,H83/H$12)</f>
        <v>0</v>
      </c>
      <c r="K83" s="4"/>
      <c r="L83" s="4">
        <f>+D83-H83</f>
        <v>3228.94</v>
      </c>
      <c r="M83" s="4"/>
      <c r="N83" s="12">
        <f>IF(H83=0,0,L83/H83)</f>
        <v>-2.6248130324510632</v>
      </c>
      <c r="O83" s="10"/>
      <c r="P83" s="4">
        <v>9806.1200000000008</v>
      </c>
      <c r="Q83" s="4"/>
      <c r="R83" s="12">
        <f>IF(P$12=0,0,P83/P$12)</f>
        <v>0.11911173323671062</v>
      </c>
      <c r="S83" s="4"/>
      <c r="T83" s="4">
        <v>3386.46</v>
      </c>
      <c r="U83" s="4"/>
      <c r="V83" s="12">
        <f>IF(T$12=0,0,T83/T$12)</f>
        <v>0.15889980818246316</v>
      </c>
      <c r="W83" s="4"/>
      <c r="X83" s="4">
        <f>+P83-T83</f>
        <v>6419.6600000000008</v>
      </c>
      <c r="Y83" s="4"/>
      <c r="Z83" s="12">
        <f>IF(T83=0,0,X83/T83)</f>
        <v>1.895684579177076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5">
        <f>+D81-D83</f>
        <v>-2183.4399999999978</v>
      </c>
      <c r="E85" s="13"/>
      <c r="F85" s="31">
        <f>IF(D$12=0,0,D85/D$12)</f>
        <v>-0.14768210173604776</v>
      </c>
      <c r="G85" s="13"/>
      <c r="H85" s="35">
        <f>+H81-H83</f>
        <v>676.97</v>
      </c>
      <c r="I85" s="13"/>
      <c r="J85" s="31">
        <f>IF(H$12=0,0,H85/H$12)</f>
        <v>0</v>
      </c>
      <c r="K85" s="16"/>
      <c r="L85" s="35">
        <f>D85-H85</f>
        <v>-2860.409999999998</v>
      </c>
      <c r="M85" s="16"/>
      <c r="N85" s="31">
        <f>IF(H85=0,0,L85/H85)</f>
        <v>-4.225312790817906</v>
      </c>
      <c r="O85" s="26"/>
      <c r="P85" s="35">
        <f>+P81-P83</f>
        <v>5033.2099999999937</v>
      </c>
      <c r="Q85" s="13"/>
      <c r="R85" s="31">
        <f>IF(P$12=0,0,P85/P$12)</f>
        <v>6.1136756111932491E-2</v>
      </c>
      <c r="S85" s="13"/>
      <c r="T85" s="35">
        <f>+T81-T83</f>
        <v>-8428.8399999999892</v>
      </c>
      <c r="U85" s="13"/>
      <c r="V85" s="31">
        <f>IF(T$12=0,0,T85/T$12)</f>
        <v>-0.39549885697769088</v>
      </c>
      <c r="W85" s="16"/>
      <c r="X85" s="35">
        <f>P85-T85</f>
        <v>13462.049999999983</v>
      </c>
      <c r="Y85" s="16"/>
      <c r="Z85" s="31">
        <f>IF(T85=0,0,X85/T85)</f>
        <v>-1.5971414809155233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6">
        <f>SUM(D85:D87)</f>
        <v>-2183.4399999999978</v>
      </c>
      <c r="E88" s="13"/>
      <c r="F88" s="33">
        <f>IF(D$12=0,0,D88/D$12)</f>
        <v>-0.14768210173604776</v>
      </c>
      <c r="G88" s="13"/>
      <c r="H88" s="36">
        <f>SUM(H85:H87)</f>
        <v>676.97</v>
      </c>
      <c r="I88" s="13"/>
      <c r="J88" s="33">
        <f>IF(H$12=0,0,H88/H$12)</f>
        <v>0</v>
      </c>
      <c r="K88" s="16"/>
      <c r="L88" s="36">
        <f>+D88-H88</f>
        <v>-2860.409999999998</v>
      </c>
      <c r="M88" s="16"/>
      <c r="N88" s="33">
        <f>IF(H88=0,0,L88/H88)</f>
        <v>-4.225312790817906</v>
      </c>
      <c r="O88" s="26"/>
      <c r="P88" s="36">
        <f>SUM(P85:P87)</f>
        <v>5033.2099999999937</v>
      </c>
      <c r="Q88" s="13"/>
      <c r="R88" s="33">
        <f>IF(P$12=0,0,P88/P$12)</f>
        <v>6.1136756111932491E-2</v>
      </c>
      <c r="S88" s="13"/>
      <c r="T88" s="36">
        <f>SUM(T85:T87)</f>
        <v>-8428.8399999999892</v>
      </c>
      <c r="U88" s="13"/>
      <c r="V88" s="33">
        <f>IF(T$12=0,0,T88/T$12)</f>
        <v>-0.39549885697769088</v>
      </c>
      <c r="W88" s="16"/>
      <c r="X88" s="36">
        <f>+P88-T88</f>
        <v>13462.049999999983</v>
      </c>
      <c r="Y88" s="16"/>
      <c r="Z88" s="33">
        <f>IF(T88=0,0,X88/T88)</f>
        <v>-1.5971414809155233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2">
        <v>44543.765594675926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9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61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FF00"/>
    <outlinePr summaryBelow="0" summaryRight="0"/>
  </sheetPr>
  <dimension ref="A2:Z12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7877.45</v>
      </c>
      <c r="E12" s="4"/>
      <c r="F12" s="12"/>
      <c r="G12" s="4"/>
      <c r="H12" s="4">
        <f>SUM(OSRRefH13x_0)</f>
        <v>8524.15</v>
      </c>
      <c r="I12" s="4"/>
      <c r="J12" s="12"/>
      <c r="K12" s="4"/>
      <c r="L12" s="4">
        <f t="shared" ref="L12:L36" si="0">+D12-H12</f>
        <v>-646.69999999999982</v>
      </c>
      <c r="M12" s="4"/>
      <c r="N12" s="12">
        <f t="shared" ref="N12:N36" si="1">IF(H12=0,0,L12/H12)</f>
        <v>-7.5866801968524702E-2</v>
      </c>
      <c r="O12" s="10"/>
      <c r="P12" s="4">
        <f>SUM(OSRRefP13x_0)</f>
        <v>1351637.15</v>
      </c>
      <c r="Q12" s="4"/>
      <c r="R12" s="12"/>
      <c r="S12" s="4"/>
      <c r="T12" s="4">
        <f>SUM(OSRRefT13x_0)</f>
        <v>1554230.1799999997</v>
      </c>
      <c r="U12" s="4"/>
      <c r="V12" s="12"/>
      <c r="W12" s="4"/>
      <c r="X12" s="4">
        <f t="shared" ref="X12:X36" si="2">+P12-T12</f>
        <v>-202593.0299999998</v>
      </c>
      <c r="Y12" s="4"/>
      <c r="Z12" s="12">
        <f t="shared" ref="Z12:Z36" si="3">IF(T12=0,0,X12/T12)</f>
        <v>-0.13034943768753726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--6339.97</f>
        <v>6339.97</v>
      </c>
      <c r="E13" s="2"/>
      <c r="F13" s="19"/>
      <c r="G13" s="2"/>
      <c r="H13" s="2">
        <f>-229.05</f>
        <v>-229.05</v>
      </c>
      <c r="I13" s="2"/>
      <c r="J13" s="19"/>
      <c r="K13" s="2"/>
      <c r="L13" s="2">
        <f t="shared" si="0"/>
        <v>6569.02</v>
      </c>
      <c r="M13" s="2"/>
      <c r="N13" s="19">
        <f t="shared" si="1"/>
        <v>-28.679414974896311</v>
      </c>
      <c r="O13" s="11"/>
      <c r="P13" s="2">
        <f>--987387.47</f>
        <v>987387.47</v>
      </c>
      <c r="Q13" s="2"/>
      <c r="R13" s="19"/>
      <c r="S13" s="2"/>
      <c r="T13" s="2">
        <f>-6599.87</f>
        <v>-6599.87</v>
      </c>
      <c r="U13" s="2"/>
      <c r="V13" s="19"/>
      <c r="W13" s="2"/>
      <c r="X13" s="2">
        <f t="shared" si="2"/>
        <v>993987.34</v>
      </c>
      <c r="Y13" s="2"/>
      <c r="Z13" s="19">
        <f t="shared" si="3"/>
        <v>-150.60710892790311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--6816.45</f>
        <v>6816.45</v>
      </c>
      <c r="I14" s="2"/>
      <c r="J14" s="19"/>
      <c r="K14" s="2"/>
      <c r="L14" s="2">
        <f t="shared" si="0"/>
        <v>-6816.45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--719144.02</f>
        <v>719144.02</v>
      </c>
      <c r="U14" s="2"/>
      <c r="V14" s="19"/>
      <c r="W14" s="2"/>
      <c r="X14" s="2">
        <f t="shared" si="2"/>
        <v>-719144.02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--1492.1</f>
        <v>1492.1</v>
      </c>
      <c r="I15" s="2"/>
      <c r="J15" s="19"/>
      <c r="K15" s="2"/>
      <c r="L15" s="2">
        <f t="shared" si="0"/>
        <v>-1492.1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--320631.62</f>
        <v>320631.62</v>
      </c>
      <c r="U15" s="2"/>
      <c r="V15" s="19"/>
      <c r="W15" s="2"/>
      <c r="X15" s="2">
        <f t="shared" si="2"/>
        <v>-320631.62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0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--2768.92</f>
        <v>2768.92</v>
      </c>
      <c r="E21" s="2"/>
      <c r="F21" s="19"/>
      <c r="G21" s="2"/>
      <c r="H21" s="2">
        <f>--1333.61</f>
        <v>1333.61</v>
      </c>
      <c r="I21" s="2"/>
      <c r="J21" s="19"/>
      <c r="K21" s="2"/>
      <c r="L21" s="2">
        <f t="shared" si="0"/>
        <v>1435.3100000000002</v>
      </c>
      <c r="M21" s="2"/>
      <c r="N21" s="19">
        <f t="shared" si="1"/>
        <v>1.0762591762209344</v>
      </c>
      <c r="O21" s="11"/>
      <c r="P21" s="2">
        <f>--419252.14</f>
        <v>419252.14</v>
      </c>
      <c r="Q21" s="2"/>
      <c r="R21" s="19"/>
      <c r="S21" s="2"/>
      <c r="T21" s="2">
        <f>--165813.42</f>
        <v>165813.42000000001</v>
      </c>
      <c r="U21" s="2"/>
      <c r="V21" s="19"/>
      <c r="W21" s="2"/>
      <c r="X21" s="2">
        <f t="shared" si="2"/>
        <v>253438.72</v>
      </c>
      <c r="Y21" s="2"/>
      <c r="Z21" s="19">
        <f t="shared" si="3"/>
        <v>1.5284572262003882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8">0</f>
        <v>0</v>
      </c>
      <c r="E22" s="2"/>
      <c r="F22" s="19"/>
      <c r="G22" s="2"/>
      <c r="H22" s="2">
        <f>--1270.83</f>
        <v>1270.83</v>
      </c>
      <c r="I22" s="2"/>
      <c r="J22" s="19"/>
      <c r="K22" s="2"/>
      <c r="L22" s="2">
        <f t="shared" si="0"/>
        <v>-1270.83</v>
      </c>
      <c r="M22" s="2"/>
      <c r="N22" s="19">
        <f t="shared" si="1"/>
        <v>-1</v>
      </c>
      <c r="O22" s="11"/>
      <c r="P22" s="2">
        <f t="shared" ref="P22:P27" si="9">0</f>
        <v>0</v>
      </c>
      <c r="Q22" s="2"/>
      <c r="R22" s="19"/>
      <c r="S22" s="2"/>
      <c r="T22" s="2">
        <f>--78935.72</f>
        <v>78935.72</v>
      </c>
      <c r="U22" s="2"/>
      <c r="V22" s="19"/>
      <c r="W22" s="2"/>
      <c r="X22" s="2">
        <f t="shared" si="2"/>
        <v>-78935.72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8"/>
        <v>0</v>
      </c>
      <c r="E23" s="2"/>
      <c r="F23" s="19"/>
      <c r="G23" s="2"/>
      <c r="H23" s="2">
        <f>--320.72</f>
        <v>320.72000000000003</v>
      </c>
      <c r="I23" s="2"/>
      <c r="J23" s="19"/>
      <c r="K23" s="2"/>
      <c r="L23" s="2">
        <f t="shared" si="0"/>
        <v>-320.72000000000003</v>
      </c>
      <c r="M23" s="2"/>
      <c r="N23" s="19">
        <f t="shared" si="1"/>
        <v>-1</v>
      </c>
      <c r="O23" s="11"/>
      <c r="P23" s="2">
        <f t="shared" si="9"/>
        <v>0</v>
      </c>
      <c r="Q23" s="2"/>
      <c r="R23" s="19"/>
      <c r="S23" s="2"/>
      <c r="T23" s="2">
        <f>--33033.19</f>
        <v>33033.19</v>
      </c>
      <c r="U23" s="2"/>
      <c r="V23" s="19"/>
      <c r="W23" s="2"/>
      <c r="X23" s="2">
        <f t="shared" si="2"/>
        <v>-33033.19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8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9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8"/>
        <v>0</v>
      </c>
      <c r="E25" s="2"/>
      <c r="F25" s="19"/>
      <c r="G25" s="2"/>
      <c r="H25" s="2">
        <f>--1414.19</f>
        <v>1414.19</v>
      </c>
      <c r="I25" s="2"/>
      <c r="J25" s="19"/>
      <c r="K25" s="2"/>
      <c r="L25" s="2">
        <f t="shared" si="0"/>
        <v>-1414.19</v>
      </c>
      <c r="M25" s="2"/>
      <c r="N25" s="19">
        <f t="shared" si="1"/>
        <v>-1</v>
      </c>
      <c r="O25" s="11"/>
      <c r="P25" s="2">
        <f t="shared" si="9"/>
        <v>0</v>
      </c>
      <c r="Q25" s="2"/>
      <c r="R25" s="19"/>
      <c r="S25" s="2"/>
      <c r="T25" s="2">
        <f>--294889.71</f>
        <v>294889.71000000002</v>
      </c>
      <c r="U25" s="2"/>
      <c r="V25" s="19"/>
      <c r="W25" s="2"/>
      <c r="X25" s="2">
        <f t="shared" si="2"/>
        <v>-294889.71000000002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8"/>
        <v>0</v>
      </c>
      <c r="E26" s="2"/>
      <c r="F26" s="19"/>
      <c r="G26" s="2"/>
      <c r="H26" s="2">
        <f>--630</f>
        <v>630</v>
      </c>
      <c r="I26" s="2"/>
      <c r="J26" s="19"/>
      <c r="K26" s="2"/>
      <c r="L26" s="2">
        <f t="shared" si="0"/>
        <v>-630</v>
      </c>
      <c r="M26" s="2"/>
      <c r="N26" s="19">
        <f t="shared" si="1"/>
        <v>-1</v>
      </c>
      <c r="O26" s="11"/>
      <c r="P26" s="2">
        <f t="shared" si="9"/>
        <v>0</v>
      </c>
      <c r="Q26" s="2"/>
      <c r="R26" s="19"/>
      <c r="S26" s="2"/>
      <c r="T26" s="2">
        <f>--2285.95</f>
        <v>2285.9499999999998</v>
      </c>
      <c r="U26" s="2"/>
      <c r="V26" s="19"/>
      <c r="W26" s="2"/>
      <c r="X26" s="2">
        <f t="shared" si="2"/>
        <v>-2285.9499999999998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8"/>
        <v>0</v>
      </c>
      <c r="E27" s="2"/>
      <c r="F27" s="19"/>
      <c r="G27" s="2"/>
      <c r="H27" s="2">
        <f>--27.8</f>
        <v>27.8</v>
      </c>
      <c r="I27" s="2"/>
      <c r="J27" s="19"/>
      <c r="K27" s="2"/>
      <c r="L27" s="2">
        <f t="shared" si="0"/>
        <v>-27.8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--233.43</f>
        <v>233.43</v>
      </c>
      <c r="U27" s="2"/>
      <c r="V27" s="19"/>
      <c r="W27" s="2"/>
      <c r="X27" s="2">
        <f t="shared" si="2"/>
        <v>-233.43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-652.65</f>
        <v>-652.65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-652.65</v>
      </c>
      <c r="M28" s="2"/>
      <c r="N28" s="19">
        <f t="shared" si="1"/>
        <v>0</v>
      </c>
      <c r="O28" s="11"/>
      <c r="P28" s="2">
        <f>-28985.78</f>
        <v>-28985.78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-28985.78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10">0</f>
        <v>0</v>
      </c>
      <c r="E29" s="2"/>
      <c r="F29" s="19"/>
      <c r="G29" s="2"/>
      <c r="H29" s="2">
        <f>-1333.42</f>
        <v>-1333.42</v>
      </c>
      <c r="I29" s="2"/>
      <c r="J29" s="19"/>
      <c r="K29" s="2"/>
      <c r="L29" s="2">
        <f t="shared" si="0"/>
        <v>1333.42</v>
      </c>
      <c r="M29" s="2"/>
      <c r="N29" s="19">
        <f t="shared" si="1"/>
        <v>-1</v>
      </c>
      <c r="O29" s="11"/>
      <c r="P29" s="2">
        <f t="shared" ref="P29:P31" si="11">0</f>
        <v>0</v>
      </c>
      <c r="Q29" s="2"/>
      <c r="R29" s="19"/>
      <c r="S29" s="2"/>
      <c r="T29" s="2">
        <f>-35094.66</f>
        <v>-35094.660000000003</v>
      </c>
      <c r="U29" s="2"/>
      <c r="V29" s="19"/>
      <c r="W29" s="2"/>
      <c r="X29" s="2">
        <f t="shared" si="2"/>
        <v>35094.660000000003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10"/>
        <v>0</v>
      </c>
      <c r="E30" s="2"/>
      <c r="F30" s="19"/>
      <c r="G30" s="2"/>
      <c r="H30" s="2">
        <f>-3274.35</f>
        <v>-3274.35</v>
      </c>
      <c r="I30" s="2"/>
      <c r="J30" s="19"/>
      <c r="K30" s="2"/>
      <c r="L30" s="2">
        <f t="shared" si="0"/>
        <v>3274.35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-13803.35</f>
        <v>-13803.35</v>
      </c>
      <c r="U30" s="2"/>
      <c r="V30" s="19"/>
      <c r="W30" s="2"/>
      <c r="X30" s="2">
        <f t="shared" si="2"/>
        <v>13803.35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10"/>
        <v>0</v>
      </c>
      <c r="E31" s="2"/>
      <c r="F31" s="19"/>
      <c r="G31" s="2"/>
      <c r="H31" s="2">
        <f t="shared" ref="H31:H33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11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-487.82</f>
        <v>-487.82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-487.82</v>
      </c>
      <c r="M32" s="2"/>
      <c r="N32" s="19">
        <f t="shared" si="1"/>
        <v>0</v>
      </c>
      <c r="O32" s="11"/>
      <c r="P32" s="2">
        <f>-25392.98</f>
        <v>-25392.98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-25392.98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3">0</f>
        <v>0</v>
      </c>
      <c r="E33" s="2"/>
      <c r="F33" s="19"/>
      <c r="G33" s="2"/>
      <c r="H33" s="2">
        <f t="shared" si="12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ref="P33:P35" si="14">0</f>
        <v>0</v>
      </c>
      <c r="Q33" s="2"/>
      <c r="R33" s="19"/>
      <c r="S33" s="2"/>
      <c r="T33" s="2">
        <f>-2376.17</f>
        <v>-2376.17</v>
      </c>
      <c r="U33" s="2"/>
      <c r="V33" s="19"/>
      <c r="W33" s="2"/>
      <c r="X33" s="2">
        <f t="shared" si="2"/>
        <v>2376.17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3"/>
        <v>0</v>
      </c>
      <c r="E34" s="2"/>
      <c r="F34" s="19"/>
      <c r="G34" s="2"/>
      <c r="H34" s="2">
        <f>-76.05</f>
        <v>-76.05</v>
      </c>
      <c r="I34" s="2"/>
      <c r="J34" s="19"/>
      <c r="K34" s="2"/>
      <c r="L34" s="2">
        <f t="shared" si="0"/>
        <v>76.05</v>
      </c>
      <c r="M34" s="2"/>
      <c r="N34" s="19">
        <f t="shared" si="1"/>
        <v>-1</v>
      </c>
      <c r="O34" s="11"/>
      <c r="P34" s="2">
        <f t="shared" si="14"/>
        <v>0</v>
      </c>
      <c r="Q34" s="2"/>
      <c r="R34" s="19"/>
      <c r="S34" s="2"/>
      <c r="T34" s="2">
        <f>-1392.85</f>
        <v>-1392.85</v>
      </c>
      <c r="U34" s="2"/>
      <c r="V34" s="19"/>
      <c r="W34" s="2"/>
      <c r="X34" s="2">
        <f t="shared" si="2"/>
        <v>1392.85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3"/>
        <v>0</v>
      </c>
      <c r="E35" s="2"/>
      <c r="F35" s="19"/>
      <c r="G35" s="2"/>
      <c r="H35" s="2">
        <f>-176.43</f>
        <v>-176.43</v>
      </c>
      <c r="I35" s="2"/>
      <c r="J35" s="19"/>
      <c r="K35" s="2"/>
      <c r="L35" s="2">
        <f t="shared" si="0"/>
        <v>176.43</v>
      </c>
      <c r="M35" s="2"/>
      <c r="N35" s="19">
        <f t="shared" si="1"/>
        <v>-1</v>
      </c>
      <c r="O35" s="11"/>
      <c r="P35" s="2">
        <f t="shared" si="14"/>
        <v>0</v>
      </c>
      <c r="Q35" s="2"/>
      <c r="R35" s="19"/>
      <c r="S35" s="2"/>
      <c r="T35" s="2">
        <f>-14278.54</f>
        <v>-14278.54</v>
      </c>
      <c r="U35" s="2"/>
      <c r="V35" s="19"/>
      <c r="W35" s="2"/>
      <c r="X35" s="2">
        <f t="shared" si="2"/>
        <v>14278.54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-90.97</f>
        <v>-90.97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-90.97</v>
      </c>
      <c r="M36" s="2"/>
      <c r="N36" s="19">
        <f t="shared" si="1"/>
        <v>0</v>
      </c>
      <c r="O36" s="11"/>
      <c r="P36" s="2">
        <f>-623.7</f>
        <v>-623.70000000000005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-623.70000000000005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6" t="s">
        <v>256</v>
      </c>
      <c r="C38" s="10"/>
      <c r="D38" s="4">
        <f>SUM(OSRRefD16x_0)</f>
        <v>5436.6200000000063</v>
      </c>
      <c r="E38" s="4"/>
      <c r="F38" s="12">
        <f t="shared" ref="F38:F55" si="15">IF(D$12=0,0,D38/D$12)</f>
        <v>0.69014973119474021</v>
      </c>
      <c r="G38" s="4"/>
      <c r="H38" s="4">
        <f>SUM(OSRRefH16x_0)</f>
        <v>6522.4900000000307</v>
      </c>
      <c r="I38" s="4"/>
      <c r="J38" s="12">
        <f t="shared" ref="J38:J55" si="16">IF(H$12=0,0,H38/H$12)</f>
        <v>0.76517775965932455</v>
      </c>
      <c r="K38" s="4"/>
      <c r="L38" s="4">
        <f t="shared" ref="L38:L55" si="17">+D38-H38</f>
        <v>-1085.8700000000244</v>
      </c>
      <c r="M38" s="4"/>
      <c r="N38" s="12">
        <f t="shared" ref="N38:N55" si="18">IF(H38=0,0,L38/H38)</f>
        <v>-0.16648089916581235</v>
      </c>
      <c r="O38" s="10"/>
      <c r="P38" s="4">
        <f>SUM(OSRRefP16x_0)</f>
        <v>1102272.58</v>
      </c>
      <c r="Q38" s="4"/>
      <c r="R38" s="12">
        <f t="shared" ref="R38:R55" si="19">IF(P$12=0,0,P38/P$12)</f>
        <v>0.81550923633609818</v>
      </c>
      <c r="S38" s="4"/>
      <c r="T38" s="4">
        <f>SUM(OSRRefT16x_0)</f>
        <v>1113239.83</v>
      </c>
      <c r="U38" s="4"/>
      <c r="V38" s="12">
        <f t="shared" ref="V38:V55" si="20">IF(T$12=0,0,T38/T$12)</f>
        <v>0.71626445318414822</v>
      </c>
      <c r="W38" s="4"/>
      <c r="X38" s="4">
        <f t="shared" ref="X38:X55" si="21">+P38-T38</f>
        <v>-10967.25</v>
      </c>
      <c r="Y38" s="4"/>
      <c r="Z38" s="12">
        <f t="shared" ref="Z38:Z55" si="22">IF(T38=0,0,X38/T38)</f>
        <v>-9.8516507444761474E-3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-202187.1</v>
      </c>
      <c r="E39" s="2"/>
      <c r="F39" s="19">
        <f t="shared" si="15"/>
        <v>-25.666567226704075</v>
      </c>
      <c r="G39" s="2"/>
      <c r="H39" s="2"/>
      <c r="I39" s="2"/>
      <c r="J39" s="19">
        <f t="shared" si="16"/>
        <v>0</v>
      </c>
      <c r="K39" s="2"/>
      <c r="L39" s="2">
        <f t="shared" si="17"/>
        <v>-202187.1</v>
      </c>
      <c r="M39" s="2"/>
      <c r="N39" s="19">
        <f t="shared" si="18"/>
        <v>0</v>
      </c>
      <c r="O39" s="11"/>
      <c r="P39" s="2">
        <v>1341622.8</v>
      </c>
      <c r="Q39" s="2"/>
      <c r="R39" s="19">
        <f t="shared" si="19"/>
        <v>0.99259094794782765</v>
      </c>
      <c r="S39" s="2"/>
      <c r="T39" s="2">
        <v>0</v>
      </c>
      <c r="U39" s="2"/>
      <c r="V39" s="19">
        <f t="shared" si="20"/>
        <v>0</v>
      </c>
      <c r="W39" s="2"/>
      <c r="X39" s="2">
        <f t="shared" si="21"/>
        <v>1341622.8</v>
      </c>
      <c r="Y39" s="2"/>
      <c r="Z39" s="19">
        <f t="shared" si="22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5"/>
        <v>0</v>
      </c>
      <c r="G40" s="2"/>
      <c r="H40" s="2">
        <v>-108601.35</v>
      </c>
      <c r="I40" s="2"/>
      <c r="J40" s="19">
        <f t="shared" si="16"/>
        <v>-12.740431597285362</v>
      </c>
      <c r="K40" s="2"/>
      <c r="L40" s="2">
        <f t="shared" si="17"/>
        <v>108601.35</v>
      </c>
      <c r="M40" s="2"/>
      <c r="N40" s="19">
        <f t="shared" si="18"/>
        <v>-1</v>
      </c>
      <c r="O40" s="11"/>
      <c r="P40" s="2">
        <v>0</v>
      </c>
      <c r="Q40" s="2"/>
      <c r="R40" s="19">
        <f t="shared" si="19"/>
        <v>0</v>
      </c>
      <c r="S40" s="2"/>
      <c r="T40" s="2">
        <v>1240595.48</v>
      </c>
      <c r="U40" s="2"/>
      <c r="V40" s="19">
        <f t="shared" si="20"/>
        <v>0.79820575868627142</v>
      </c>
      <c r="W40" s="2"/>
      <c r="X40" s="2">
        <f t="shared" si="21"/>
        <v>-1240595.48</v>
      </c>
      <c r="Y40" s="2"/>
      <c r="Z40" s="19">
        <f t="shared" si="22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5"/>
        <v>0</v>
      </c>
      <c r="G41" s="2"/>
      <c r="H41" s="2">
        <v>-208829.28</v>
      </c>
      <c r="I41" s="2"/>
      <c r="J41" s="19">
        <f t="shared" si="16"/>
        <v>-24.49854589607175</v>
      </c>
      <c r="K41" s="2"/>
      <c r="L41" s="2">
        <f t="shared" si="17"/>
        <v>208829.28</v>
      </c>
      <c r="M41" s="2"/>
      <c r="N41" s="19">
        <f t="shared" si="18"/>
        <v>-1</v>
      </c>
      <c r="O41" s="11"/>
      <c r="P41" s="2">
        <v>0</v>
      </c>
      <c r="Q41" s="2"/>
      <c r="R41" s="19">
        <f t="shared" si="19"/>
        <v>0</v>
      </c>
      <c r="S41" s="2"/>
      <c r="T41" s="2">
        <v>94234.05</v>
      </c>
      <c r="U41" s="2"/>
      <c r="V41" s="19">
        <f t="shared" si="20"/>
        <v>6.0630691137396407E-2</v>
      </c>
      <c r="W41" s="2"/>
      <c r="X41" s="2">
        <f t="shared" si="21"/>
        <v>-94234.05</v>
      </c>
      <c r="Y41" s="2"/>
      <c r="Z41" s="19">
        <f t="shared" si="22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5"/>
        <v>0</v>
      </c>
      <c r="G42" s="2"/>
      <c r="H42" s="2">
        <v>517.92999999999995</v>
      </c>
      <c r="I42" s="2"/>
      <c r="J42" s="19">
        <f t="shared" si="16"/>
        <v>6.0760310412181856E-2</v>
      </c>
      <c r="K42" s="2"/>
      <c r="L42" s="2">
        <f t="shared" si="17"/>
        <v>-517.92999999999995</v>
      </c>
      <c r="M42" s="2"/>
      <c r="N42" s="19">
        <f t="shared" si="18"/>
        <v>-1</v>
      </c>
      <c r="O42" s="11"/>
      <c r="P42" s="2"/>
      <c r="Q42" s="2"/>
      <c r="R42" s="19">
        <f t="shared" si="19"/>
        <v>0</v>
      </c>
      <c r="S42" s="2"/>
      <c r="T42" s="2">
        <v>32.520000000000003</v>
      </c>
      <c r="U42" s="2"/>
      <c r="V42" s="19">
        <f t="shared" si="20"/>
        <v>2.0923541711176919E-5</v>
      </c>
      <c r="W42" s="2"/>
      <c r="X42" s="2">
        <f t="shared" si="21"/>
        <v>-32.520000000000003</v>
      </c>
      <c r="Y42" s="2"/>
      <c r="Z42" s="19">
        <f t="shared" si="22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5"/>
        <v>0</v>
      </c>
      <c r="G43" s="2"/>
      <c r="H43" s="2">
        <v>1418.58</v>
      </c>
      <c r="I43" s="2"/>
      <c r="J43" s="19">
        <f t="shared" si="16"/>
        <v>0.16641893913176092</v>
      </c>
      <c r="K43" s="2"/>
      <c r="L43" s="2">
        <f t="shared" si="17"/>
        <v>-1418.58</v>
      </c>
      <c r="M43" s="2"/>
      <c r="N43" s="19">
        <f t="shared" si="18"/>
        <v>-1</v>
      </c>
      <c r="O43" s="11"/>
      <c r="P43" s="2">
        <v>0</v>
      </c>
      <c r="Q43" s="2"/>
      <c r="R43" s="19">
        <f t="shared" si="19"/>
        <v>0</v>
      </c>
      <c r="S43" s="2"/>
      <c r="T43" s="2">
        <v>196938.11</v>
      </c>
      <c r="U43" s="2"/>
      <c r="V43" s="19">
        <f t="shared" si="20"/>
        <v>0.12671103195280897</v>
      </c>
      <c r="W43" s="2"/>
      <c r="X43" s="2">
        <f t="shared" si="21"/>
        <v>-196938.11</v>
      </c>
      <c r="Y43" s="2"/>
      <c r="Z43" s="19">
        <f t="shared" si="22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5"/>
        <v>0</v>
      </c>
      <c r="G44" s="2"/>
      <c r="H44" s="2"/>
      <c r="I44" s="2"/>
      <c r="J44" s="19">
        <f t="shared" si="16"/>
        <v>0</v>
      </c>
      <c r="K44" s="2"/>
      <c r="L44" s="2">
        <f t="shared" si="17"/>
        <v>0</v>
      </c>
      <c r="M44" s="2"/>
      <c r="N44" s="19">
        <f t="shared" si="18"/>
        <v>0</v>
      </c>
      <c r="O44" s="11"/>
      <c r="P44" s="2"/>
      <c r="Q44" s="2"/>
      <c r="R44" s="19">
        <f t="shared" si="19"/>
        <v>0</v>
      </c>
      <c r="S44" s="2"/>
      <c r="T44" s="2">
        <v>67.17</v>
      </c>
      <c r="U44" s="2"/>
      <c r="V44" s="19">
        <f t="shared" si="20"/>
        <v>4.3217536800115422E-5</v>
      </c>
      <c r="W44" s="2"/>
      <c r="X44" s="2">
        <f t="shared" si="21"/>
        <v>-67.17</v>
      </c>
      <c r="Y44" s="2"/>
      <c r="Z44" s="19">
        <f t="shared" si="22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5"/>
        <v>0</v>
      </c>
      <c r="G45" s="2"/>
      <c r="H45" s="2">
        <v>611.1</v>
      </c>
      <c r="I45" s="2"/>
      <c r="J45" s="19">
        <f t="shared" si="16"/>
        <v>7.1690432477138494E-2</v>
      </c>
      <c r="K45" s="2"/>
      <c r="L45" s="2">
        <f t="shared" si="17"/>
        <v>-611.1</v>
      </c>
      <c r="M45" s="2"/>
      <c r="N45" s="19">
        <f t="shared" si="18"/>
        <v>-1</v>
      </c>
      <c r="O45" s="11"/>
      <c r="P45" s="2"/>
      <c r="Q45" s="2"/>
      <c r="R45" s="19">
        <f t="shared" si="19"/>
        <v>0</v>
      </c>
      <c r="S45" s="2"/>
      <c r="T45" s="2">
        <v>2094.7399999999998</v>
      </c>
      <c r="U45" s="2"/>
      <c r="V45" s="19">
        <f t="shared" si="20"/>
        <v>1.3477669054142291E-3</v>
      </c>
      <c r="W45" s="2"/>
      <c r="X45" s="2">
        <f t="shared" si="21"/>
        <v>-2094.7399999999998</v>
      </c>
      <c r="Y45" s="2"/>
      <c r="Z45" s="19">
        <f t="shared" si="22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5"/>
        <v>0</v>
      </c>
      <c r="G46" s="2"/>
      <c r="H46" s="2"/>
      <c r="I46" s="2"/>
      <c r="J46" s="19">
        <f t="shared" si="16"/>
        <v>0</v>
      </c>
      <c r="K46" s="2"/>
      <c r="L46" s="2">
        <f t="shared" si="17"/>
        <v>0</v>
      </c>
      <c r="M46" s="2"/>
      <c r="N46" s="19">
        <f t="shared" si="18"/>
        <v>0</v>
      </c>
      <c r="O46" s="11"/>
      <c r="P46" s="2"/>
      <c r="Q46" s="2"/>
      <c r="R46" s="19">
        <f t="shared" si="19"/>
        <v>0</v>
      </c>
      <c r="S46" s="2"/>
      <c r="T46" s="2">
        <v>90.41</v>
      </c>
      <c r="U46" s="2"/>
      <c r="V46" s="19">
        <f t="shared" si="20"/>
        <v>5.8170276940575182E-5</v>
      </c>
      <c r="W46" s="2"/>
      <c r="X46" s="2">
        <f t="shared" si="21"/>
        <v>-90.41</v>
      </c>
      <c r="Y46" s="2"/>
      <c r="Z46" s="19">
        <f t="shared" si="22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5"/>
        <v>0</v>
      </c>
      <c r="G47" s="2"/>
      <c r="H47" s="2">
        <v>106.34</v>
      </c>
      <c r="I47" s="2"/>
      <c r="J47" s="19">
        <f t="shared" si="16"/>
        <v>1.2475144149270015E-2</v>
      </c>
      <c r="K47" s="2"/>
      <c r="L47" s="2">
        <f t="shared" si="17"/>
        <v>-106.34</v>
      </c>
      <c r="M47" s="2"/>
      <c r="N47" s="19">
        <f t="shared" si="18"/>
        <v>-1</v>
      </c>
      <c r="O47" s="11"/>
      <c r="P47" s="2"/>
      <c r="Q47" s="2"/>
      <c r="R47" s="19">
        <f t="shared" si="19"/>
        <v>0</v>
      </c>
      <c r="S47" s="2"/>
      <c r="T47" s="2">
        <v>106.34</v>
      </c>
      <c r="U47" s="2"/>
      <c r="V47" s="19">
        <f t="shared" si="20"/>
        <v>6.8419724033411849E-5</v>
      </c>
      <c r="W47" s="2"/>
      <c r="X47" s="2">
        <f t="shared" si="21"/>
        <v>-106.34</v>
      </c>
      <c r="Y47" s="2"/>
      <c r="Z47" s="19">
        <f t="shared" si="22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202125.45</v>
      </c>
      <c r="E48" s="2"/>
      <c r="F48" s="19">
        <f t="shared" si="15"/>
        <v>25.658741090073566</v>
      </c>
      <c r="G48" s="2"/>
      <c r="H48" s="2">
        <v>313747.15000000002</v>
      </c>
      <c r="I48" s="2"/>
      <c r="J48" s="19">
        <f t="shared" si="16"/>
        <v>36.806854642398363</v>
      </c>
      <c r="K48" s="2"/>
      <c r="L48" s="2">
        <f t="shared" si="17"/>
        <v>-111621.70000000001</v>
      </c>
      <c r="M48" s="2"/>
      <c r="N48" s="19">
        <f t="shared" si="18"/>
        <v>-0.35576960619403236</v>
      </c>
      <c r="O48" s="11"/>
      <c r="P48" s="2">
        <v>-1124404.4099999999</v>
      </c>
      <c r="Q48" s="2"/>
      <c r="R48" s="19">
        <f t="shared" si="19"/>
        <v>-0.83188332756317029</v>
      </c>
      <c r="S48" s="2"/>
      <c r="T48" s="2">
        <v>-1236227.33</v>
      </c>
      <c r="U48" s="2"/>
      <c r="V48" s="19">
        <f t="shared" si="20"/>
        <v>-0.79539526764304647</v>
      </c>
      <c r="W48" s="2"/>
      <c r="X48" s="2">
        <f t="shared" si="21"/>
        <v>111822.92000000016</v>
      </c>
      <c r="Y48" s="2"/>
      <c r="Z48" s="19">
        <f t="shared" si="22"/>
        <v>-9.0454981285683231E-2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5116.34</v>
      </c>
      <c r="E49" s="2"/>
      <c r="F49" s="19">
        <f t="shared" si="15"/>
        <v>0.6494919041060242</v>
      </c>
      <c r="G49" s="2"/>
      <c r="H49" s="2">
        <v>6147</v>
      </c>
      <c r="I49" s="2"/>
      <c r="J49" s="19">
        <f t="shared" si="16"/>
        <v>0.72112761976267437</v>
      </c>
      <c r="K49" s="2"/>
      <c r="L49" s="2">
        <f t="shared" si="17"/>
        <v>-1030.6599999999999</v>
      </c>
      <c r="M49" s="2"/>
      <c r="N49" s="19">
        <f t="shared" si="18"/>
        <v>-0.16766878151944034</v>
      </c>
      <c r="O49" s="11"/>
      <c r="P49" s="2">
        <v>848534.21</v>
      </c>
      <c r="Q49" s="2"/>
      <c r="R49" s="19">
        <f t="shared" si="19"/>
        <v>0.62778254504176656</v>
      </c>
      <c r="S49" s="2"/>
      <c r="T49" s="2">
        <v>769078</v>
      </c>
      <c r="U49" s="2"/>
      <c r="V49" s="19">
        <f t="shared" si="20"/>
        <v>0.49482889336250063</v>
      </c>
      <c r="W49" s="2"/>
      <c r="X49" s="2">
        <f t="shared" si="21"/>
        <v>79456.209999999963</v>
      </c>
      <c r="Y49" s="2"/>
      <c r="Z49" s="19">
        <f t="shared" si="22"/>
        <v>0.10331359107918828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381.93</v>
      </c>
      <c r="E50" s="2"/>
      <c r="F50" s="19">
        <f t="shared" si="15"/>
        <v>4.8483963719223866E-2</v>
      </c>
      <c r="G50" s="2"/>
      <c r="H50" s="2"/>
      <c r="I50" s="2"/>
      <c r="J50" s="19">
        <f t="shared" si="16"/>
        <v>0</v>
      </c>
      <c r="K50" s="2"/>
      <c r="L50" s="2">
        <f t="shared" si="17"/>
        <v>381.93</v>
      </c>
      <c r="M50" s="2"/>
      <c r="N50" s="19">
        <f t="shared" si="18"/>
        <v>0</v>
      </c>
      <c r="O50" s="11"/>
      <c r="P50" s="2">
        <v>36519.980000000003</v>
      </c>
      <c r="Q50" s="2"/>
      <c r="R50" s="19">
        <f t="shared" si="19"/>
        <v>2.7019070909674245E-2</v>
      </c>
      <c r="S50" s="2"/>
      <c r="T50" s="2">
        <v>0</v>
      </c>
      <c r="U50" s="2"/>
      <c r="V50" s="19">
        <f t="shared" si="20"/>
        <v>0</v>
      </c>
      <c r="W50" s="2"/>
      <c r="X50" s="2">
        <f t="shared" si="21"/>
        <v>36519.980000000003</v>
      </c>
      <c r="Y50" s="2"/>
      <c r="Z50" s="19">
        <f t="shared" si="22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5"/>
        <v>0</v>
      </c>
      <c r="G51" s="2"/>
      <c r="H51" s="2">
        <v>990.19</v>
      </c>
      <c r="I51" s="2"/>
      <c r="J51" s="19">
        <f t="shared" si="16"/>
        <v>0.11616290187291403</v>
      </c>
      <c r="K51" s="2"/>
      <c r="L51" s="2">
        <f t="shared" si="17"/>
        <v>-990.19</v>
      </c>
      <c r="M51" s="2"/>
      <c r="N51" s="19">
        <f t="shared" si="18"/>
        <v>-1</v>
      </c>
      <c r="O51" s="11"/>
      <c r="P51" s="2">
        <v>0</v>
      </c>
      <c r="Q51" s="2"/>
      <c r="R51" s="19">
        <f t="shared" si="19"/>
        <v>0</v>
      </c>
      <c r="S51" s="2"/>
      <c r="T51" s="2">
        <v>35048.81</v>
      </c>
      <c r="U51" s="2"/>
      <c r="V51" s="19">
        <f t="shared" si="20"/>
        <v>2.2550591573250754E-2</v>
      </c>
      <c r="W51" s="2"/>
      <c r="X51" s="2">
        <f t="shared" si="21"/>
        <v>-35048.81</v>
      </c>
      <c r="Y51" s="2"/>
      <c r="Z51" s="19">
        <f t="shared" si="22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5"/>
        <v>0</v>
      </c>
      <c r="G52" s="2"/>
      <c r="H52" s="2">
        <v>388.37</v>
      </c>
      <c r="I52" s="2"/>
      <c r="J52" s="19">
        <f t="shared" si="16"/>
        <v>4.5561140993530147E-2</v>
      </c>
      <c r="K52" s="2"/>
      <c r="L52" s="2">
        <f t="shared" si="17"/>
        <v>-388.37</v>
      </c>
      <c r="M52" s="2"/>
      <c r="N52" s="19">
        <f t="shared" si="18"/>
        <v>-1</v>
      </c>
      <c r="O52" s="11"/>
      <c r="P52" s="2">
        <v>0</v>
      </c>
      <c r="Q52" s="2"/>
      <c r="R52" s="19">
        <f t="shared" si="19"/>
        <v>0</v>
      </c>
      <c r="S52" s="2"/>
      <c r="T52" s="2">
        <v>11133.09</v>
      </c>
      <c r="U52" s="2"/>
      <c r="V52" s="19">
        <f t="shared" si="20"/>
        <v>7.1630895753163164E-3</v>
      </c>
      <c r="W52" s="2"/>
      <c r="X52" s="2">
        <f t="shared" si="21"/>
        <v>-11133.09</v>
      </c>
      <c r="Y52" s="2"/>
      <c r="Z52" s="19">
        <f t="shared" si="22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5"/>
        <v>0</v>
      </c>
      <c r="G53" s="2"/>
      <c r="H53" s="2"/>
      <c r="I53" s="2"/>
      <c r="J53" s="19">
        <f t="shared" si="16"/>
        <v>0</v>
      </c>
      <c r="K53" s="2"/>
      <c r="L53" s="2">
        <f t="shared" si="17"/>
        <v>0</v>
      </c>
      <c r="M53" s="2"/>
      <c r="N53" s="19">
        <f t="shared" si="18"/>
        <v>0</v>
      </c>
      <c r="O53" s="11"/>
      <c r="P53" s="2"/>
      <c r="Q53" s="2"/>
      <c r="R53" s="19">
        <f t="shared" si="19"/>
        <v>0</v>
      </c>
      <c r="S53" s="2"/>
      <c r="T53" s="2">
        <v>21.98</v>
      </c>
      <c r="U53" s="2"/>
      <c r="V53" s="19">
        <f t="shared" si="20"/>
        <v>1.414204940995291E-5</v>
      </c>
      <c r="W53" s="2"/>
      <c r="X53" s="2">
        <f t="shared" si="21"/>
        <v>-21.98</v>
      </c>
      <c r="Y53" s="2"/>
      <c r="Z53" s="19">
        <f t="shared" si="22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5"/>
        <v>0</v>
      </c>
      <c r="G54" s="2"/>
      <c r="H54" s="2">
        <v>26.46</v>
      </c>
      <c r="I54" s="2"/>
      <c r="J54" s="19">
        <f t="shared" si="16"/>
        <v>3.1041218185977491E-3</v>
      </c>
      <c r="K54" s="2"/>
      <c r="L54" s="2">
        <f t="shared" si="17"/>
        <v>-26.46</v>
      </c>
      <c r="M54" s="2"/>
      <c r="N54" s="19">
        <f t="shared" si="18"/>
        <v>-1</v>
      </c>
      <c r="O54" s="11"/>
      <c r="P54" s="2"/>
      <c r="Q54" s="2"/>
      <c r="R54" s="19">
        <f t="shared" si="19"/>
        <v>0</v>
      </c>
      <c r="S54" s="2"/>
      <c r="T54" s="2">
        <v>26.46</v>
      </c>
      <c r="U54" s="2"/>
      <c r="V54" s="19">
        <f t="shared" si="20"/>
        <v>1.7024505340643949E-5</v>
      </c>
      <c r="W54" s="2"/>
      <c r="X54" s="2">
        <f t="shared" si="21"/>
        <v>-26.46</v>
      </c>
      <c r="Y54" s="2"/>
      <c r="Z54" s="19">
        <f t="shared" si="22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/>
      <c r="U55" s="2"/>
      <c r="V55" s="19">
        <f t="shared" si="20"/>
        <v>0</v>
      </c>
      <c r="W55" s="2"/>
      <c r="X55" s="2">
        <f t="shared" si="21"/>
        <v>0</v>
      </c>
      <c r="Y55" s="2"/>
      <c r="Z55" s="19">
        <f t="shared" si="22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5" t="s">
        <v>107</v>
      </c>
      <c r="C57" s="25"/>
      <c r="D57" s="21">
        <f>D12-D38</f>
        <v>2440.8299999999936</v>
      </c>
      <c r="E57" s="13"/>
      <c r="F57" s="22">
        <f>IF(D$12=0,0,D57/D$12)</f>
        <v>0.30985026880525979</v>
      </c>
      <c r="G57" s="13"/>
      <c r="H57" s="21">
        <f>H12-H38</f>
        <v>2001.6599999999689</v>
      </c>
      <c r="I57" s="13"/>
      <c r="J57" s="22">
        <f>IF(H$12=0,0,H57/H$12)</f>
        <v>0.2348222403406755</v>
      </c>
      <c r="K57" s="16"/>
      <c r="L57" s="21">
        <f>+D57-H57</f>
        <v>439.17000000002463</v>
      </c>
      <c r="M57" s="16"/>
      <c r="N57" s="22">
        <f>IF(H57=0,0,L57/H57)</f>
        <v>0.21940289559667048</v>
      </c>
      <c r="O57" s="26"/>
      <c r="P57" s="21">
        <f>P12-P38</f>
        <v>249364.56999999983</v>
      </c>
      <c r="Q57" s="13"/>
      <c r="R57" s="22">
        <f>IF(P$12=0,0,P57/P$12)</f>
        <v>0.18449076366390185</v>
      </c>
      <c r="S57" s="13"/>
      <c r="T57" s="21">
        <f>T12-T38</f>
        <v>440990.34999999963</v>
      </c>
      <c r="U57" s="13"/>
      <c r="V57" s="22">
        <f>IF(T$12=0,0,T57/T$12)</f>
        <v>0.28373554681585178</v>
      </c>
      <c r="W57" s="16"/>
      <c r="X57" s="21">
        <f>+P57-T57</f>
        <v>-191625.7799999998</v>
      </c>
      <c r="Y57" s="16"/>
      <c r="Z57" s="22">
        <f>IF(T57=0,0,X57/T57)</f>
        <v>-0.43453508676550395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6" t="s">
        <v>294</v>
      </c>
      <c r="C59" s="10"/>
      <c r="D59" s="20">
        <f>SUM(OSRRefD22x_0)</f>
        <v>40561.770000000011</v>
      </c>
      <c r="E59" s="20"/>
      <c r="F59" s="32">
        <f t="shared" ref="F59:F69" si="23">IF(D$12=0,0,D59/D$12)</f>
        <v>5.1490990104665864</v>
      </c>
      <c r="G59" s="20"/>
      <c r="H59" s="20">
        <f>SUM(OSRRefH22x_0)</f>
        <v>43215.05000000001</v>
      </c>
      <c r="I59" s="20"/>
      <c r="J59" s="32">
        <f t="shared" ref="J59:J69" si="24">IF(H$12=0,0,H59/H$12)</f>
        <v>5.0697195614812047</v>
      </c>
      <c r="K59" s="4"/>
      <c r="L59" s="20">
        <f t="shared" ref="L59:L69" si="25">+D59-H59</f>
        <v>-2653.2799999999988</v>
      </c>
      <c r="M59" s="4"/>
      <c r="N59" s="32">
        <f t="shared" ref="N59:N69" si="26">IF(H59=0,0,L59/H59)</f>
        <v>-6.1397129009453842E-2</v>
      </c>
      <c r="O59" s="10"/>
      <c r="P59" s="20">
        <f>SUM(OSRRefP22x_0)</f>
        <v>232909.11</v>
      </c>
      <c r="Q59" s="20"/>
      <c r="R59" s="32">
        <f t="shared" ref="R59:R69" si="27">IF(P$12=0,0,P59/P$12)</f>
        <v>0.1723162980538083</v>
      </c>
      <c r="S59" s="20"/>
      <c r="T59" s="20">
        <f>SUM(OSRRefT22x_0)</f>
        <v>212932.37000000002</v>
      </c>
      <c r="U59" s="20"/>
      <c r="V59" s="32">
        <f t="shared" ref="V59:V69" si="28">IF(T$12=0,0,T59/T$12)</f>
        <v>0.1370018242729015</v>
      </c>
      <c r="W59" s="4"/>
      <c r="X59" s="20">
        <f t="shared" ref="X59:X69" si="29">+P59-T59</f>
        <v>19976.739999999962</v>
      </c>
      <c r="Y59" s="4"/>
      <c r="Z59" s="32">
        <f t="shared" ref="Z59:Z69" si="30">IF(T59=0,0,X59/T59)</f>
        <v>9.3817299830927348E-2</v>
      </c>
    </row>
    <row r="60" spans="1:26" s="29" customFormat="1" outlineLevel="1" collapsed="1" x14ac:dyDescent="0.3">
      <c r="A60" s="28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12540.8</v>
      </c>
      <c r="E60" s="1"/>
      <c r="F60" s="5">
        <f t="shared" si="23"/>
        <v>1.591987254758837</v>
      </c>
      <c r="G60" s="1"/>
      <c r="H60" s="1">
        <f>SUM(OSRRefH22_0x_0)</f>
        <v>11425.13</v>
      </c>
      <c r="I60" s="1"/>
      <c r="J60" s="5">
        <f t="shared" si="24"/>
        <v>1.34032484177308</v>
      </c>
      <c r="K60" s="1"/>
      <c r="L60" s="1">
        <f t="shared" si="25"/>
        <v>1115.67</v>
      </c>
      <c r="M60" s="1"/>
      <c r="N60" s="5">
        <f t="shared" si="26"/>
        <v>9.7650530015851042E-2</v>
      </c>
      <c r="O60" s="14"/>
      <c r="P60" s="1">
        <f>SUM(OSRRefP22_0x_0)</f>
        <v>64478.389999999985</v>
      </c>
      <c r="Q60" s="1"/>
      <c r="R60" s="5">
        <f t="shared" si="27"/>
        <v>4.7703919650329225E-2</v>
      </c>
      <c r="S60" s="1"/>
      <c r="T60" s="1">
        <f>SUM(OSRRefT22_0x_0)</f>
        <v>57037.840000000004</v>
      </c>
      <c r="U60" s="1"/>
      <c r="V60" s="5">
        <f t="shared" si="28"/>
        <v>3.6698450933438966E-2</v>
      </c>
      <c r="W60" s="1"/>
      <c r="X60" s="1">
        <f t="shared" si="29"/>
        <v>7440.5499999999811</v>
      </c>
      <c r="Y60" s="1"/>
      <c r="Z60" s="5">
        <f t="shared" si="30"/>
        <v>0.13044936484270758</v>
      </c>
    </row>
    <row r="61" spans="1:26" s="24" customFormat="1" hidden="1" outlineLevel="2" x14ac:dyDescent="0.3">
      <c r="A61" s="27"/>
      <c r="B61" s="11" t="str">
        <f>CONCATENATE("          ", "6111", " - ", "F.I.C.A.")</f>
        <v xml:space="preserve">          6111 - F.I.C.A.</v>
      </c>
      <c r="C61" s="11"/>
      <c r="D61" s="6">
        <v>1887.94</v>
      </c>
      <c r="E61" s="2"/>
      <c r="F61" s="7">
        <f t="shared" si="23"/>
        <v>0.23966385061155579</v>
      </c>
      <c r="G61" s="2"/>
      <c r="H61" s="6">
        <v>1724.83</v>
      </c>
      <c r="I61" s="2"/>
      <c r="J61" s="7">
        <f t="shared" si="24"/>
        <v>0.20234627499516081</v>
      </c>
      <c r="K61" s="2"/>
      <c r="L61" s="6">
        <f t="shared" si="25"/>
        <v>163.11000000000013</v>
      </c>
      <c r="M61" s="2"/>
      <c r="N61" s="7">
        <f t="shared" si="26"/>
        <v>9.4565841271313775E-2</v>
      </c>
      <c r="O61" s="11"/>
      <c r="P61" s="6">
        <v>10947.14</v>
      </c>
      <c r="Q61" s="2"/>
      <c r="R61" s="7">
        <f t="shared" si="27"/>
        <v>8.0991706982898488E-3</v>
      </c>
      <c r="S61" s="2"/>
      <c r="T61" s="6">
        <v>10947.47</v>
      </c>
      <c r="U61" s="2"/>
      <c r="V61" s="7">
        <f t="shared" si="28"/>
        <v>7.0436606757951397E-3</v>
      </c>
      <c r="W61" s="2"/>
      <c r="X61" s="6">
        <f t="shared" si="29"/>
        <v>-0.32999999999992724</v>
      </c>
      <c r="Y61" s="2"/>
      <c r="Z61" s="7">
        <f t="shared" si="30"/>
        <v>-3.0143951068139695E-5</v>
      </c>
    </row>
    <row r="62" spans="1:26" s="24" customFormat="1" hidden="1" outlineLevel="2" x14ac:dyDescent="0.3">
      <c r="A62" s="27"/>
      <c r="B62" s="11" t="str">
        <f>CONCATENATE("          ", "6112", " - ", "COMPENSATION INSURANCE")</f>
        <v xml:space="preserve">          6112 - COMPENSATION INSURANCE</v>
      </c>
      <c r="C62" s="11"/>
      <c r="D62" s="6">
        <v>355.51</v>
      </c>
      <c r="E62" s="2"/>
      <c r="F62" s="7">
        <f t="shared" si="23"/>
        <v>4.5130086512767453E-2</v>
      </c>
      <c r="G62" s="2"/>
      <c r="H62" s="6">
        <v>144.18</v>
      </c>
      <c r="I62" s="2"/>
      <c r="J62" s="7">
        <f t="shared" si="24"/>
        <v>1.6914296440114267E-2</v>
      </c>
      <c r="K62" s="2"/>
      <c r="L62" s="6">
        <f t="shared" si="25"/>
        <v>211.32999999999998</v>
      </c>
      <c r="M62" s="2"/>
      <c r="N62" s="7">
        <f t="shared" si="26"/>
        <v>1.4657372728533775</v>
      </c>
      <c r="O62" s="11"/>
      <c r="P62" s="6">
        <v>2193.98</v>
      </c>
      <c r="Q62" s="2"/>
      <c r="R62" s="7">
        <f t="shared" si="27"/>
        <v>1.6232019074054011E-3</v>
      </c>
      <c r="S62" s="2"/>
      <c r="T62" s="6">
        <v>667.35</v>
      </c>
      <c r="U62" s="2"/>
      <c r="V62" s="7">
        <f t="shared" si="28"/>
        <v>4.2937655476488055E-4</v>
      </c>
      <c r="W62" s="2"/>
      <c r="X62" s="6">
        <f t="shared" si="29"/>
        <v>1526.63</v>
      </c>
      <c r="Y62" s="2"/>
      <c r="Z62" s="7">
        <f t="shared" si="30"/>
        <v>2.2876002097849706</v>
      </c>
    </row>
    <row r="63" spans="1:26" s="24" customFormat="1" hidden="1" outlineLevel="2" x14ac:dyDescent="0.3">
      <c r="A63" s="27"/>
      <c r="B63" s="11" t="str">
        <f>CONCATENATE("          ", "6113", " - ", "GROUP INSURANCE")</f>
        <v xml:space="preserve">          6113 - GROUP INSURANCE</v>
      </c>
      <c r="C63" s="11"/>
      <c r="D63" s="6">
        <v>4593.8599999999997</v>
      </c>
      <c r="E63" s="2"/>
      <c r="F63" s="7">
        <f t="shared" si="23"/>
        <v>0.58316587220483784</v>
      </c>
      <c r="G63" s="2"/>
      <c r="H63" s="6">
        <v>4248.21</v>
      </c>
      <c r="I63" s="2"/>
      <c r="J63" s="7">
        <f t="shared" si="24"/>
        <v>0.49837344485960478</v>
      </c>
      <c r="K63" s="2"/>
      <c r="L63" s="6">
        <f t="shared" si="25"/>
        <v>345.64999999999964</v>
      </c>
      <c r="M63" s="2"/>
      <c r="N63" s="7">
        <f t="shared" si="26"/>
        <v>8.1363680232380137E-2</v>
      </c>
      <c r="O63" s="11"/>
      <c r="P63" s="6">
        <v>23025.55</v>
      </c>
      <c r="Q63" s="2"/>
      <c r="R63" s="7">
        <f t="shared" si="27"/>
        <v>1.7035304186482296E-2</v>
      </c>
      <c r="S63" s="2"/>
      <c r="T63" s="6">
        <v>21106.84</v>
      </c>
      <c r="U63" s="2"/>
      <c r="V63" s="7">
        <f t="shared" si="28"/>
        <v>1.3580253601818493E-2</v>
      </c>
      <c r="W63" s="2"/>
      <c r="X63" s="6">
        <f t="shared" si="29"/>
        <v>1918.7099999999991</v>
      </c>
      <c r="Y63" s="2"/>
      <c r="Z63" s="7">
        <f t="shared" si="30"/>
        <v>9.0904654604857915E-2</v>
      </c>
    </row>
    <row r="64" spans="1:26" s="24" customFormat="1" hidden="1" outlineLevel="2" x14ac:dyDescent="0.3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70.599999999999994</v>
      </c>
      <c r="E64" s="2"/>
      <c r="F64" s="7">
        <f t="shared" si="23"/>
        <v>8.9622910967381564E-3</v>
      </c>
      <c r="G64" s="2"/>
      <c r="H64" s="6">
        <v>113.59</v>
      </c>
      <c r="I64" s="2"/>
      <c r="J64" s="7">
        <f t="shared" si="24"/>
        <v>1.3325668835015809E-2</v>
      </c>
      <c r="K64" s="2"/>
      <c r="L64" s="6">
        <f t="shared" si="25"/>
        <v>-42.990000000000009</v>
      </c>
      <c r="M64" s="2"/>
      <c r="N64" s="7">
        <f t="shared" si="26"/>
        <v>-0.37846641429703326</v>
      </c>
      <c r="O64" s="11"/>
      <c r="P64" s="6">
        <v>435.09</v>
      </c>
      <c r="Q64" s="2"/>
      <c r="R64" s="7">
        <f t="shared" si="27"/>
        <v>3.2189852135981907E-4</v>
      </c>
      <c r="S64" s="2"/>
      <c r="T64" s="6">
        <v>382.75</v>
      </c>
      <c r="U64" s="2"/>
      <c r="V64" s="7">
        <f t="shared" si="28"/>
        <v>2.4626339452499892E-4</v>
      </c>
      <c r="W64" s="2"/>
      <c r="X64" s="6">
        <f t="shared" si="29"/>
        <v>52.339999999999975</v>
      </c>
      <c r="Y64" s="2"/>
      <c r="Z64" s="7">
        <f t="shared" si="30"/>
        <v>0.13674722403657733</v>
      </c>
    </row>
    <row r="65" spans="1:26" s="24" customFormat="1" hidden="1" outlineLevel="2" x14ac:dyDescent="0.3">
      <c r="A65" s="27"/>
      <c r="B65" s="11" t="str">
        <f>CONCATENATE("          ", "6115", " - ", "P.E.R.S.")</f>
        <v xml:space="preserve">          6115 - P.E.R.S.</v>
      </c>
      <c r="C65" s="11"/>
      <c r="D65" s="6">
        <v>1671.39</v>
      </c>
      <c r="E65" s="2"/>
      <c r="F65" s="7">
        <f t="shared" si="23"/>
        <v>0.21217399031412451</v>
      </c>
      <c r="G65" s="2"/>
      <c r="H65" s="6">
        <v>2042.1</v>
      </c>
      <c r="I65" s="2"/>
      <c r="J65" s="7">
        <f t="shared" si="24"/>
        <v>0.23956640838089427</v>
      </c>
      <c r="K65" s="2"/>
      <c r="L65" s="6">
        <f t="shared" si="25"/>
        <v>-370.70999999999981</v>
      </c>
      <c r="M65" s="2"/>
      <c r="N65" s="7">
        <f t="shared" si="26"/>
        <v>-0.18153371529308057</v>
      </c>
      <c r="O65" s="11"/>
      <c r="P65" s="6">
        <v>8903.34</v>
      </c>
      <c r="Q65" s="2"/>
      <c r="R65" s="7">
        <f t="shared" si="27"/>
        <v>6.5870784921826103E-3</v>
      </c>
      <c r="S65" s="2"/>
      <c r="T65" s="6">
        <v>8703.02</v>
      </c>
      <c r="U65" s="2"/>
      <c r="V65" s="7">
        <f t="shared" si="28"/>
        <v>5.5995695566791797E-3</v>
      </c>
      <c r="W65" s="2"/>
      <c r="X65" s="6">
        <f t="shared" si="29"/>
        <v>200.31999999999971</v>
      </c>
      <c r="Y65" s="2"/>
      <c r="Z65" s="7">
        <f t="shared" si="30"/>
        <v>2.3017297443875769E-2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274.61</v>
      </c>
      <c r="E66" s="2"/>
      <c r="F66" s="7">
        <f t="shared" si="23"/>
        <v>3.4860265695117076E-2</v>
      </c>
      <c r="G66" s="2"/>
      <c r="H66" s="6">
        <v>232.91</v>
      </c>
      <c r="I66" s="2"/>
      <c r="J66" s="7">
        <f t="shared" si="24"/>
        <v>2.7323545456145189E-2</v>
      </c>
      <c r="K66" s="2"/>
      <c r="L66" s="6">
        <f t="shared" si="25"/>
        <v>41.700000000000017</v>
      </c>
      <c r="M66" s="2"/>
      <c r="N66" s="7">
        <f t="shared" si="26"/>
        <v>0.17903911382078921</v>
      </c>
      <c r="O66" s="11"/>
      <c r="P66" s="6">
        <v>1522.86</v>
      </c>
      <c r="Q66" s="2"/>
      <c r="R66" s="7">
        <f t="shared" si="27"/>
        <v>1.1266781177182057E-3</v>
      </c>
      <c r="S66" s="2"/>
      <c r="T66" s="6">
        <v>1293.6500000000001</v>
      </c>
      <c r="U66" s="2"/>
      <c r="V66" s="7">
        <f t="shared" si="28"/>
        <v>8.3234132025412119E-4</v>
      </c>
      <c r="W66" s="2"/>
      <c r="X66" s="6">
        <f t="shared" si="29"/>
        <v>229.20999999999981</v>
      </c>
      <c r="Y66" s="2"/>
      <c r="Z66" s="7">
        <f t="shared" si="30"/>
        <v>0.17718084489622371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6">
        <v>1600</v>
      </c>
      <c r="E67" s="2"/>
      <c r="F67" s="7">
        <f t="shared" si="23"/>
        <v>0.2031114129572387</v>
      </c>
      <c r="G67" s="2"/>
      <c r="H67" s="6">
        <v>1278.1500000000001</v>
      </c>
      <c r="I67" s="2"/>
      <c r="J67" s="7">
        <f t="shared" si="24"/>
        <v>0.14994456925323935</v>
      </c>
      <c r="K67" s="2"/>
      <c r="L67" s="6">
        <f t="shared" si="25"/>
        <v>321.84999999999991</v>
      </c>
      <c r="M67" s="2"/>
      <c r="N67" s="7">
        <f t="shared" si="26"/>
        <v>0.25180925556468325</v>
      </c>
      <c r="O67" s="11"/>
      <c r="P67" s="6">
        <v>7701.24</v>
      </c>
      <c r="Q67" s="2"/>
      <c r="R67" s="7">
        <f t="shared" si="27"/>
        <v>5.697712585067672E-3</v>
      </c>
      <c r="S67" s="2"/>
      <c r="T67" s="6">
        <v>6162.85</v>
      </c>
      <c r="U67" s="2"/>
      <c r="V67" s="7">
        <f t="shared" si="28"/>
        <v>3.9652106099239441E-3</v>
      </c>
      <c r="W67" s="2"/>
      <c r="X67" s="6">
        <f t="shared" si="29"/>
        <v>1538.3899999999994</v>
      </c>
      <c r="Y67" s="2"/>
      <c r="Z67" s="7">
        <f t="shared" si="30"/>
        <v>0.24962314513577311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6">
        <v>1114.74</v>
      </c>
      <c r="E68" s="2"/>
      <c r="F68" s="7">
        <f t="shared" si="23"/>
        <v>0.14151026029997016</v>
      </c>
      <c r="G68" s="2"/>
      <c r="H68" s="6">
        <v>1046.08</v>
      </c>
      <c r="I68" s="2"/>
      <c r="J68" s="7">
        <f t="shared" si="24"/>
        <v>0.12271956734689089</v>
      </c>
      <c r="K68" s="2"/>
      <c r="L68" s="6">
        <f t="shared" si="25"/>
        <v>68.660000000000082</v>
      </c>
      <c r="M68" s="2"/>
      <c r="N68" s="7">
        <f t="shared" si="26"/>
        <v>6.563551544814937E-2</v>
      </c>
      <c r="O68" s="11"/>
      <c r="P68" s="6">
        <v>5938.28</v>
      </c>
      <c r="Q68" s="2"/>
      <c r="R68" s="7">
        <f t="shared" si="27"/>
        <v>4.3933980358559985E-3</v>
      </c>
      <c r="S68" s="2"/>
      <c r="T68" s="6">
        <v>5296.78</v>
      </c>
      <c r="U68" s="2"/>
      <c r="V68" s="7">
        <f t="shared" si="28"/>
        <v>3.4079765456619822E-3</v>
      </c>
      <c r="W68" s="2"/>
      <c r="X68" s="6">
        <f t="shared" si="29"/>
        <v>641.5</v>
      </c>
      <c r="Y68" s="2"/>
      <c r="Z68" s="7">
        <f t="shared" si="30"/>
        <v>0.12111131668674176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6">
        <v>972.15</v>
      </c>
      <c r="E69" s="2"/>
      <c r="F69" s="7">
        <f t="shared" si="23"/>
        <v>0.12340922506648726</v>
      </c>
      <c r="G69" s="2"/>
      <c r="H69" s="6">
        <v>595.08000000000004</v>
      </c>
      <c r="I69" s="2"/>
      <c r="J69" s="7">
        <f t="shared" si="24"/>
        <v>6.9811066206014682E-2</v>
      </c>
      <c r="K69" s="2"/>
      <c r="L69" s="6">
        <f t="shared" si="25"/>
        <v>377.06999999999994</v>
      </c>
      <c r="M69" s="2"/>
      <c r="N69" s="7">
        <f t="shared" si="26"/>
        <v>0.6336458963500704</v>
      </c>
      <c r="O69" s="11"/>
      <c r="P69" s="6">
        <v>3810.91</v>
      </c>
      <c r="Q69" s="2"/>
      <c r="R69" s="7">
        <f t="shared" si="27"/>
        <v>2.8194771059673819E-3</v>
      </c>
      <c r="S69" s="2"/>
      <c r="T69" s="6">
        <v>2477.13</v>
      </c>
      <c r="U69" s="2"/>
      <c r="V69" s="7">
        <f t="shared" si="28"/>
        <v>1.5937986740162263E-3</v>
      </c>
      <c r="W69" s="2"/>
      <c r="X69" s="6">
        <f t="shared" si="29"/>
        <v>1333.7799999999997</v>
      </c>
      <c r="Y69" s="2"/>
      <c r="Z69" s="7">
        <f t="shared" si="30"/>
        <v>0.53843762741559775</v>
      </c>
    </row>
    <row r="70" spans="1:26" s="29" customFormat="1" outlineLevel="1" collapsed="1" x14ac:dyDescent="0.3">
      <c r="A70" s="28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23870.59</v>
      </c>
      <c r="E70" s="1"/>
      <c r="F70" s="5">
        <f t="shared" ref="F70:F77" si="31">IF(D$12=0,0,D70/D$12)</f>
        <v>3.030243289389333</v>
      </c>
      <c r="G70" s="1"/>
      <c r="H70" s="1">
        <f>SUM(OSRRefH22_1x_0)</f>
        <v>20893.93</v>
      </c>
      <c r="I70" s="1"/>
      <c r="J70" s="5">
        <f t="shared" ref="J70:J77" si="32">IF(H$12=0,0,H70/H$12)</f>
        <v>2.4511452754820131</v>
      </c>
      <c r="K70" s="1"/>
      <c r="L70" s="1">
        <f t="shared" ref="L70:L77" si="33">+D70-H70</f>
        <v>2976.66</v>
      </c>
      <c r="M70" s="1"/>
      <c r="N70" s="5">
        <f t="shared" ref="N70:N77" si="34">IF(H70=0,0,L70/H70)</f>
        <v>0.1424652997305916</v>
      </c>
      <c r="O70" s="14"/>
      <c r="P70" s="1">
        <f>SUM(OSRRefP22_1x_0)</f>
        <v>149186.24000000002</v>
      </c>
      <c r="Q70" s="1"/>
      <c r="R70" s="5">
        <f t="shared" ref="R70:R77" si="35">IF(P$12=0,0,P70/P$12)</f>
        <v>0.11037447439203638</v>
      </c>
      <c r="S70" s="1"/>
      <c r="T70" s="1">
        <f>SUM(OSRRefT22_1x_0)</f>
        <v>137338.75999999998</v>
      </c>
      <c r="U70" s="1"/>
      <c r="V70" s="5">
        <f t="shared" ref="V70:V77" si="36">IF(T$12=0,0,T70/T$12)</f>
        <v>8.8364491802623471E-2</v>
      </c>
      <c r="W70" s="1"/>
      <c r="X70" s="1">
        <f t="shared" ref="X70:X77" si="37">+P70-T70</f>
        <v>11847.48000000004</v>
      </c>
      <c r="Y70" s="1"/>
      <c r="Z70" s="5">
        <f t="shared" ref="Z70:Z77" si="38">IF(T70=0,0,X70/T70)</f>
        <v>8.6264649542489247E-2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31"/>
        <v>0</v>
      </c>
      <c r="G71" s="2"/>
      <c r="H71" s="6"/>
      <c r="I71" s="2"/>
      <c r="J71" s="7">
        <f t="shared" si="32"/>
        <v>0</v>
      </c>
      <c r="K71" s="2"/>
      <c r="L71" s="6">
        <f t="shared" si="33"/>
        <v>0</v>
      </c>
      <c r="M71" s="2"/>
      <c r="N71" s="7">
        <f t="shared" si="34"/>
        <v>0</v>
      </c>
      <c r="O71" s="11"/>
      <c r="P71" s="6"/>
      <c r="Q71" s="2"/>
      <c r="R71" s="7">
        <f t="shared" si="35"/>
        <v>0</v>
      </c>
      <c r="S71" s="2"/>
      <c r="T71" s="6">
        <v>-311.32</v>
      </c>
      <c r="U71" s="2"/>
      <c r="V71" s="7">
        <f t="shared" si="36"/>
        <v>-2.003049509693603E-4</v>
      </c>
      <c r="W71" s="2"/>
      <c r="X71" s="6">
        <f t="shared" si="37"/>
        <v>311.32</v>
      </c>
      <c r="Y71" s="2"/>
      <c r="Z71" s="7">
        <f t="shared" si="38"/>
        <v>-1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6">
        <v>15611.26</v>
      </c>
      <c r="E72" s="2"/>
      <c r="F72" s="7">
        <f t="shared" si="31"/>
        <v>1.9817656729017639</v>
      </c>
      <c r="G72" s="2"/>
      <c r="H72" s="6">
        <v>14271.35</v>
      </c>
      <c r="I72" s="2"/>
      <c r="J72" s="7">
        <f t="shared" si="32"/>
        <v>1.6742255826094099</v>
      </c>
      <c r="K72" s="2"/>
      <c r="L72" s="6">
        <f t="shared" si="33"/>
        <v>1339.9099999999999</v>
      </c>
      <c r="M72" s="2"/>
      <c r="N72" s="7">
        <f t="shared" si="34"/>
        <v>9.3888104489063748E-2</v>
      </c>
      <c r="O72" s="11"/>
      <c r="P72" s="6">
        <v>85279.16</v>
      </c>
      <c r="Q72" s="2"/>
      <c r="R72" s="7">
        <f t="shared" si="35"/>
        <v>6.3093234748689775E-2</v>
      </c>
      <c r="S72" s="2"/>
      <c r="T72" s="6">
        <v>78415.5</v>
      </c>
      <c r="U72" s="2"/>
      <c r="V72" s="7">
        <f t="shared" si="36"/>
        <v>5.0452951569889097E-2</v>
      </c>
      <c r="W72" s="2"/>
      <c r="X72" s="6">
        <f t="shared" si="37"/>
        <v>6863.6600000000035</v>
      </c>
      <c r="Y72" s="2"/>
      <c r="Z72" s="7">
        <f t="shared" si="38"/>
        <v>8.7529378758026202E-2</v>
      </c>
    </row>
    <row r="73" spans="1:26" s="24" customFormat="1" hidden="1" outlineLevel="2" x14ac:dyDescent="0.3">
      <c r="A73" s="27"/>
      <c r="B73" s="11" t="str">
        <f>CONCATENATE("          ", "6004", " - ", "STAFF HOURLY")</f>
        <v xml:space="preserve">          6004 - STAFF HOURLY</v>
      </c>
      <c r="C73" s="11"/>
      <c r="D73" s="6">
        <v>4911.74</v>
      </c>
      <c r="E73" s="2"/>
      <c r="F73" s="7">
        <f t="shared" si="31"/>
        <v>0.62351903217411719</v>
      </c>
      <c r="G73" s="2"/>
      <c r="H73" s="6">
        <v>5370.49</v>
      </c>
      <c r="I73" s="2"/>
      <c r="J73" s="7">
        <f t="shared" si="32"/>
        <v>0.63003231993805831</v>
      </c>
      <c r="K73" s="2"/>
      <c r="L73" s="6">
        <f t="shared" si="33"/>
        <v>-458.75</v>
      </c>
      <c r="M73" s="2"/>
      <c r="N73" s="7">
        <f t="shared" si="34"/>
        <v>-8.5420510977583061E-2</v>
      </c>
      <c r="O73" s="11"/>
      <c r="P73" s="6">
        <v>29708.2</v>
      </c>
      <c r="Q73" s="2"/>
      <c r="R73" s="7">
        <f t="shared" si="35"/>
        <v>2.1979419550579832E-2</v>
      </c>
      <c r="S73" s="2"/>
      <c r="T73" s="6">
        <v>32682.01</v>
      </c>
      <c r="U73" s="2"/>
      <c r="V73" s="7">
        <f t="shared" si="36"/>
        <v>2.1027779810581213E-2</v>
      </c>
      <c r="W73" s="2"/>
      <c r="X73" s="6">
        <f t="shared" si="37"/>
        <v>-2973.8099999999977</v>
      </c>
      <c r="Y73" s="2"/>
      <c r="Z73" s="7">
        <f t="shared" si="38"/>
        <v>-9.0992261491872672E-2</v>
      </c>
    </row>
    <row r="74" spans="1:26" s="24" customFormat="1" hidden="1" outlineLevel="2" x14ac:dyDescent="0.3">
      <c r="A74" s="27"/>
      <c r="B74" s="11" t="str">
        <f>CONCATENATE("          ", "6005", " - ", "TEMPORARY WAGES-HOURLY")</f>
        <v xml:space="preserve">          6005 - TEMPORARY WAGES-HOURLY</v>
      </c>
      <c r="C74" s="11"/>
      <c r="D74" s="6">
        <v>2066.79</v>
      </c>
      <c r="E74" s="2"/>
      <c r="F74" s="7">
        <f t="shared" si="31"/>
        <v>0.26236789824118212</v>
      </c>
      <c r="G74" s="2"/>
      <c r="H74" s="6"/>
      <c r="I74" s="2"/>
      <c r="J74" s="7">
        <f t="shared" si="32"/>
        <v>0</v>
      </c>
      <c r="K74" s="2"/>
      <c r="L74" s="6">
        <f t="shared" si="33"/>
        <v>2066.79</v>
      </c>
      <c r="M74" s="2"/>
      <c r="N74" s="7">
        <f t="shared" si="34"/>
        <v>0</v>
      </c>
      <c r="O74" s="11"/>
      <c r="P74" s="6">
        <v>12607.65</v>
      </c>
      <c r="Q74" s="2"/>
      <c r="R74" s="7">
        <f t="shared" si="35"/>
        <v>9.327688277878424E-3</v>
      </c>
      <c r="S74" s="2"/>
      <c r="T74" s="6">
        <v>12838</v>
      </c>
      <c r="U74" s="2"/>
      <c r="V74" s="7">
        <f t="shared" si="36"/>
        <v>8.2600377763865085E-3</v>
      </c>
      <c r="W74" s="2"/>
      <c r="X74" s="6">
        <f t="shared" si="37"/>
        <v>-230.35000000000036</v>
      </c>
      <c r="Y74" s="2"/>
      <c r="Z74" s="7">
        <f t="shared" si="38"/>
        <v>-1.7942825985356004E-2</v>
      </c>
    </row>
    <row r="75" spans="1:26" s="24" customFormat="1" hidden="1" outlineLevel="2" x14ac:dyDescent="0.3">
      <c r="A75" s="27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31"/>
        <v>0</v>
      </c>
      <c r="G75" s="2"/>
      <c r="H75" s="6"/>
      <c r="I75" s="2"/>
      <c r="J75" s="7">
        <f t="shared" si="32"/>
        <v>0</v>
      </c>
      <c r="K75" s="2"/>
      <c r="L75" s="6">
        <f t="shared" si="33"/>
        <v>0</v>
      </c>
      <c r="M75" s="2"/>
      <c r="N75" s="7">
        <f t="shared" si="34"/>
        <v>0</v>
      </c>
      <c r="O75" s="11"/>
      <c r="P75" s="6"/>
      <c r="Q75" s="2"/>
      <c r="R75" s="7">
        <f t="shared" si="35"/>
        <v>0</v>
      </c>
      <c r="S75" s="2"/>
      <c r="T75" s="6">
        <v>502.29</v>
      </c>
      <c r="U75" s="2"/>
      <c r="V75" s="7">
        <f t="shared" si="36"/>
        <v>3.2317606906848259E-4</v>
      </c>
      <c r="W75" s="2"/>
      <c r="X75" s="6">
        <f t="shared" si="37"/>
        <v>-502.29</v>
      </c>
      <c r="Y75" s="2"/>
      <c r="Z75" s="7">
        <f t="shared" si="38"/>
        <v>-1</v>
      </c>
    </row>
    <row r="76" spans="1:26" s="24" customFormat="1" hidden="1" outlineLevel="2" x14ac:dyDescent="0.3">
      <c r="A76" s="27"/>
      <c r="B76" s="11" t="str">
        <f>CONCATENATE("          ", "6007", " - ", "STUDENT HOURLY")</f>
        <v xml:space="preserve">          6007 - STUDENT HOURLY</v>
      </c>
      <c r="C76" s="11"/>
      <c r="D76" s="6">
        <v>1280.8</v>
      </c>
      <c r="E76" s="2"/>
      <c r="F76" s="7">
        <f t="shared" si="31"/>
        <v>0.16259068607226959</v>
      </c>
      <c r="G76" s="2"/>
      <c r="H76" s="6">
        <v>1252.0899999999999</v>
      </c>
      <c r="I76" s="2"/>
      <c r="J76" s="7">
        <f t="shared" si="32"/>
        <v>0.14688737293454479</v>
      </c>
      <c r="K76" s="2"/>
      <c r="L76" s="6">
        <f t="shared" si="33"/>
        <v>28.710000000000036</v>
      </c>
      <c r="M76" s="2"/>
      <c r="N76" s="7">
        <f t="shared" si="34"/>
        <v>2.292966160579514E-2</v>
      </c>
      <c r="O76" s="11"/>
      <c r="P76" s="6">
        <v>17624.75</v>
      </c>
      <c r="Q76" s="2"/>
      <c r="R76" s="7">
        <f t="shared" si="35"/>
        <v>1.303955725099743E-2</v>
      </c>
      <c r="S76" s="2"/>
      <c r="T76" s="6">
        <v>13212.28</v>
      </c>
      <c r="U76" s="2"/>
      <c r="V76" s="7">
        <f t="shared" si="36"/>
        <v>8.5008515276675453E-3</v>
      </c>
      <c r="W76" s="2"/>
      <c r="X76" s="6">
        <f t="shared" si="37"/>
        <v>4412.4699999999993</v>
      </c>
      <c r="Y76" s="2"/>
      <c r="Z76" s="7">
        <f t="shared" si="38"/>
        <v>0.33396733947509433</v>
      </c>
    </row>
    <row r="77" spans="1:26" s="24" customFormat="1" hidden="1" outlineLevel="2" x14ac:dyDescent="0.3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31"/>
        <v>0</v>
      </c>
      <c r="G77" s="2"/>
      <c r="H77" s="6"/>
      <c r="I77" s="2"/>
      <c r="J77" s="7">
        <f t="shared" si="32"/>
        <v>0</v>
      </c>
      <c r="K77" s="2"/>
      <c r="L77" s="6">
        <f t="shared" si="33"/>
        <v>0</v>
      </c>
      <c r="M77" s="2"/>
      <c r="N77" s="7">
        <f t="shared" si="34"/>
        <v>0</v>
      </c>
      <c r="O77" s="11"/>
      <c r="P77" s="6">
        <v>3966.48</v>
      </c>
      <c r="Q77" s="2"/>
      <c r="R77" s="7">
        <f t="shared" si="35"/>
        <v>2.9345745638909085E-3</v>
      </c>
      <c r="S77" s="2"/>
      <c r="T77" s="6"/>
      <c r="U77" s="2"/>
      <c r="V77" s="7">
        <f t="shared" si="36"/>
        <v>0</v>
      </c>
      <c r="W77" s="2"/>
      <c r="X77" s="6">
        <f t="shared" si="37"/>
        <v>3966.48</v>
      </c>
      <c r="Y77" s="2"/>
      <c r="Z77" s="7">
        <f t="shared" si="38"/>
        <v>0</v>
      </c>
    </row>
    <row r="78" spans="1:26" s="29" customFormat="1" outlineLevel="1" collapsed="1" x14ac:dyDescent="0.3">
      <c r="A78" s="28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0.66</v>
      </c>
      <c r="E78" s="1"/>
      <c r="F78" s="5">
        <f t="shared" ref="F78:F95" si="39">IF(D$12=0,0,D78/D$12)</f>
        <v>8.3783457844860976E-5</v>
      </c>
      <c r="G78" s="1"/>
      <c r="H78" s="1">
        <f>SUM(OSRRefH22_2x_0)</f>
        <v>0</v>
      </c>
      <c r="I78" s="1"/>
      <c r="J78" s="5">
        <f t="shared" ref="J78:J95" si="40">IF(H$12=0,0,H78/H$12)</f>
        <v>0</v>
      </c>
      <c r="K78" s="1"/>
      <c r="L78" s="1">
        <f t="shared" ref="L78:L95" si="41">+D78-H78</f>
        <v>0.66</v>
      </c>
      <c r="M78" s="1"/>
      <c r="N78" s="5">
        <f t="shared" ref="N78:N95" si="42">IF(H78=0,0,L78/H78)</f>
        <v>0</v>
      </c>
      <c r="O78" s="14"/>
      <c r="P78" s="1">
        <f>SUM(OSRRefP22_2x_0)</f>
        <v>233.71</v>
      </c>
      <c r="Q78" s="1"/>
      <c r="R78" s="5">
        <f t="shared" ref="R78:R95" si="43">IF(P$12=0,0,P78/P$12)</f>
        <v>1.7290883133835145E-4</v>
      </c>
      <c r="S78" s="1"/>
      <c r="T78" s="1">
        <f>SUM(OSRRefT22_2x_0)</f>
        <v>1359.88</v>
      </c>
      <c r="U78" s="1"/>
      <c r="V78" s="5">
        <f t="shared" ref="V78:V95" si="44">IF(T$12=0,0,T78/T$12)</f>
        <v>8.7495405603306474E-4</v>
      </c>
      <c r="W78" s="1"/>
      <c r="X78" s="1">
        <f t="shared" ref="X78:X95" si="45">+P78-T78</f>
        <v>-1126.17</v>
      </c>
      <c r="Y78" s="1"/>
      <c r="Z78" s="5">
        <f t="shared" ref="Z78:Z95" si="46">IF(T78=0,0,X78/T78)</f>
        <v>-0.82813924758066892</v>
      </c>
    </row>
    <row r="79" spans="1:26" s="24" customFormat="1" hidden="1" outlineLevel="2" x14ac:dyDescent="0.3">
      <c r="A79" s="27"/>
      <c r="B79" s="11" t="str">
        <f>CONCATENATE("          ", "6362", " - ", "ADVERTISING EXPENSE")</f>
        <v xml:space="preserve">          6362 - ADVERTISING EXPENSE</v>
      </c>
      <c r="C79" s="11"/>
      <c r="D79" s="6">
        <v>0.66</v>
      </c>
      <c r="E79" s="2"/>
      <c r="F79" s="7">
        <f t="shared" si="39"/>
        <v>8.3783457844860976E-5</v>
      </c>
      <c r="G79" s="2"/>
      <c r="H79" s="6"/>
      <c r="I79" s="2"/>
      <c r="J79" s="7">
        <f t="shared" si="40"/>
        <v>0</v>
      </c>
      <c r="K79" s="2"/>
      <c r="L79" s="6">
        <f t="shared" si="41"/>
        <v>0.66</v>
      </c>
      <c r="M79" s="2"/>
      <c r="N79" s="7">
        <f t="shared" si="42"/>
        <v>0</v>
      </c>
      <c r="O79" s="11"/>
      <c r="P79" s="6">
        <v>233.71</v>
      </c>
      <c r="Q79" s="2"/>
      <c r="R79" s="7">
        <f t="shared" si="43"/>
        <v>1.7290883133835145E-4</v>
      </c>
      <c r="S79" s="2"/>
      <c r="T79" s="6">
        <v>1359.88</v>
      </c>
      <c r="U79" s="2"/>
      <c r="V79" s="7">
        <f t="shared" si="44"/>
        <v>8.7495405603306474E-4</v>
      </c>
      <c r="W79" s="2"/>
      <c r="X79" s="6">
        <f t="shared" si="45"/>
        <v>-1126.17</v>
      </c>
      <c r="Y79" s="2"/>
      <c r="Z79" s="7">
        <f t="shared" si="46"/>
        <v>-0.82813924758066892</v>
      </c>
    </row>
    <row r="80" spans="1:26" s="29" customFormat="1" outlineLevel="1" collapsed="1" x14ac:dyDescent="0.3">
      <c r="A80" s="28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0</v>
      </c>
      <c r="E80" s="1"/>
      <c r="F80" s="5">
        <f t="shared" si="39"/>
        <v>0</v>
      </c>
      <c r="G80" s="1"/>
      <c r="H80" s="1">
        <f>SUM(OSRRefH22_3x_0)</f>
        <v>0</v>
      </c>
      <c r="I80" s="1"/>
      <c r="J80" s="5">
        <f t="shared" si="40"/>
        <v>0</v>
      </c>
      <c r="K80" s="1"/>
      <c r="L80" s="1">
        <f t="shared" si="41"/>
        <v>0</v>
      </c>
      <c r="M80" s="1"/>
      <c r="N80" s="5">
        <f t="shared" si="42"/>
        <v>0</v>
      </c>
      <c r="O80" s="14"/>
      <c r="P80" s="1">
        <f>SUM(OSRRefP22_3x_0)</f>
        <v>0</v>
      </c>
      <c r="Q80" s="1"/>
      <c r="R80" s="5">
        <f t="shared" si="43"/>
        <v>0</v>
      </c>
      <c r="S80" s="1"/>
      <c r="T80" s="1">
        <f>SUM(OSRRefT22_3x_0)</f>
        <v>0</v>
      </c>
      <c r="U80" s="1"/>
      <c r="V80" s="5">
        <f t="shared" si="44"/>
        <v>0</v>
      </c>
      <c r="W80" s="1"/>
      <c r="X80" s="1">
        <f t="shared" si="45"/>
        <v>0</v>
      </c>
      <c r="Y80" s="1"/>
      <c r="Z80" s="5">
        <f t="shared" si="46"/>
        <v>0</v>
      </c>
    </row>
    <row r="81" spans="1:26" s="24" customFormat="1" hidden="1" outlineLevel="2" x14ac:dyDescent="0.3">
      <c r="A81" s="27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9"/>
        <v>0</v>
      </c>
      <c r="G81" s="2"/>
      <c r="H81" s="6">
        <v>0</v>
      </c>
      <c r="I81" s="2"/>
      <c r="J81" s="7">
        <f t="shared" si="40"/>
        <v>0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/>
      <c r="Q81" s="2"/>
      <c r="R81" s="7">
        <f t="shared" si="43"/>
        <v>0</v>
      </c>
      <c r="S81" s="2"/>
      <c r="T81" s="6">
        <v>0</v>
      </c>
      <c r="U81" s="2"/>
      <c r="V81" s="7">
        <f t="shared" si="44"/>
        <v>0</v>
      </c>
      <c r="W81" s="2"/>
      <c r="X81" s="6">
        <f t="shared" si="45"/>
        <v>0</v>
      </c>
      <c r="Y81" s="2"/>
      <c r="Z81" s="7">
        <f t="shared" si="46"/>
        <v>0</v>
      </c>
    </row>
    <row r="82" spans="1:26" s="29" customFormat="1" outlineLevel="1" collapsed="1" x14ac:dyDescent="0.3">
      <c r="A82" s="28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si="39"/>
        <v>0</v>
      </c>
      <c r="G82" s="1"/>
      <c r="H82" s="1">
        <f>SUM(OSRRefH22_4x_0)</f>
        <v>0</v>
      </c>
      <c r="I82" s="1"/>
      <c r="J82" s="5">
        <f t="shared" si="40"/>
        <v>0</v>
      </c>
      <c r="K82" s="1"/>
      <c r="L82" s="1">
        <f t="shared" si="41"/>
        <v>0</v>
      </c>
      <c r="M82" s="1"/>
      <c r="N82" s="5">
        <f t="shared" si="42"/>
        <v>0</v>
      </c>
      <c r="O82" s="14"/>
      <c r="P82" s="1">
        <f>SUM(OSRRefP22_4x_0)</f>
        <v>0</v>
      </c>
      <c r="Q82" s="1"/>
      <c r="R82" s="5">
        <f t="shared" si="43"/>
        <v>0</v>
      </c>
      <c r="S82" s="1"/>
      <c r="T82" s="1">
        <f>SUM(OSRRefT22_4x_0)</f>
        <v>107.7</v>
      </c>
      <c r="U82" s="1"/>
      <c r="V82" s="5">
        <f t="shared" si="44"/>
        <v>6.929475529808592E-5</v>
      </c>
      <c r="W82" s="1"/>
      <c r="X82" s="1">
        <f t="shared" si="45"/>
        <v>-107.7</v>
      </c>
      <c r="Y82" s="1"/>
      <c r="Z82" s="5">
        <f t="shared" si="46"/>
        <v>-1</v>
      </c>
    </row>
    <row r="83" spans="1:26" s="24" customFormat="1" hidden="1" outlineLevel="2" x14ac:dyDescent="0.3">
      <c r="A83" s="27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/>
      <c r="Q83" s="2"/>
      <c r="R83" s="7">
        <f t="shared" si="43"/>
        <v>0</v>
      </c>
      <c r="S83" s="2"/>
      <c r="T83" s="6">
        <v>107.7</v>
      </c>
      <c r="U83" s="2"/>
      <c r="V83" s="7">
        <f t="shared" si="44"/>
        <v>6.929475529808592E-5</v>
      </c>
      <c r="W83" s="2"/>
      <c r="X83" s="6">
        <f t="shared" si="45"/>
        <v>-107.7</v>
      </c>
      <c r="Y83" s="2"/>
      <c r="Z83" s="7">
        <f t="shared" si="46"/>
        <v>-1</v>
      </c>
    </row>
    <row r="84" spans="1:26" s="29" customFormat="1" outlineLevel="1" collapsed="1" x14ac:dyDescent="0.3">
      <c r="A84" s="28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9"/>
        <v>1.1584967216548503E-2</v>
      </c>
      <c r="G84" s="1"/>
      <c r="H84" s="1">
        <f>SUM(OSRRefH22_5x_0)</f>
        <v>91.26</v>
      </c>
      <c r="I84" s="1"/>
      <c r="J84" s="5">
        <f t="shared" si="40"/>
        <v>1.0706052802918767E-2</v>
      </c>
      <c r="K84" s="1"/>
      <c r="L84" s="1">
        <f t="shared" si="41"/>
        <v>0</v>
      </c>
      <c r="M84" s="1"/>
      <c r="N84" s="5">
        <f t="shared" si="42"/>
        <v>0</v>
      </c>
      <c r="O84" s="14"/>
      <c r="P84" s="1">
        <f>SUM(OSRRefP22_5x_0)</f>
        <v>456.3</v>
      </c>
      <c r="Q84" s="1"/>
      <c r="R84" s="5">
        <f t="shared" si="43"/>
        <v>3.375906026258601E-4</v>
      </c>
      <c r="S84" s="1"/>
      <c r="T84" s="1">
        <f>SUM(OSRRefT22_5x_0)</f>
        <v>547.55999999999995</v>
      </c>
      <c r="U84" s="1"/>
      <c r="V84" s="5">
        <f t="shared" si="44"/>
        <v>3.5230302888597883E-4</v>
      </c>
      <c r="W84" s="1"/>
      <c r="X84" s="1">
        <f t="shared" si="45"/>
        <v>-91.259999999999934</v>
      </c>
      <c r="Y84" s="1"/>
      <c r="Z84" s="5">
        <f t="shared" si="46"/>
        <v>-0.16666666666666657</v>
      </c>
    </row>
    <row r="85" spans="1:26" s="24" customFormat="1" hidden="1" outlineLevel="2" x14ac:dyDescent="0.3">
      <c r="A85" s="27"/>
      <c r="B85" s="11" t="str">
        <f>CONCATENATE("          ", "6351", " - ", "EQUIPMENT RENTAL")</f>
        <v xml:space="preserve">          6351 - EQUIPMENT RENTAL</v>
      </c>
      <c r="C85" s="11"/>
      <c r="D85" s="6">
        <v>91.26</v>
      </c>
      <c r="E85" s="2"/>
      <c r="F85" s="7">
        <f t="shared" si="39"/>
        <v>1.1584967216548503E-2</v>
      </c>
      <c r="G85" s="2"/>
      <c r="H85" s="6">
        <v>91.26</v>
      </c>
      <c r="I85" s="2"/>
      <c r="J85" s="7">
        <f t="shared" si="40"/>
        <v>1.0706052802918767E-2</v>
      </c>
      <c r="K85" s="2"/>
      <c r="L85" s="6">
        <f t="shared" si="41"/>
        <v>0</v>
      </c>
      <c r="M85" s="2"/>
      <c r="N85" s="7">
        <f t="shared" si="42"/>
        <v>0</v>
      </c>
      <c r="O85" s="11"/>
      <c r="P85" s="6">
        <v>456.3</v>
      </c>
      <c r="Q85" s="2"/>
      <c r="R85" s="7">
        <f t="shared" si="43"/>
        <v>3.375906026258601E-4</v>
      </c>
      <c r="S85" s="2"/>
      <c r="T85" s="6">
        <v>547.55999999999995</v>
      </c>
      <c r="U85" s="2"/>
      <c r="V85" s="7">
        <f t="shared" si="44"/>
        <v>3.5230302888597883E-4</v>
      </c>
      <c r="W85" s="2"/>
      <c r="X85" s="6">
        <f t="shared" si="45"/>
        <v>-91.259999999999934</v>
      </c>
      <c r="Y85" s="2"/>
      <c r="Z85" s="7">
        <f t="shared" si="46"/>
        <v>-0.16666666666666657</v>
      </c>
    </row>
    <row r="86" spans="1:26" s="29" customFormat="1" outlineLevel="1" collapsed="1" x14ac:dyDescent="0.3">
      <c r="A86" s="28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2119.1</v>
      </c>
      <c r="E86" s="1"/>
      <c r="F86" s="5">
        <f t="shared" si="39"/>
        <v>0.26900837199855282</v>
      </c>
      <c r="G86" s="1"/>
      <c r="H86" s="1">
        <f>SUM(OSRRefH22_6x_0)</f>
        <v>4164.83</v>
      </c>
      <c r="I86" s="1"/>
      <c r="J86" s="5">
        <f t="shared" si="40"/>
        <v>0.48859182440477938</v>
      </c>
      <c r="K86" s="1"/>
      <c r="L86" s="1">
        <f t="shared" si="41"/>
        <v>-2045.73</v>
      </c>
      <c r="M86" s="1"/>
      <c r="N86" s="5">
        <f t="shared" si="42"/>
        <v>-0.49119171730898981</v>
      </c>
      <c r="O86" s="14"/>
      <c r="P86" s="1">
        <f>SUM(OSRRefP22_6x_0)</f>
        <v>2512.85</v>
      </c>
      <c r="Q86" s="1"/>
      <c r="R86" s="5">
        <f t="shared" si="43"/>
        <v>1.859115813737437E-3</v>
      </c>
      <c r="S86" s="1"/>
      <c r="T86" s="1">
        <f>SUM(OSRRefT22_6x_0)</f>
        <v>4730.83</v>
      </c>
      <c r="U86" s="1"/>
      <c r="V86" s="5">
        <f t="shared" si="44"/>
        <v>3.0438412925426536E-3</v>
      </c>
      <c r="W86" s="1"/>
      <c r="X86" s="1">
        <f t="shared" si="45"/>
        <v>-2217.98</v>
      </c>
      <c r="Y86" s="1"/>
      <c r="Z86" s="5">
        <f t="shared" si="46"/>
        <v>-0.4688352783760989</v>
      </c>
    </row>
    <row r="87" spans="1:26" s="24" customFormat="1" hidden="1" outlineLevel="2" x14ac:dyDescent="0.3">
      <c r="A87" s="27"/>
      <c r="B87" s="11" t="str">
        <f>CONCATENATE("          ", "6305", " - ", "FREIGHT OUT")</f>
        <v xml:space="preserve">          6305 - FREIGHT OUT</v>
      </c>
      <c r="C87" s="11"/>
      <c r="D87" s="6">
        <v>2119.1</v>
      </c>
      <c r="E87" s="2"/>
      <c r="F87" s="7">
        <f t="shared" si="39"/>
        <v>0.26900837199855282</v>
      </c>
      <c r="G87" s="2"/>
      <c r="H87" s="6">
        <v>4164.83</v>
      </c>
      <c r="I87" s="2"/>
      <c r="J87" s="7">
        <f t="shared" si="40"/>
        <v>0.48859182440477938</v>
      </c>
      <c r="K87" s="2"/>
      <c r="L87" s="6">
        <f t="shared" si="41"/>
        <v>-2045.73</v>
      </c>
      <c r="M87" s="2"/>
      <c r="N87" s="7">
        <f t="shared" si="42"/>
        <v>-0.49119171730898981</v>
      </c>
      <c r="O87" s="11"/>
      <c r="P87" s="6">
        <v>2512.85</v>
      </c>
      <c r="Q87" s="2"/>
      <c r="R87" s="7">
        <f t="shared" si="43"/>
        <v>1.859115813737437E-3</v>
      </c>
      <c r="S87" s="2"/>
      <c r="T87" s="6">
        <v>4730.83</v>
      </c>
      <c r="U87" s="2"/>
      <c r="V87" s="7">
        <f t="shared" si="44"/>
        <v>3.0438412925426536E-3</v>
      </c>
      <c r="W87" s="2"/>
      <c r="X87" s="6">
        <f t="shared" si="45"/>
        <v>-2217.98</v>
      </c>
      <c r="Y87" s="2"/>
      <c r="Z87" s="7">
        <f t="shared" si="46"/>
        <v>-0.4688352783760989</v>
      </c>
    </row>
    <row r="88" spans="1:26" s="29" customFormat="1" outlineLevel="1" collapsed="1" x14ac:dyDescent="0.3">
      <c r="A88" s="28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0</v>
      </c>
      <c r="E88" s="1"/>
      <c r="F88" s="5">
        <f t="shared" si="39"/>
        <v>0</v>
      </c>
      <c r="G88" s="1"/>
      <c r="H88" s="1">
        <f>SUM(OSRRefH22_7x_0)</f>
        <v>3792.73</v>
      </c>
      <c r="I88" s="1"/>
      <c r="J88" s="5">
        <f t="shared" si="40"/>
        <v>0.44493937811981255</v>
      </c>
      <c r="K88" s="1"/>
      <c r="L88" s="1">
        <f t="shared" si="41"/>
        <v>-3792.73</v>
      </c>
      <c r="M88" s="1"/>
      <c r="N88" s="5">
        <f t="shared" si="42"/>
        <v>-1</v>
      </c>
      <c r="O88" s="14"/>
      <c r="P88" s="1">
        <f>SUM(OSRRefP22_7x_0)</f>
        <v>0</v>
      </c>
      <c r="Q88" s="1"/>
      <c r="R88" s="5">
        <f t="shared" si="43"/>
        <v>0</v>
      </c>
      <c r="S88" s="1"/>
      <c r="T88" s="1">
        <f>SUM(OSRRefT22_7x_0)</f>
        <v>-1041.46</v>
      </c>
      <c r="U88" s="1"/>
      <c r="V88" s="5">
        <f t="shared" si="44"/>
        <v>-6.7008092713783242E-4</v>
      </c>
      <c r="W88" s="1"/>
      <c r="X88" s="1">
        <f t="shared" si="45"/>
        <v>1041.46</v>
      </c>
      <c r="Y88" s="1"/>
      <c r="Z88" s="5">
        <f t="shared" si="46"/>
        <v>-1</v>
      </c>
    </row>
    <row r="89" spans="1:26" s="24" customFormat="1" hidden="1" outlineLevel="2" x14ac:dyDescent="0.3">
      <c r="A89" s="27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39"/>
        <v>0</v>
      </c>
      <c r="G89" s="2"/>
      <c r="H89" s="6">
        <v>3792.73</v>
      </c>
      <c r="I89" s="2"/>
      <c r="J89" s="7">
        <f t="shared" si="40"/>
        <v>0.44493937811981255</v>
      </c>
      <c r="K89" s="2"/>
      <c r="L89" s="6">
        <f t="shared" si="41"/>
        <v>-3792.73</v>
      </c>
      <c r="M89" s="2"/>
      <c r="N89" s="7">
        <f t="shared" si="42"/>
        <v>-1</v>
      </c>
      <c r="O89" s="11"/>
      <c r="P89" s="6"/>
      <c r="Q89" s="2"/>
      <c r="R89" s="7">
        <f t="shared" si="43"/>
        <v>0</v>
      </c>
      <c r="S89" s="2"/>
      <c r="T89" s="6">
        <v>-1041.46</v>
      </c>
      <c r="U89" s="2"/>
      <c r="V89" s="7">
        <f t="shared" si="44"/>
        <v>-6.7008092713783242E-4</v>
      </c>
      <c r="W89" s="2"/>
      <c r="X89" s="6">
        <f t="shared" si="45"/>
        <v>1041.46</v>
      </c>
      <c r="Y89" s="2"/>
      <c r="Z89" s="7">
        <f t="shared" si="46"/>
        <v>-1</v>
      </c>
    </row>
    <row r="90" spans="1:26" s="29" customFormat="1" outlineLevel="1" collapsed="1" x14ac:dyDescent="0.3">
      <c r="A90" s="28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si="39"/>
        <v>0.1269446330982742</v>
      </c>
      <c r="G90" s="1"/>
      <c r="H90" s="1">
        <f>SUM(OSRRefH22_8x_0)</f>
        <v>1000</v>
      </c>
      <c r="I90" s="1"/>
      <c r="J90" s="5">
        <f t="shared" si="40"/>
        <v>0.11731374975804039</v>
      </c>
      <c r="K90" s="1"/>
      <c r="L90" s="1">
        <f t="shared" si="41"/>
        <v>0</v>
      </c>
      <c r="M90" s="1"/>
      <c r="N90" s="5">
        <f t="shared" si="42"/>
        <v>0</v>
      </c>
      <c r="O90" s="14"/>
      <c r="P90" s="1">
        <f>SUM(OSRRefP22_8x_0)</f>
        <v>5000</v>
      </c>
      <c r="Q90" s="1"/>
      <c r="R90" s="5">
        <f t="shared" si="43"/>
        <v>3.6992176487602463E-3</v>
      </c>
      <c r="S90" s="1"/>
      <c r="T90" s="1">
        <f>SUM(OSRRefT22_8x_0)</f>
        <v>5000</v>
      </c>
      <c r="U90" s="1"/>
      <c r="V90" s="5">
        <f t="shared" si="44"/>
        <v>3.2170267083605343E-3</v>
      </c>
      <c r="W90" s="1"/>
      <c r="X90" s="1">
        <f t="shared" si="45"/>
        <v>0</v>
      </c>
      <c r="Y90" s="1"/>
      <c r="Z90" s="5">
        <f t="shared" si="46"/>
        <v>0</v>
      </c>
    </row>
    <row r="91" spans="1:26" s="24" customFormat="1" hidden="1" outlineLevel="2" x14ac:dyDescent="0.3">
      <c r="A91" s="27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39"/>
        <v>0.1269446330982742</v>
      </c>
      <c r="G91" s="2"/>
      <c r="H91" s="6">
        <v>1000</v>
      </c>
      <c r="I91" s="2"/>
      <c r="J91" s="7">
        <f t="shared" si="40"/>
        <v>0.11731374975804039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>
        <v>5000</v>
      </c>
      <c r="Q91" s="2"/>
      <c r="R91" s="7">
        <f t="shared" si="43"/>
        <v>3.6992176487602463E-3</v>
      </c>
      <c r="S91" s="2"/>
      <c r="T91" s="6">
        <v>5000</v>
      </c>
      <c r="U91" s="2"/>
      <c r="V91" s="7">
        <f t="shared" si="44"/>
        <v>3.2170267083605343E-3</v>
      </c>
      <c r="W91" s="2"/>
      <c r="X91" s="6">
        <f t="shared" si="45"/>
        <v>0</v>
      </c>
      <c r="Y91" s="2"/>
      <c r="Z91" s="7">
        <f t="shared" si="46"/>
        <v>0</v>
      </c>
    </row>
    <row r="92" spans="1:26" s="29" customFormat="1" outlineLevel="1" collapsed="1" x14ac:dyDescent="0.3">
      <c r="A92" s="28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21</v>
      </c>
      <c r="E92" s="1"/>
      <c r="F92" s="5">
        <f t="shared" si="39"/>
        <v>2.665837295063758E-3</v>
      </c>
      <c r="G92" s="1"/>
      <c r="H92" s="1">
        <f>SUM(OSRRefH22_9x_0)</f>
        <v>22.16</v>
      </c>
      <c r="I92" s="1"/>
      <c r="J92" s="5">
        <f t="shared" si="40"/>
        <v>2.599672694638175E-3</v>
      </c>
      <c r="K92" s="1"/>
      <c r="L92" s="1">
        <f t="shared" si="41"/>
        <v>-1.1600000000000001</v>
      </c>
      <c r="M92" s="1"/>
      <c r="N92" s="5">
        <f t="shared" si="42"/>
        <v>-5.2346570397111922E-2</v>
      </c>
      <c r="O92" s="14"/>
      <c r="P92" s="1">
        <f>SUM(OSRRefP22_9x_0)</f>
        <v>5854.44</v>
      </c>
      <c r="Q92" s="1"/>
      <c r="R92" s="5">
        <f t="shared" si="43"/>
        <v>4.3313695543215867E-3</v>
      </c>
      <c r="S92" s="1"/>
      <c r="T92" s="1">
        <f>SUM(OSRRefT22_9x_0)</f>
        <v>133.63</v>
      </c>
      <c r="U92" s="1"/>
      <c r="V92" s="5">
        <f t="shared" si="44"/>
        <v>8.5978255807643645E-5</v>
      </c>
      <c r="W92" s="1"/>
      <c r="X92" s="1">
        <f t="shared" si="45"/>
        <v>5720.8099999999995</v>
      </c>
      <c r="Y92" s="1"/>
      <c r="Z92" s="5">
        <f t="shared" si="46"/>
        <v>42.810820923445334</v>
      </c>
    </row>
    <row r="93" spans="1:26" s="24" customFormat="1" hidden="1" outlineLevel="2" x14ac:dyDescent="0.3">
      <c r="A93" s="27"/>
      <c r="B93" s="11" t="str">
        <f>CONCATENATE("          ", "6371", " - ", "COMPUTER SOFTWARE MAINTENANCE")</f>
        <v xml:space="preserve">          6371 - COMPUTER SOFTWARE MAINTENANCE</v>
      </c>
      <c r="C93" s="11"/>
      <c r="D93" s="6"/>
      <c r="E93" s="2"/>
      <c r="F93" s="7">
        <f t="shared" si="39"/>
        <v>0</v>
      </c>
      <c r="G93" s="2"/>
      <c r="H93" s="6"/>
      <c r="I93" s="2"/>
      <c r="J93" s="7">
        <f t="shared" si="40"/>
        <v>0</v>
      </c>
      <c r="K93" s="2"/>
      <c r="L93" s="6">
        <f t="shared" si="41"/>
        <v>0</v>
      </c>
      <c r="M93" s="2"/>
      <c r="N93" s="7">
        <f t="shared" si="42"/>
        <v>0</v>
      </c>
      <c r="O93" s="11"/>
      <c r="P93" s="6">
        <v>5775</v>
      </c>
      <c r="Q93" s="2"/>
      <c r="R93" s="7">
        <f t="shared" si="43"/>
        <v>4.2725963843180843E-3</v>
      </c>
      <c r="S93" s="2"/>
      <c r="T93" s="6"/>
      <c r="U93" s="2"/>
      <c r="V93" s="7">
        <f t="shared" si="44"/>
        <v>0</v>
      </c>
      <c r="W93" s="2"/>
      <c r="X93" s="6">
        <f t="shared" si="45"/>
        <v>5775</v>
      </c>
      <c r="Y93" s="2"/>
      <c r="Z93" s="7">
        <f t="shared" si="46"/>
        <v>0</v>
      </c>
    </row>
    <row r="94" spans="1:26" s="24" customFormat="1" hidden="1" outlineLevel="2" x14ac:dyDescent="0.3">
      <c r="A94" s="27"/>
      <c r="B94" s="11" t="str">
        <f>CONCATENATE("          ", "6373", " - ", "MAINTENANCE CONTRACTS")</f>
        <v xml:space="preserve">          6373 - MAINTENANCE CONTRACTS</v>
      </c>
      <c r="C94" s="11"/>
      <c r="D94" s="6">
        <v>21</v>
      </c>
      <c r="E94" s="2"/>
      <c r="F94" s="7">
        <f t="shared" si="39"/>
        <v>2.665837295063758E-3</v>
      </c>
      <c r="G94" s="2"/>
      <c r="H94" s="6">
        <v>22.16</v>
      </c>
      <c r="I94" s="2"/>
      <c r="J94" s="7">
        <f t="shared" si="40"/>
        <v>2.599672694638175E-3</v>
      </c>
      <c r="K94" s="2"/>
      <c r="L94" s="6">
        <f t="shared" si="41"/>
        <v>-1.1600000000000001</v>
      </c>
      <c r="M94" s="2"/>
      <c r="N94" s="7">
        <f t="shared" si="42"/>
        <v>-5.2346570397111922E-2</v>
      </c>
      <c r="O94" s="11"/>
      <c r="P94" s="6">
        <v>79.44</v>
      </c>
      <c r="Q94" s="2"/>
      <c r="R94" s="7">
        <f t="shared" si="43"/>
        <v>5.8773170003502793E-5</v>
      </c>
      <c r="S94" s="2"/>
      <c r="T94" s="6">
        <v>108.52</v>
      </c>
      <c r="U94" s="2"/>
      <c r="V94" s="7">
        <f t="shared" si="44"/>
        <v>6.9822347678257031E-5</v>
      </c>
      <c r="W94" s="2"/>
      <c r="X94" s="6">
        <f t="shared" si="45"/>
        <v>-29.08</v>
      </c>
      <c r="Y94" s="2"/>
      <c r="Z94" s="7">
        <f t="shared" si="46"/>
        <v>-0.26796903796535199</v>
      </c>
    </row>
    <row r="95" spans="1:26" s="24" customFormat="1" hidden="1" outlineLevel="2" x14ac:dyDescent="0.3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39"/>
        <v>0</v>
      </c>
      <c r="G95" s="2"/>
      <c r="H95" s="6"/>
      <c r="I95" s="2"/>
      <c r="J95" s="7">
        <f t="shared" si="40"/>
        <v>0</v>
      </c>
      <c r="K95" s="2"/>
      <c r="L95" s="6">
        <f t="shared" si="41"/>
        <v>0</v>
      </c>
      <c r="M95" s="2"/>
      <c r="N95" s="7">
        <f t="shared" si="42"/>
        <v>0</v>
      </c>
      <c r="O95" s="11"/>
      <c r="P95" s="6"/>
      <c r="Q95" s="2"/>
      <c r="R95" s="7">
        <f t="shared" si="43"/>
        <v>0</v>
      </c>
      <c r="S95" s="2"/>
      <c r="T95" s="6">
        <v>25.11</v>
      </c>
      <c r="U95" s="2"/>
      <c r="V95" s="7">
        <f t="shared" si="44"/>
        <v>1.6155908129386604E-5</v>
      </c>
      <c r="W95" s="2"/>
      <c r="X95" s="6">
        <f t="shared" si="45"/>
        <v>-25.11</v>
      </c>
      <c r="Y95" s="2"/>
      <c r="Z95" s="7">
        <f t="shared" si="46"/>
        <v>-1</v>
      </c>
    </row>
    <row r="96" spans="1:26" s="29" customFormat="1" outlineLevel="1" collapsed="1" x14ac:dyDescent="0.3">
      <c r="A96" s="28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148.66</v>
      </c>
      <c r="E96" s="1"/>
      <c r="F96" s="5">
        <f t="shared" ref="F96:F100" si="47">IF(D$12=0,0,D96/D$12)</f>
        <v>1.8871589156389441E-2</v>
      </c>
      <c r="G96" s="1"/>
      <c r="H96" s="1">
        <f>SUM(OSRRefH22_10x_0)</f>
        <v>166.92</v>
      </c>
      <c r="I96" s="1"/>
      <c r="J96" s="5">
        <f t="shared" ref="J96:J100" si="48">IF(H$12=0,0,H96/H$12)</f>
        <v>1.9582011109612101E-2</v>
      </c>
      <c r="K96" s="1"/>
      <c r="L96" s="1">
        <f t="shared" ref="L96:L100" si="49">+D96-H96</f>
        <v>-18.259999999999991</v>
      </c>
      <c r="M96" s="1"/>
      <c r="N96" s="5">
        <f t="shared" ref="N96:N100" si="50">IF(H96=0,0,L96/H96)</f>
        <v>-0.1093937215432542</v>
      </c>
      <c r="O96" s="14"/>
      <c r="P96" s="1">
        <f>SUM(OSRRefP22_10x_0)</f>
        <v>1225.5</v>
      </c>
      <c r="Q96" s="1"/>
      <c r="R96" s="5">
        <f t="shared" ref="R96:R100" si="51">IF(P$12=0,0,P96/P$12)</f>
        <v>9.066782457111364E-4</v>
      </c>
      <c r="S96" s="1"/>
      <c r="T96" s="1">
        <f>SUM(OSRRefT22_10x_0)</f>
        <v>1590.28</v>
      </c>
      <c r="U96" s="1"/>
      <c r="V96" s="5">
        <f t="shared" ref="V96:V100" si="52">IF(T$12=0,0,T96/T$12)</f>
        <v>1.0231946467543181E-3</v>
      </c>
      <c r="W96" s="1"/>
      <c r="X96" s="1">
        <f t="shared" ref="X96:X100" si="53">+P96-T96</f>
        <v>-364.78</v>
      </c>
      <c r="Y96" s="1"/>
      <c r="Z96" s="5">
        <f t="shared" ref="Z96:Z100" si="54">IF(T96=0,0,X96/T96)</f>
        <v>-0.22938098951128102</v>
      </c>
    </row>
    <row r="97" spans="1:26" s="24" customFormat="1" hidden="1" outlineLevel="2" x14ac:dyDescent="0.3">
      <c r="A97" s="27"/>
      <c r="B97" s="11" t="str">
        <f>CONCATENATE("          ", "6258", " - ", "MEMBERSHIP DUES")</f>
        <v xml:space="preserve">          6258 - MEMBERSHIP DUES</v>
      </c>
      <c r="C97" s="11"/>
      <c r="D97" s="6">
        <v>148.66</v>
      </c>
      <c r="E97" s="2"/>
      <c r="F97" s="7">
        <f t="shared" si="47"/>
        <v>1.8871589156389441E-2</v>
      </c>
      <c r="G97" s="2"/>
      <c r="H97" s="6">
        <v>166.92</v>
      </c>
      <c r="I97" s="2"/>
      <c r="J97" s="7">
        <f t="shared" si="48"/>
        <v>1.9582011109612101E-2</v>
      </c>
      <c r="K97" s="2"/>
      <c r="L97" s="6">
        <f t="shared" si="49"/>
        <v>-18.259999999999991</v>
      </c>
      <c r="M97" s="2"/>
      <c r="N97" s="7">
        <f t="shared" si="50"/>
        <v>-0.1093937215432542</v>
      </c>
      <c r="O97" s="11"/>
      <c r="P97" s="6">
        <v>1225.5</v>
      </c>
      <c r="Q97" s="2"/>
      <c r="R97" s="7">
        <f t="shared" si="51"/>
        <v>9.066782457111364E-4</v>
      </c>
      <c r="S97" s="2"/>
      <c r="T97" s="6">
        <v>1590.28</v>
      </c>
      <c r="U97" s="2"/>
      <c r="V97" s="7">
        <f t="shared" si="52"/>
        <v>1.0231946467543181E-3</v>
      </c>
      <c r="W97" s="2"/>
      <c r="X97" s="6">
        <f t="shared" si="53"/>
        <v>-364.78</v>
      </c>
      <c r="Y97" s="2"/>
      <c r="Z97" s="7">
        <f t="shared" si="54"/>
        <v>-0.22938098951128102</v>
      </c>
    </row>
    <row r="98" spans="1:26" s="29" customFormat="1" outlineLevel="1" collapsed="1" x14ac:dyDescent="0.3">
      <c r="A98" s="28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SUM(OSRRefD22_11x_0)</f>
        <v>207.4</v>
      </c>
      <c r="E98" s="1"/>
      <c r="F98" s="5">
        <f t="shared" si="47"/>
        <v>2.6328316904582066E-2</v>
      </c>
      <c r="G98" s="1"/>
      <c r="H98" s="1">
        <f>SUM(OSRRefH22_11x_0)</f>
        <v>311.44</v>
      </c>
      <c r="I98" s="1"/>
      <c r="J98" s="5">
        <f t="shared" si="48"/>
        <v>3.6536194224644103E-2</v>
      </c>
      <c r="K98" s="1"/>
      <c r="L98" s="1">
        <f t="shared" si="49"/>
        <v>-104.03999999999999</v>
      </c>
      <c r="M98" s="1"/>
      <c r="N98" s="5">
        <f t="shared" si="50"/>
        <v>-0.33406113537117904</v>
      </c>
      <c r="O98" s="14"/>
      <c r="P98" s="1">
        <f>SUM(OSRRefP22_11x_0)</f>
        <v>944.33</v>
      </c>
      <c r="Q98" s="1"/>
      <c r="R98" s="5">
        <f t="shared" si="51"/>
        <v>6.9865644045075267E-4</v>
      </c>
      <c r="S98" s="1"/>
      <c r="T98" s="1">
        <f>SUM(OSRRefT22_11x_0)</f>
        <v>1546.69</v>
      </c>
      <c r="U98" s="1"/>
      <c r="V98" s="5">
        <f t="shared" si="52"/>
        <v>9.95148607910831E-4</v>
      </c>
      <c r="W98" s="1"/>
      <c r="X98" s="1">
        <f t="shared" si="53"/>
        <v>-602.36</v>
      </c>
      <c r="Y98" s="1"/>
      <c r="Z98" s="5">
        <f t="shared" si="54"/>
        <v>-0.38945102121304204</v>
      </c>
    </row>
    <row r="99" spans="1:26" s="24" customFormat="1" hidden="1" outlineLevel="2" x14ac:dyDescent="0.3">
      <c r="A99" s="27"/>
      <c r="B99" s="11" t="str">
        <f>CONCATENATE("          ", "6241", " - ", "OFFICE EXPENSE")</f>
        <v xml:space="preserve">          6241 - OFFICE EXPENSE</v>
      </c>
      <c r="C99" s="11"/>
      <c r="D99" s="6">
        <v>207.4</v>
      </c>
      <c r="E99" s="2"/>
      <c r="F99" s="7">
        <f t="shared" si="47"/>
        <v>2.6328316904582066E-2</v>
      </c>
      <c r="G99" s="2"/>
      <c r="H99" s="6">
        <v>311.44</v>
      </c>
      <c r="I99" s="2"/>
      <c r="J99" s="7">
        <f t="shared" si="48"/>
        <v>3.6536194224644103E-2</v>
      </c>
      <c r="K99" s="2"/>
      <c r="L99" s="6">
        <f t="shared" si="49"/>
        <v>-104.03999999999999</v>
      </c>
      <c r="M99" s="2"/>
      <c r="N99" s="7">
        <f t="shared" si="50"/>
        <v>-0.33406113537117904</v>
      </c>
      <c r="O99" s="11"/>
      <c r="P99" s="6">
        <v>944.33</v>
      </c>
      <c r="Q99" s="2"/>
      <c r="R99" s="7">
        <f t="shared" si="51"/>
        <v>6.9865644045075267E-4</v>
      </c>
      <c r="S99" s="2"/>
      <c r="T99" s="6">
        <v>913.59</v>
      </c>
      <c r="U99" s="2"/>
      <c r="V99" s="7">
        <f t="shared" si="52"/>
        <v>5.8780868609822011E-4</v>
      </c>
      <c r="W99" s="2"/>
      <c r="X99" s="6">
        <f t="shared" si="53"/>
        <v>30.740000000000009</v>
      </c>
      <c r="Y99" s="2"/>
      <c r="Z99" s="7">
        <f t="shared" si="54"/>
        <v>3.3647478628268709E-2</v>
      </c>
    </row>
    <row r="100" spans="1:26" s="24" customFormat="1" hidden="1" outlineLevel="2" x14ac:dyDescent="0.3">
      <c r="A100" s="27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47"/>
        <v>0</v>
      </c>
      <c r="G100" s="2"/>
      <c r="H100" s="6"/>
      <c r="I100" s="2"/>
      <c r="J100" s="7">
        <f t="shared" si="48"/>
        <v>0</v>
      </c>
      <c r="K100" s="2"/>
      <c r="L100" s="6">
        <f t="shared" si="49"/>
        <v>0</v>
      </c>
      <c r="M100" s="2"/>
      <c r="N100" s="7">
        <f t="shared" si="50"/>
        <v>0</v>
      </c>
      <c r="O100" s="11"/>
      <c r="P100" s="6"/>
      <c r="Q100" s="2"/>
      <c r="R100" s="7">
        <f t="shared" si="51"/>
        <v>0</v>
      </c>
      <c r="S100" s="2"/>
      <c r="T100" s="6">
        <v>633.1</v>
      </c>
      <c r="U100" s="2"/>
      <c r="V100" s="7">
        <f t="shared" si="52"/>
        <v>4.0733992181261089E-4</v>
      </c>
      <c r="W100" s="2"/>
      <c r="X100" s="6">
        <f t="shared" si="53"/>
        <v>-633.1</v>
      </c>
      <c r="Y100" s="2"/>
      <c r="Z100" s="7">
        <f t="shared" si="54"/>
        <v>-1</v>
      </c>
    </row>
    <row r="101" spans="1:26" s="29" customFormat="1" outlineLevel="1" collapsed="1" x14ac:dyDescent="0.3">
      <c r="A101" s="28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562.29999999999995</v>
      </c>
      <c r="E101" s="1"/>
      <c r="F101" s="5">
        <f t="shared" ref="F101:F103" si="55">IF(D$12=0,0,D101/D$12)</f>
        <v>7.1380967191159578E-2</v>
      </c>
      <c r="G101" s="1"/>
      <c r="H101" s="1">
        <f>SUM(OSRRefH22_12x_0)</f>
        <v>1346.65</v>
      </c>
      <c r="I101" s="1"/>
      <c r="J101" s="5">
        <f t="shared" ref="J101:J103" si="56">IF(H$12=0,0,H101/H$12)</f>
        <v>0.15798056111166511</v>
      </c>
      <c r="K101" s="1"/>
      <c r="L101" s="1">
        <f t="shared" ref="L101:L103" si="57">+D101-H101</f>
        <v>-784.35000000000014</v>
      </c>
      <c r="M101" s="1"/>
      <c r="N101" s="5">
        <f t="shared" ref="N101:N103" si="58">IF(H101=0,0,L101/H101)</f>
        <v>-0.58244532729365472</v>
      </c>
      <c r="O101" s="14"/>
      <c r="P101" s="1">
        <f>SUM(OSRRefP22_12x_0)</f>
        <v>3017.35</v>
      </c>
      <c r="Q101" s="1"/>
      <c r="R101" s="5">
        <f t="shared" ref="R101:R103" si="59">IF(P$12=0,0,P101/P$12)</f>
        <v>2.2323668744973456E-3</v>
      </c>
      <c r="S101" s="1"/>
      <c r="T101" s="1">
        <f>SUM(OSRRefT22_12x_0)</f>
        <v>4580.5</v>
      </c>
      <c r="U101" s="1"/>
      <c r="V101" s="5">
        <f t="shared" ref="V101:V103" si="60">IF(T$12=0,0,T101/T$12)</f>
        <v>2.9471181675290855E-3</v>
      </c>
      <c r="W101" s="1"/>
      <c r="X101" s="1">
        <f t="shared" ref="X101:X103" si="61">+P101-T101</f>
        <v>-1563.15</v>
      </c>
      <c r="Y101" s="1"/>
      <c r="Z101" s="5">
        <f t="shared" ref="Z101:Z103" si="62">IF(T101=0,0,X101/T101)</f>
        <v>-0.34126187097478444</v>
      </c>
    </row>
    <row r="102" spans="1:26" s="24" customFormat="1" hidden="1" outlineLevel="2" x14ac:dyDescent="0.3">
      <c r="A102" s="27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55"/>
        <v>0</v>
      </c>
      <c r="G102" s="2"/>
      <c r="H102" s="6">
        <v>885</v>
      </c>
      <c r="I102" s="2"/>
      <c r="J102" s="7">
        <f t="shared" si="56"/>
        <v>0.10382266853586575</v>
      </c>
      <c r="K102" s="2"/>
      <c r="L102" s="6">
        <f t="shared" si="57"/>
        <v>-885</v>
      </c>
      <c r="M102" s="2"/>
      <c r="N102" s="7">
        <f t="shared" si="58"/>
        <v>-1</v>
      </c>
      <c r="O102" s="11"/>
      <c r="P102" s="6">
        <v>295</v>
      </c>
      <c r="Q102" s="2"/>
      <c r="R102" s="7">
        <f t="shared" si="59"/>
        <v>2.1825384127685453E-4</v>
      </c>
      <c r="S102" s="2"/>
      <c r="T102" s="6">
        <v>2065</v>
      </c>
      <c r="U102" s="2"/>
      <c r="V102" s="7">
        <f t="shared" si="60"/>
        <v>1.3286320305529007E-3</v>
      </c>
      <c r="W102" s="2"/>
      <c r="X102" s="6">
        <f t="shared" si="61"/>
        <v>-1770</v>
      </c>
      <c r="Y102" s="2"/>
      <c r="Z102" s="7">
        <f t="shared" si="62"/>
        <v>-0.8571428571428571</v>
      </c>
    </row>
    <row r="103" spans="1:26" s="24" customFormat="1" hidden="1" outlineLevel="2" x14ac:dyDescent="0.3">
      <c r="A103" s="27"/>
      <c r="B103" s="11" t="str">
        <f>CONCATENATE("          ", "6309", " - ", "TELEPHONE")</f>
        <v xml:space="preserve">          6309 - TELEPHONE</v>
      </c>
      <c r="C103" s="11"/>
      <c r="D103" s="6">
        <v>562.29999999999995</v>
      </c>
      <c r="E103" s="2"/>
      <c r="F103" s="7">
        <f t="shared" si="55"/>
        <v>7.1380967191159578E-2</v>
      </c>
      <c r="G103" s="2"/>
      <c r="H103" s="6">
        <v>461.65</v>
      </c>
      <c r="I103" s="2"/>
      <c r="J103" s="7">
        <f t="shared" si="56"/>
        <v>5.4157892575799345E-2</v>
      </c>
      <c r="K103" s="2"/>
      <c r="L103" s="6">
        <f t="shared" si="57"/>
        <v>100.64999999999998</v>
      </c>
      <c r="M103" s="2"/>
      <c r="N103" s="7">
        <f t="shared" si="58"/>
        <v>0.21802231127477523</v>
      </c>
      <c r="O103" s="11"/>
      <c r="P103" s="6">
        <v>2722.35</v>
      </c>
      <c r="Q103" s="2"/>
      <c r="R103" s="7">
        <f t="shared" si="59"/>
        <v>2.0141130332204911E-3</v>
      </c>
      <c r="S103" s="2"/>
      <c r="T103" s="6">
        <v>2515.5</v>
      </c>
      <c r="U103" s="2"/>
      <c r="V103" s="7">
        <f t="shared" si="60"/>
        <v>1.6184861369761849E-3</v>
      </c>
      <c r="W103" s="2"/>
      <c r="X103" s="6">
        <f t="shared" si="61"/>
        <v>206.84999999999991</v>
      </c>
      <c r="Y103" s="2"/>
      <c r="Z103" s="7">
        <f t="shared" si="62"/>
        <v>8.2230172927847317E-2</v>
      </c>
    </row>
    <row r="104" spans="1:26" s="29" customFormat="1" outlineLevel="1" collapsed="1" x14ac:dyDescent="0.3">
      <c r="A104" s="28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SUM(OSRRefD22_13x_0)</f>
        <v>0</v>
      </c>
      <c r="E104" s="1"/>
      <c r="F104" s="5">
        <f t="shared" ref="F104:F105" si="63">IF(D$12=0,0,D104/D$12)</f>
        <v>0</v>
      </c>
      <c r="G104" s="1"/>
      <c r="H104" s="1">
        <f>SUM(OSRRefH22_13x_0)</f>
        <v>0</v>
      </c>
      <c r="I104" s="1"/>
      <c r="J104" s="5">
        <f t="shared" ref="J104:J105" si="64">IF(H$12=0,0,H104/H$12)</f>
        <v>0</v>
      </c>
      <c r="K104" s="1"/>
      <c r="L104" s="1">
        <f t="shared" ref="L104:L105" si="65">+D104-H104</f>
        <v>0</v>
      </c>
      <c r="M104" s="1"/>
      <c r="N104" s="5">
        <f t="shared" ref="N104:N105" si="66">IF(H104=0,0,L104/H104)</f>
        <v>0</v>
      </c>
      <c r="O104" s="14"/>
      <c r="P104" s="1">
        <f>SUM(OSRRefP22_13x_0)</f>
        <v>0</v>
      </c>
      <c r="Q104" s="1"/>
      <c r="R104" s="5">
        <f t="shared" ref="R104:R105" si="67">IF(P$12=0,0,P104/P$12)</f>
        <v>0</v>
      </c>
      <c r="S104" s="1"/>
      <c r="T104" s="1">
        <f>SUM(OSRRefT22_13x_0)</f>
        <v>0.16</v>
      </c>
      <c r="U104" s="1"/>
      <c r="V104" s="5">
        <f t="shared" ref="V104:V105" si="68">IF(T$12=0,0,T104/T$12)</f>
        <v>1.0294485466753711E-7</v>
      </c>
      <c r="W104" s="1"/>
      <c r="X104" s="1">
        <f t="shared" ref="X104:X105" si="69">+P104-T104</f>
        <v>-0.16</v>
      </c>
      <c r="Y104" s="1"/>
      <c r="Z104" s="5">
        <f t="shared" ref="Z104:Z105" si="70">IF(T104=0,0,X104/T104)</f>
        <v>-1</v>
      </c>
    </row>
    <row r="105" spans="1:26" s="24" customFormat="1" hidden="1" outlineLevel="2" x14ac:dyDescent="0.3">
      <c r="A105" s="27"/>
      <c r="B105" s="11" t="str">
        <f>CONCATENATE("          ", "6292", " - ", "TRAVEL/CONFERENCE")</f>
        <v xml:space="preserve">          6292 - TRAVEL/CONFERENCE</v>
      </c>
      <c r="C105" s="11"/>
      <c r="D105" s="6"/>
      <c r="E105" s="2"/>
      <c r="F105" s="7">
        <f t="shared" si="63"/>
        <v>0</v>
      </c>
      <c r="G105" s="2"/>
      <c r="H105" s="6"/>
      <c r="I105" s="2"/>
      <c r="J105" s="7">
        <f t="shared" si="64"/>
        <v>0</v>
      </c>
      <c r="K105" s="2"/>
      <c r="L105" s="6">
        <f t="shared" si="65"/>
        <v>0</v>
      </c>
      <c r="M105" s="2"/>
      <c r="N105" s="7">
        <f t="shared" si="66"/>
        <v>0</v>
      </c>
      <c r="O105" s="11"/>
      <c r="P105" s="6"/>
      <c r="Q105" s="2"/>
      <c r="R105" s="7">
        <f t="shared" si="67"/>
        <v>0</v>
      </c>
      <c r="S105" s="2"/>
      <c r="T105" s="6">
        <v>0.16</v>
      </c>
      <c r="U105" s="2"/>
      <c r="V105" s="7">
        <f t="shared" si="68"/>
        <v>1.0294485466753711E-7</v>
      </c>
      <c r="W105" s="2"/>
      <c r="X105" s="6">
        <f t="shared" si="69"/>
        <v>-0.16</v>
      </c>
      <c r="Y105" s="2"/>
      <c r="Z105" s="7">
        <f t="shared" si="70"/>
        <v>-1</v>
      </c>
    </row>
    <row r="106" spans="1:26" s="62" customFormat="1" x14ac:dyDescent="0.3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3">
      <c r="A107" s="10"/>
      <c r="B107" s="26" t="s">
        <v>292</v>
      </c>
      <c r="C107" s="10"/>
      <c r="D107" s="4">
        <f>SUM(OSRRefD25x_0)</f>
        <v>300.14</v>
      </c>
      <c r="E107" s="4"/>
      <c r="F107" s="12">
        <f t="shared" ref="F107:F110" si="71">IF(D$12=0,0,D107/D$12)</f>
        <v>3.8101162178116016E-2</v>
      </c>
      <c r="G107" s="4"/>
      <c r="H107" s="4">
        <f>SUM(OSRRefH25x_0)</f>
        <v>917.38</v>
      </c>
      <c r="I107" s="4"/>
      <c r="J107" s="12">
        <f t="shared" ref="J107:J110" si="72">IF(H$12=0,0,H107/H$12)</f>
        <v>0.10762128775303109</v>
      </c>
      <c r="K107" s="4"/>
      <c r="L107" s="4">
        <f t="shared" ref="L107:L110" si="73">+D107-H107</f>
        <v>-617.24</v>
      </c>
      <c r="M107" s="4"/>
      <c r="N107" s="12">
        <f t="shared" ref="N107:N110" si="74">IF(H107=0,0,L107/H107)</f>
        <v>-0.67282914386622772</v>
      </c>
      <c r="O107" s="10"/>
      <c r="P107" s="4">
        <f>SUM(OSRRefP25x_0)</f>
        <v>189972.03</v>
      </c>
      <c r="Q107" s="4"/>
      <c r="R107" s="12">
        <f t="shared" ref="R107:R110" si="75">IF(P$12=0,0,P107/P$12)</f>
        <v>0.1405495772293622</v>
      </c>
      <c r="S107" s="4"/>
      <c r="T107" s="4">
        <f>SUM(OSRRefT25x_0)</f>
        <v>162085.57000000004</v>
      </c>
      <c r="U107" s="4"/>
      <c r="V107" s="12">
        <f t="shared" ref="V107:V110" si="76">IF(T$12=0,0,T107/T$12)</f>
        <v>0.10428672154596823</v>
      </c>
      <c r="W107" s="4"/>
      <c r="X107" s="4">
        <f t="shared" ref="X107:X110" si="77">+P107-T107</f>
        <v>27886.459999999963</v>
      </c>
      <c r="Y107" s="4"/>
      <c r="Z107" s="12">
        <f t="shared" ref="Z107:Z110" si="78">IF(T107=0,0,X107/T107)</f>
        <v>0.17204776464678476</v>
      </c>
    </row>
    <row r="108" spans="1:26" s="24" customFormat="1" hidden="1" outlineLevel="1" x14ac:dyDescent="0.3">
      <c r="A108" s="44"/>
      <c r="B108" s="11" t="str">
        <f>CONCATENATE("          ", "9150", " - ", "MISC. INCOME")</f>
        <v xml:space="preserve">          9150 - MISC. INCOME</v>
      </c>
      <c r="C108" s="11"/>
      <c r="D108" s="2">
        <f>--300.14</f>
        <v>300.14</v>
      </c>
      <c r="E108" s="2"/>
      <c r="F108" s="19">
        <f t="shared" si="71"/>
        <v>3.8101162178116016E-2</v>
      </c>
      <c r="G108" s="2"/>
      <c r="H108" s="2">
        <f>--662.17</f>
        <v>662.17</v>
      </c>
      <c r="I108" s="2"/>
      <c r="J108" s="19">
        <f t="shared" si="72"/>
        <v>7.7681645677281599E-2</v>
      </c>
      <c r="K108" s="2"/>
      <c r="L108" s="2">
        <f t="shared" si="73"/>
        <v>-362.03</v>
      </c>
      <c r="M108" s="2"/>
      <c r="N108" s="19">
        <f t="shared" si="74"/>
        <v>-0.54673271214340724</v>
      </c>
      <c r="O108" s="11"/>
      <c r="P108" s="2">
        <f>--19313.26</f>
        <v>19313.259999999998</v>
      </c>
      <c r="Q108" s="2"/>
      <c r="R108" s="19">
        <f t="shared" si="75"/>
        <v>1.4288790449419062E-2</v>
      </c>
      <c r="S108" s="2"/>
      <c r="T108" s="2">
        <f>--12193.95</f>
        <v>12193.95</v>
      </c>
      <c r="U108" s="2"/>
      <c r="V108" s="19">
        <f t="shared" si="76"/>
        <v>7.8456525660825886E-3</v>
      </c>
      <c r="W108" s="2"/>
      <c r="X108" s="2">
        <f t="shared" si="77"/>
        <v>7119.3099999999977</v>
      </c>
      <c r="Y108" s="2"/>
      <c r="Z108" s="19">
        <f t="shared" si="78"/>
        <v>0.58383952697854247</v>
      </c>
    </row>
    <row r="109" spans="1:26" s="24" customFormat="1" hidden="1" outlineLevel="1" x14ac:dyDescent="0.3">
      <c r="A109" s="44"/>
      <c r="B109" s="11" t="str">
        <f>CONCATENATE("          ", "9151", " - ", "MISC. INCOME")</f>
        <v xml:space="preserve">          9151 - MISC. INCOME</v>
      </c>
      <c r="C109" s="11"/>
      <c r="D109" s="2">
        <f t="shared" ref="D109:D110" si="79">0</f>
        <v>0</v>
      </c>
      <c r="E109" s="2"/>
      <c r="F109" s="19">
        <f t="shared" si="71"/>
        <v>0</v>
      </c>
      <c r="G109" s="2"/>
      <c r="H109" s="2">
        <f>0</f>
        <v>0</v>
      </c>
      <c r="I109" s="2"/>
      <c r="J109" s="19">
        <f t="shared" si="72"/>
        <v>0</v>
      </c>
      <c r="K109" s="2"/>
      <c r="L109" s="2">
        <f t="shared" si="73"/>
        <v>0</v>
      </c>
      <c r="M109" s="2"/>
      <c r="N109" s="19">
        <f t="shared" si="74"/>
        <v>0</v>
      </c>
      <c r="O109" s="11"/>
      <c r="P109" s="2">
        <f>--168463.36</f>
        <v>168463.35999999999</v>
      </c>
      <c r="Q109" s="2"/>
      <c r="R109" s="19">
        <f t="shared" si="75"/>
        <v>0.12463652689629018</v>
      </c>
      <c r="S109" s="2"/>
      <c r="T109" s="2">
        <f>--147285.39</f>
        <v>147285.39000000001</v>
      </c>
      <c r="U109" s="2"/>
      <c r="V109" s="19">
        <f t="shared" si="76"/>
        <v>9.4764206676259524E-2</v>
      </c>
      <c r="W109" s="2"/>
      <c r="X109" s="2">
        <f t="shared" si="77"/>
        <v>21177.969999999972</v>
      </c>
      <c r="Y109" s="2"/>
      <c r="Z109" s="19">
        <f t="shared" si="78"/>
        <v>0.14378866770152809</v>
      </c>
    </row>
    <row r="110" spans="1:26" s="24" customFormat="1" hidden="1" outlineLevel="1" x14ac:dyDescent="0.3">
      <c r="A110" s="44"/>
      <c r="B110" s="11" t="str">
        <f>CONCATENATE("          ", "9152", " - ", "MISC. INCOME")</f>
        <v xml:space="preserve">          9152 - MISC. INCOME</v>
      </c>
      <c r="C110" s="11"/>
      <c r="D110" s="2">
        <f t="shared" si="79"/>
        <v>0</v>
      </c>
      <c r="E110" s="2"/>
      <c r="F110" s="19">
        <f t="shared" si="71"/>
        <v>0</v>
      </c>
      <c r="G110" s="2"/>
      <c r="H110" s="2">
        <f>--255.21</f>
        <v>255.21</v>
      </c>
      <c r="I110" s="2"/>
      <c r="J110" s="19">
        <f t="shared" si="72"/>
        <v>2.9939642075749489E-2</v>
      </c>
      <c r="K110" s="2"/>
      <c r="L110" s="2">
        <f t="shared" si="73"/>
        <v>-255.21</v>
      </c>
      <c r="M110" s="2"/>
      <c r="N110" s="19">
        <f t="shared" si="74"/>
        <v>-1</v>
      </c>
      <c r="O110" s="11"/>
      <c r="P110" s="2">
        <f>--2195.41</f>
        <v>2195.41</v>
      </c>
      <c r="Q110" s="2"/>
      <c r="R110" s="19">
        <f t="shared" si="75"/>
        <v>1.6242598836529465E-3</v>
      </c>
      <c r="S110" s="2"/>
      <c r="T110" s="2">
        <f>--2606.23</f>
        <v>2606.23</v>
      </c>
      <c r="U110" s="2"/>
      <c r="V110" s="19">
        <f t="shared" si="76"/>
        <v>1.6768623036260951E-3</v>
      </c>
      <c r="W110" s="2"/>
      <c r="X110" s="2">
        <f t="shared" si="77"/>
        <v>-410.82000000000016</v>
      </c>
      <c r="Y110" s="2"/>
      <c r="Z110" s="19">
        <f t="shared" si="78"/>
        <v>-0.15762998660901001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10"/>
      <c r="B112" s="25" t="s">
        <v>276</v>
      </c>
      <c r="C112" s="25"/>
      <c r="D112" s="21">
        <f>+D57-D59+D107</f>
        <v>-37820.800000000017</v>
      </c>
      <c r="E112" s="13"/>
      <c r="F112" s="22">
        <f>IF(D$12=0,0,D112/D$12)</f>
        <v>-4.801147579483211</v>
      </c>
      <c r="G112" s="13"/>
      <c r="H112" s="21">
        <f>+H57-H59+H107</f>
        <v>-40296.010000000046</v>
      </c>
      <c r="I112" s="13"/>
      <c r="J112" s="22">
        <f>IF(H$12=0,0,H112/H$12)</f>
        <v>-4.7272760333874988</v>
      </c>
      <c r="K112" s="16"/>
      <c r="L112" s="21">
        <f>+D112-H112</f>
        <v>2475.2100000000282</v>
      </c>
      <c r="M112" s="16"/>
      <c r="N112" s="22">
        <f>IF(H112=0,0,L112/H112)</f>
        <v>-6.1425684577704476E-2</v>
      </c>
      <c r="O112" s="26"/>
      <c r="P112" s="21">
        <f>+P57-P59+P107</f>
        <v>206427.48999999985</v>
      </c>
      <c r="Q112" s="13"/>
      <c r="R112" s="22">
        <f>IF(P$12=0,0,P112/P$12)</f>
        <v>0.15272404283945573</v>
      </c>
      <c r="S112" s="13"/>
      <c r="T112" s="21">
        <f>+T57-T59+T107</f>
        <v>390143.54999999964</v>
      </c>
      <c r="U112" s="13"/>
      <c r="V112" s="22">
        <f>IF(T$12=0,0,T112/T$12)</f>
        <v>0.25102044408891849</v>
      </c>
      <c r="W112" s="16"/>
      <c r="X112" s="21">
        <f>+P112-T112</f>
        <v>-183716.05999999979</v>
      </c>
      <c r="Y112" s="16"/>
      <c r="Z112" s="22">
        <f>IF(T112=0,0,X112/T112)</f>
        <v>-0.47089349548390574</v>
      </c>
    </row>
    <row r="113" spans="1:26" x14ac:dyDescent="0.3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3">
      <c r="A114" s="51"/>
      <c r="B114" s="10" t="s">
        <v>127</v>
      </c>
      <c r="C114" s="10"/>
      <c r="D114" s="4">
        <v>5668.33</v>
      </c>
      <c r="E114" s="4"/>
      <c r="F114" s="12">
        <f>IF(D$12=0,0,D114/D$12)</f>
        <v>0.71956407212994056</v>
      </c>
      <c r="G114" s="4"/>
      <c r="H114" s="4">
        <v>-87872.35</v>
      </c>
      <c r="I114" s="4"/>
      <c r="J114" s="12">
        <f>IF(H$12=0,0,H114/H$12)</f>
        <v>-10.308634878550942</v>
      </c>
      <c r="K114" s="4"/>
      <c r="L114" s="4">
        <f>+D114-H114</f>
        <v>93540.680000000008</v>
      </c>
      <c r="M114" s="4"/>
      <c r="N114" s="12">
        <f>IF(H114=0,0,L114/H114)</f>
        <v>-1.0645064118576548</v>
      </c>
      <c r="O114" s="10"/>
      <c r="P114" s="4">
        <v>160995.85</v>
      </c>
      <c r="Q114" s="4"/>
      <c r="R114" s="12">
        <f>IF(P$12=0,0,P114/P$12)</f>
        <v>0.11911173793943146</v>
      </c>
      <c r="S114" s="4"/>
      <c r="T114" s="4">
        <v>246960.86</v>
      </c>
      <c r="U114" s="4"/>
      <c r="V114" s="12">
        <f>IF(T$12=0,0,T114/T$12)</f>
        <v>0.15889593650793735</v>
      </c>
      <c r="W114" s="4"/>
      <c r="X114" s="4">
        <f>+P114-T114</f>
        <v>-85965.00999999998</v>
      </c>
      <c r="Y114" s="4"/>
      <c r="Z114" s="12">
        <f>IF(T114=0,0,X114/T114)</f>
        <v>-0.34809163686909733</v>
      </c>
    </row>
    <row r="115" spans="1:26" x14ac:dyDescent="0.3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" thickBot="1" x14ac:dyDescent="0.35">
      <c r="A116" s="10"/>
      <c r="B116" s="25" t="s">
        <v>125</v>
      </c>
      <c r="C116" s="25"/>
      <c r="D116" s="35">
        <f>+D112-D114</f>
        <v>-43489.130000000019</v>
      </c>
      <c r="E116" s="13"/>
      <c r="F116" s="31">
        <f>IF(D$12=0,0,D116/D$12)</f>
        <v>-5.5207116516131514</v>
      </c>
      <c r="G116" s="13"/>
      <c r="H116" s="35">
        <f>+H112-H114</f>
        <v>47576.33999999996</v>
      </c>
      <c r="I116" s="13"/>
      <c r="J116" s="31">
        <f>IF(H$12=0,0,H116/H$12)</f>
        <v>5.581358845163443</v>
      </c>
      <c r="K116" s="16"/>
      <c r="L116" s="35">
        <f>D116-H116</f>
        <v>-91065.469999999972</v>
      </c>
      <c r="M116" s="16"/>
      <c r="N116" s="31">
        <f>IF(H116=0,0,L116/H116)</f>
        <v>-1.9140915421404852</v>
      </c>
      <c r="O116" s="26"/>
      <c r="P116" s="35">
        <f>+P112-P114</f>
        <v>45431.639999999839</v>
      </c>
      <c r="Q116" s="13"/>
      <c r="R116" s="31">
        <f>IF(P$12=0,0,P116/P$12)</f>
        <v>3.3612304900024273E-2</v>
      </c>
      <c r="S116" s="13"/>
      <c r="T116" s="35">
        <f>+T112-T114</f>
        <v>143182.68999999965</v>
      </c>
      <c r="U116" s="13"/>
      <c r="V116" s="31">
        <f>IF(T$12=0,0,T116/T$12)</f>
        <v>9.2124507580981133E-2</v>
      </c>
      <c r="W116" s="16"/>
      <c r="X116" s="35">
        <f>P116-T116</f>
        <v>-97751.049999999814</v>
      </c>
      <c r="Y116" s="16"/>
      <c r="Z116" s="31">
        <f>IF(T116=0,0,X116/T116)</f>
        <v>-0.68270158913762591</v>
      </c>
    </row>
    <row r="117" spans="1:26" ht="15" thickTop="1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5" t="s">
        <v>293</v>
      </c>
      <c r="C119" s="25"/>
      <c r="D119" s="36">
        <f>SUM(D116:D118)</f>
        <v>-43489.130000000019</v>
      </c>
      <c r="E119" s="13"/>
      <c r="F119" s="33">
        <f>IF(D$12=0,0,D119/D$12)</f>
        <v>-5.5207116516131514</v>
      </c>
      <c r="G119" s="13"/>
      <c r="H119" s="36">
        <f>SUM(H116:H118)</f>
        <v>47576.33999999996</v>
      </c>
      <c r="I119" s="13"/>
      <c r="J119" s="33">
        <f>IF(H$12=0,0,H119/H$12)</f>
        <v>5.581358845163443</v>
      </c>
      <c r="K119" s="16"/>
      <c r="L119" s="36">
        <f>+D119-H119</f>
        <v>-91065.469999999972</v>
      </c>
      <c r="M119" s="16"/>
      <c r="N119" s="33">
        <f>IF(H119=0,0,L119/H119)</f>
        <v>-1.9140915421404852</v>
      </c>
      <c r="O119" s="26"/>
      <c r="P119" s="36">
        <f>SUM(P116:P118)</f>
        <v>45431.639999999839</v>
      </c>
      <c r="Q119" s="13"/>
      <c r="R119" s="33">
        <f>IF(P$12=0,0,P119/P$12)</f>
        <v>3.3612304900024273E-2</v>
      </c>
      <c r="S119" s="13"/>
      <c r="T119" s="36">
        <f>SUM(T116:T118)</f>
        <v>143182.68999999965</v>
      </c>
      <c r="U119" s="13"/>
      <c r="V119" s="33">
        <f>IF(T$12=0,0,T119/T$12)</f>
        <v>9.2124507580981133E-2</v>
      </c>
      <c r="W119" s="16"/>
      <c r="X119" s="36">
        <f>+P119-T119</f>
        <v>-97751.049999999814</v>
      </c>
      <c r="Y119" s="16"/>
      <c r="Z119" s="33">
        <f>IF(T119=0,0,X119/T119)</f>
        <v>-0.68270158913762591</v>
      </c>
    </row>
    <row r="120" spans="1:26" ht="15" thickTop="1" x14ac:dyDescent="0.3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2">
        <v>44543.765543090274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59" t="s">
        <v>56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A123" s="9"/>
      <c r="B123" s="61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92D050"/>
    <outlinePr summaryBelow="0" summaryRight="0"/>
  </sheetPr>
  <dimension ref="A2:Z12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","311", " - ", "Textbooks")</f>
        <v>Department 311 - Textbooks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7287.61</v>
      </c>
      <c r="E12" s="4"/>
      <c r="F12" s="12"/>
      <c r="G12" s="4"/>
      <c r="H12" s="4">
        <f>SUM(OSRRefH13x_0)</f>
        <v>6442.6599999999971</v>
      </c>
      <c r="I12" s="4"/>
      <c r="J12" s="12"/>
      <c r="K12" s="4"/>
      <c r="L12" s="4">
        <f t="shared" ref="L12:L36" si="0">+D12-H12</f>
        <v>844.95000000000255</v>
      </c>
      <c r="M12" s="4"/>
      <c r="N12" s="12">
        <f t="shared" ref="N12:N36" si="1">IF(H12=0,0,L12/H12)</f>
        <v>0.13114924580840878</v>
      </c>
      <c r="O12" s="10"/>
      <c r="P12" s="4">
        <f>SUM(OSRRefP13x_0)</f>
        <v>1015399.77</v>
      </c>
      <c r="Q12" s="4"/>
      <c r="R12" s="12"/>
      <c r="S12" s="4"/>
      <c r="T12" s="4">
        <f>SUM(OSRRefT13x_0)</f>
        <v>1082108.2399999998</v>
      </c>
      <c r="U12" s="4"/>
      <c r="V12" s="12"/>
      <c r="W12" s="4"/>
      <c r="X12" s="4">
        <f t="shared" ref="X12:X36" si="2">+P12-T12</f>
        <v>-66708.469999999739</v>
      </c>
      <c r="Y12" s="4"/>
      <c r="Z12" s="12">
        <f t="shared" ref="Z12:Z36" si="3">IF(T12=0,0,X12/T12)</f>
        <v>-6.1646762804430502E-2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--6041.48</f>
        <v>6041.48</v>
      </c>
      <c r="E13" s="2"/>
      <c r="F13" s="19"/>
      <c r="G13" s="2"/>
      <c r="H13" s="2">
        <f>-229.05</f>
        <v>-229.05</v>
      </c>
      <c r="I13" s="2"/>
      <c r="J13" s="19"/>
      <c r="K13" s="2"/>
      <c r="L13" s="2">
        <f t="shared" si="0"/>
        <v>6270.53</v>
      </c>
      <c r="M13" s="2"/>
      <c r="N13" s="19">
        <f t="shared" si="1"/>
        <v>-27.376249727133811</v>
      </c>
      <c r="O13" s="11"/>
      <c r="P13" s="2">
        <f>--776030.32</f>
        <v>776030.32</v>
      </c>
      <c r="Q13" s="2"/>
      <c r="R13" s="19"/>
      <c r="S13" s="2"/>
      <c r="T13" s="2">
        <f>-6599.87</f>
        <v>-6599.87</v>
      </c>
      <c r="U13" s="2"/>
      <c r="V13" s="19"/>
      <c r="W13" s="2"/>
      <c r="X13" s="2">
        <f t="shared" si="2"/>
        <v>782630.19</v>
      </c>
      <c r="Y13" s="2"/>
      <c r="Z13" s="19">
        <f t="shared" si="3"/>
        <v>-118.58266753739088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20" si="4">0</f>
        <v>0</v>
      </c>
      <c r="E14" s="2"/>
      <c r="F14" s="19"/>
      <c r="G14" s="2"/>
      <c r="H14" s="2">
        <f>--6335.4</f>
        <v>6335.4</v>
      </c>
      <c r="I14" s="2"/>
      <c r="J14" s="19"/>
      <c r="K14" s="2"/>
      <c r="L14" s="2">
        <f t="shared" si="0"/>
        <v>-6335.4</v>
      </c>
      <c r="M14" s="2"/>
      <c r="N14" s="19">
        <f t="shared" si="1"/>
        <v>-1</v>
      </c>
      <c r="O14" s="11"/>
      <c r="P14" s="2">
        <f t="shared" ref="P14:P20" si="5">0</f>
        <v>0</v>
      </c>
      <c r="Q14" s="2"/>
      <c r="R14" s="19"/>
      <c r="S14" s="2"/>
      <c r="T14" s="2">
        <f>--546434.01</f>
        <v>546434.01</v>
      </c>
      <c r="U14" s="2"/>
      <c r="V14" s="19"/>
      <c r="W14" s="2"/>
      <c r="X14" s="2">
        <f t="shared" si="2"/>
        <v>-546434.01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--1225.27</f>
        <v>1225.27</v>
      </c>
      <c r="I15" s="2"/>
      <c r="J15" s="19"/>
      <c r="K15" s="2"/>
      <c r="L15" s="2">
        <f t="shared" si="0"/>
        <v>-1225.27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--187033.11</f>
        <v>187033.11</v>
      </c>
      <c r="U15" s="2"/>
      <c r="V15" s="19"/>
      <c r="W15" s="2"/>
      <c r="X15" s="2">
        <f t="shared" si="2"/>
        <v>-187033.11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"4003", " - ", "TAXABLE SALES-RENTAL TEXT")</f>
        <v xml:space="preserve">          4003 - TAXABLE SALES-RENTAL TEXT</v>
      </c>
      <c r="C16" s="11"/>
      <c r="D16" s="2">
        <f t="shared" si="4"/>
        <v>0</v>
      </c>
      <c r="E16" s="2"/>
      <c r="F16" s="19"/>
      <c r="G16" s="2"/>
      <c r="H16" s="2">
        <f t="shared" ref="H16:H17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--10665.63</f>
        <v>10665.63</v>
      </c>
      <c r="U16" s="2"/>
      <c r="V16" s="19"/>
      <c r="W16" s="2"/>
      <c r="X16" s="2">
        <f t="shared" si="2"/>
        <v>-10665.63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"4004", " - ", "TAXABLE SALES-DIGITAL TEXT")</f>
        <v xml:space="preserve">          4004 - TAXABLE SALES-DIGITAL TEXT</v>
      </c>
      <c r="C17" s="11"/>
      <c r="D17" s="2">
        <f t="shared" si="4"/>
        <v>0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0</v>
      </c>
      <c r="M17" s="2"/>
      <c r="N17" s="19">
        <f t="shared" si="1"/>
        <v>0</v>
      </c>
      <c r="O17" s="11"/>
      <c r="P17" s="2">
        <f t="shared" si="5"/>
        <v>0</v>
      </c>
      <c r="Q17" s="2"/>
      <c r="R17" s="19"/>
      <c r="S17" s="2"/>
      <c r="T17" s="2">
        <f>--2459.56</f>
        <v>2459.56</v>
      </c>
      <c r="U17" s="2"/>
      <c r="V17" s="19"/>
      <c r="W17" s="2"/>
      <c r="X17" s="2">
        <f t="shared" si="2"/>
        <v>-2459.56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"4013", " - ", "TAXABLE SALES-TRADE BOOKS")</f>
        <v xml:space="preserve">          4013 - TAXABLE SALES-TRADE BOOKS</v>
      </c>
      <c r="C18" s="11"/>
      <c r="D18" s="2">
        <f t="shared" si="4"/>
        <v>0</v>
      </c>
      <c r="E18" s="2"/>
      <c r="F18" s="19"/>
      <c r="G18" s="2"/>
      <c r="H18" s="2">
        <f>--307.75</f>
        <v>307.75</v>
      </c>
      <c r="I18" s="2"/>
      <c r="J18" s="19"/>
      <c r="K18" s="2"/>
      <c r="L18" s="2">
        <f t="shared" si="0"/>
        <v>-307.75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--505.12</f>
        <v>505.12</v>
      </c>
      <c r="U18" s="2"/>
      <c r="V18" s="19"/>
      <c r="W18" s="2"/>
      <c r="X18" s="2">
        <f t="shared" si="2"/>
        <v>-505.12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"4014", " - ", "TAXABLE SALES-REMAINDERS")</f>
        <v xml:space="preserve">          4014 - TAXABLE SALES-REMAINDERS</v>
      </c>
      <c r="C19" s="11"/>
      <c r="D19" s="2">
        <f t="shared" si="4"/>
        <v>0</v>
      </c>
      <c r="E19" s="2"/>
      <c r="F19" s="19"/>
      <c r="G19" s="2"/>
      <c r="H19" s="2">
        <f t="shared" ref="H19:H21" si="7">0</f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5"/>
        <v>0</v>
      </c>
      <c r="Q19" s="2"/>
      <c r="R19" s="19"/>
      <c r="S19" s="2"/>
      <c r="T19" s="2">
        <f>--340.24</f>
        <v>340.24</v>
      </c>
      <c r="U19" s="2"/>
      <c r="V19" s="19"/>
      <c r="W19" s="2"/>
      <c r="X19" s="2">
        <f t="shared" si="2"/>
        <v>-340.24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"4018", " - ", "TAXABLE SALES-STUDY GUIDES")</f>
        <v xml:space="preserve">          4018 - TAXABLE SALES-STUDY GUIDES</v>
      </c>
      <c r="C20" s="11"/>
      <c r="D20" s="2">
        <f t="shared" si="4"/>
        <v>0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5"/>
        <v>0</v>
      </c>
      <c r="Q20" s="2"/>
      <c r="R20" s="19"/>
      <c r="S20" s="2"/>
      <c r="T20" s="2">
        <f>--183.89</f>
        <v>183.89</v>
      </c>
      <c r="U20" s="2"/>
      <c r="V20" s="19"/>
      <c r="W20" s="2"/>
      <c r="X20" s="2">
        <f t="shared" si="2"/>
        <v>-183.89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"4100", " - ", "NON-TAXABLE SALES")</f>
        <v xml:space="preserve">          4100 - NON-TAXABLE SALES</v>
      </c>
      <c r="C21" s="11"/>
      <c r="D21" s="2">
        <f>--2477.57</f>
        <v>2477.5700000000002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2477.5700000000002</v>
      </c>
      <c r="M21" s="2"/>
      <c r="N21" s="19">
        <f t="shared" si="1"/>
        <v>0</v>
      </c>
      <c r="O21" s="11"/>
      <c r="P21" s="2">
        <f>--294371.91</f>
        <v>294371.90999999997</v>
      </c>
      <c r="Q21" s="2"/>
      <c r="R21" s="19"/>
      <c r="S21" s="2"/>
      <c r="T21" s="2">
        <f>0</f>
        <v>0</v>
      </c>
      <c r="U21" s="2"/>
      <c r="V21" s="19"/>
      <c r="W21" s="2"/>
      <c r="X21" s="2">
        <f t="shared" si="2"/>
        <v>294371.90999999997</v>
      </c>
      <c r="Y21" s="2"/>
      <c r="Z21" s="19">
        <f t="shared" si="3"/>
        <v>0</v>
      </c>
    </row>
    <row r="22" spans="1:26" s="24" customFormat="1" hidden="1" outlineLevel="1" x14ac:dyDescent="0.3">
      <c r="A22" s="44"/>
      <c r="B22" s="11" t="str">
        <f>CONCATENATE("          ", "4101", " - ", "NON-TAXABLE SALES-NEW TEXT")</f>
        <v xml:space="preserve">          4101 - NON-TAXABLE SALES-NEW TEXT</v>
      </c>
      <c r="C22" s="11"/>
      <c r="D22" s="2">
        <f t="shared" ref="D22:D27" si="8">0</f>
        <v>0</v>
      </c>
      <c r="E22" s="2"/>
      <c r="F22" s="19"/>
      <c r="G22" s="2"/>
      <c r="H22" s="2">
        <f>--1270.83</f>
        <v>1270.83</v>
      </c>
      <c r="I22" s="2"/>
      <c r="J22" s="19"/>
      <c r="K22" s="2"/>
      <c r="L22" s="2">
        <f t="shared" si="0"/>
        <v>-1270.83</v>
      </c>
      <c r="M22" s="2"/>
      <c r="N22" s="19">
        <f t="shared" si="1"/>
        <v>-1</v>
      </c>
      <c r="O22" s="11"/>
      <c r="P22" s="2">
        <f t="shared" ref="P22:P27" si="9">0</f>
        <v>0</v>
      </c>
      <c r="Q22" s="2"/>
      <c r="R22" s="19"/>
      <c r="S22" s="2"/>
      <c r="T22" s="2">
        <f>--78935.72</f>
        <v>78935.72</v>
      </c>
      <c r="U22" s="2"/>
      <c r="V22" s="19"/>
      <c r="W22" s="2"/>
      <c r="X22" s="2">
        <f t="shared" si="2"/>
        <v>-78935.72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"4102", " - ", "NON-TAXABLE SALES-USED TEXT")</f>
        <v xml:space="preserve">          4102 - NON-TAXABLE SALES-USED TEXT</v>
      </c>
      <c r="C23" s="11"/>
      <c r="D23" s="2">
        <f t="shared" si="8"/>
        <v>0</v>
      </c>
      <c r="E23" s="2"/>
      <c r="F23" s="19"/>
      <c r="G23" s="2"/>
      <c r="H23" s="2">
        <f>--320.72</f>
        <v>320.72000000000003</v>
      </c>
      <c r="I23" s="2"/>
      <c r="J23" s="19"/>
      <c r="K23" s="2"/>
      <c r="L23" s="2">
        <f t="shared" si="0"/>
        <v>-320.72000000000003</v>
      </c>
      <c r="M23" s="2"/>
      <c r="N23" s="19">
        <f t="shared" si="1"/>
        <v>-1</v>
      </c>
      <c r="O23" s="11"/>
      <c r="P23" s="2">
        <f t="shared" si="9"/>
        <v>0</v>
      </c>
      <c r="Q23" s="2"/>
      <c r="R23" s="19"/>
      <c r="S23" s="2"/>
      <c r="T23" s="2">
        <f>--33033.19</f>
        <v>33033.19</v>
      </c>
      <c r="U23" s="2"/>
      <c r="V23" s="19"/>
      <c r="W23" s="2"/>
      <c r="X23" s="2">
        <f t="shared" si="2"/>
        <v>-33033.19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"4103", " - ", "NON-TAXABLE SALES-RENTAL TEXT")</f>
        <v xml:space="preserve">          4103 - NON-TAXABLE SALES-RENTAL TEXT</v>
      </c>
      <c r="C24" s="11"/>
      <c r="D24" s="2">
        <f t="shared" si="8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9"/>
        <v>0</v>
      </c>
      <c r="Q24" s="2"/>
      <c r="R24" s="19"/>
      <c r="S24" s="2"/>
      <c r="T24" s="2">
        <f>--284.97</f>
        <v>284.97000000000003</v>
      </c>
      <c r="U24" s="2"/>
      <c r="V24" s="19"/>
      <c r="W24" s="2"/>
      <c r="X24" s="2">
        <f t="shared" si="2"/>
        <v>-284.97000000000003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"4104", " - ", "NON-TAXABLE SALES-DIGITAL TEXT")</f>
        <v xml:space="preserve">          4104 - NON-TAXABLE SALES-DIGITAL TEXT</v>
      </c>
      <c r="C25" s="11"/>
      <c r="D25" s="2">
        <f t="shared" si="8"/>
        <v>0</v>
      </c>
      <c r="E25" s="2"/>
      <c r="F25" s="19"/>
      <c r="G25" s="2"/>
      <c r="H25" s="2">
        <f>--1414.19</f>
        <v>1414.19</v>
      </c>
      <c r="I25" s="2"/>
      <c r="J25" s="19"/>
      <c r="K25" s="2"/>
      <c r="L25" s="2">
        <f t="shared" si="0"/>
        <v>-1414.19</v>
      </c>
      <c r="M25" s="2"/>
      <c r="N25" s="19">
        <f t="shared" si="1"/>
        <v>-1</v>
      </c>
      <c r="O25" s="11"/>
      <c r="P25" s="2">
        <f t="shared" si="9"/>
        <v>0</v>
      </c>
      <c r="Q25" s="2"/>
      <c r="R25" s="19"/>
      <c r="S25" s="2"/>
      <c r="T25" s="2">
        <f>--294889.71</f>
        <v>294889.71000000002</v>
      </c>
      <c r="U25" s="2"/>
      <c r="V25" s="19"/>
      <c r="W25" s="2"/>
      <c r="X25" s="2">
        <f t="shared" si="2"/>
        <v>-294889.71000000002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"4113", " - ", "NON-TAXABLE SALES-TRADE BOOKS")</f>
        <v xml:space="preserve">          4113 - NON-TAXABLE SALES-TRADE BOOKS</v>
      </c>
      <c r="C26" s="11"/>
      <c r="D26" s="2">
        <f t="shared" si="8"/>
        <v>0</v>
      </c>
      <c r="E26" s="2"/>
      <c r="F26" s="19"/>
      <c r="G26" s="2"/>
      <c r="H26" s="2">
        <f>--630</f>
        <v>630</v>
      </c>
      <c r="I26" s="2"/>
      <c r="J26" s="19"/>
      <c r="K26" s="2"/>
      <c r="L26" s="2">
        <f t="shared" si="0"/>
        <v>-630</v>
      </c>
      <c r="M26" s="2"/>
      <c r="N26" s="19">
        <f t="shared" si="1"/>
        <v>-1</v>
      </c>
      <c r="O26" s="11"/>
      <c r="P26" s="2">
        <f t="shared" si="9"/>
        <v>0</v>
      </c>
      <c r="Q26" s="2"/>
      <c r="R26" s="19"/>
      <c r="S26" s="2"/>
      <c r="T26" s="2">
        <f>--2285.95</f>
        <v>2285.9499999999998</v>
      </c>
      <c r="U26" s="2"/>
      <c r="V26" s="19"/>
      <c r="W26" s="2"/>
      <c r="X26" s="2">
        <f t="shared" si="2"/>
        <v>-2285.9499999999998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"4118", " - ", "NON-TAXABLE SALES-STUDY GUIDES")</f>
        <v xml:space="preserve">          4118 - NON-TAXABLE SALES-STUDY GUIDES</v>
      </c>
      <c r="C27" s="11"/>
      <c r="D27" s="2">
        <f t="shared" si="8"/>
        <v>0</v>
      </c>
      <c r="E27" s="2"/>
      <c r="F27" s="19"/>
      <c r="G27" s="2"/>
      <c r="H27" s="2">
        <f>--27.8</f>
        <v>27.8</v>
      </c>
      <c r="I27" s="2"/>
      <c r="J27" s="19"/>
      <c r="K27" s="2"/>
      <c r="L27" s="2">
        <f t="shared" si="0"/>
        <v>-27.8</v>
      </c>
      <c r="M27" s="2"/>
      <c r="N27" s="19">
        <f t="shared" si="1"/>
        <v>-1</v>
      </c>
      <c r="O27" s="11"/>
      <c r="P27" s="2">
        <f t="shared" si="9"/>
        <v>0</v>
      </c>
      <c r="Q27" s="2"/>
      <c r="R27" s="19"/>
      <c r="S27" s="2"/>
      <c r="T27" s="2">
        <f>--233.43</f>
        <v>233.43</v>
      </c>
      <c r="U27" s="2"/>
      <c r="V27" s="19"/>
      <c r="W27" s="2"/>
      <c r="X27" s="2">
        <f t="shared" si="2"/>
        <v>-233.43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"4200", " - ", "TAXABLE RETURNS")</f>
        <v xml:space="preserve">          4200 - TAXABLE RETURNS</v>
      </c>
      <c r="C28" s="11"/>
      <c r="D28" s="2">
        <f>-652.65</f>
        <v>-652.65</v>
      </c>
      <c r="E28" s="2"/>
      <c r="F28" s="19"/>
      <c r="G28" s="2"/>
      <c r="H28" s="2">
        <f>0</f>
        <v>0</v>
      </c>
      <c r="I28" s="2"/>
      <c r="J28" s="19"/>
      <c r="K28" s="2"/>
      <c r="L28" s="2">
        <f t="shared" si="0"/>
        <v>-652.65</v>
      </c>
      <c r="M28" s="2"/>
      <c r="N28" s="19">
        <f t="shared" si="1"/>
        <v>0</v>
      </c>
      <c r="O28" s="11"/>
      <c r="P28" s="2">
        <f>-28985.78</f>
        <v>-28985.78</v>
      </c>
      <c r="Q28" s="2"/>
      <c r="R28" s="19"/>
      <c r="S28" s="2"/>
      <c r="T28" s="2">
        <f>0</f>
        <v>0</v>
      </c>
      <c r="U28" s="2"/>
      <c r="V28" s="19"/>
      <c r="W28" s="2"/>
      <c r="X28" s="2">
        <f t="shared" si="2"/>
        <v>-28985.78</v>
      </c>
      <c r="Y28" s="2"/>
      <c r="Z28" s="19">
        <f t="shared" si="3"/>
        <v>0</v>
      </c>
    </row>
    <row r="29" spans="1:26" s="24" customFormat="1" hidden="1" outlineLevel="1" x14ac:dyDescent="0.3">
      <c r="A29" s="44"/>
      <c r="B29" s="11" t="str">
        <f>CONCATENATE("          ", "4201", " - ", "SALES RETURN TAXABLE-NEW TEXT")</f>
        <v xml:space="preserve">          4201 - SALES RETURN TAXABLE-NEW TEXT</v>
      </c>
      <c r="C29" s="11"/>
      <c r="D29" s="2">
        <f t="shared" ref="D29:D31" si="10">0</f>
        <v>0</v>
      </c>
      <c r="E29" s="2"/>
      <c r="F29" s="19"/>
      <c r="G29" s="2"/>
      <c r="H29" s="2">
        <f>-1333.42</f>
        <v>-1333.42</v>
      </c>
      <c r="I29" s="2"/>
      <c r="J29" s="19"/>
      <c r="K29" s="2"/>
      <c r="L29" s="2">
        <f t="shared" si="0"/>
        <v>1333.42</v>
      </c>
      <c r="M29" s="2"/>
      <c r="N29" s="19">
        <f t="shared" si="1"/>
        <v>-1</v>
      </c>
      <c r="O29" s="11"/>
      <c r="P29" s="2">
        <f t="shared" ref="P29:P31" si="11">0</f>
        <v>0</v>
      </c>
      <c r="Q29" s="2"/>
      <c r="R29" s="19"/>
      <c r="S29" s="2"/>
      <c r="T29" s="2">
        <f>-35094.66</f>
        <v>-35094.660000000003</v>
      </c>
      <c r="U29" s="2"/>
      <c r="V29" s="19"/>
      <c r="W29" s="2"/>
      <c r="X29" s="2">
        <f t="shared" si="2"/>
        <v>35094.660000000003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"4202", " - ", "SALES RETURN TAXABLE-USED TEXT")</f>
        <v xml:space="preserve">          4202 - SALES RETURN TAXABLE-USED TEXT</v>
      </c>
      <c r="C30" s="11"/>
      <c r="D30" s="2">
        <f t="shared" si="10"/>
        <v>0</v>
      </c>
      <c r="E30" s="2"/>
      <c r="F30" s="19"/>
      <c r="G30" s="2"/>
      <c r="H30" s="2">
        <f>-3274.35</f>
        <v>-3274.35</v>
      </c>
      <c r="I30" s="2"/>
      <c r="J30" s="19"/>
      <c r="K30" s="2"/>
      <c r="L30" s="2">
        <f t="shared" si="0"/>
        <v>3274.35</v>
      </c>
      <c r="M30" s="2"/>
      <c r="N30" s="19">
        <f t="shared" si="1"/>
        <v>-1</v>
      </c>
      <c r="O30" s="11"/>
      <c r="P30" s="2">
        <f t="shared" si="11"/>
        <v>0</v>
      </c>
      <c r="Q30" s="2"/>
      <c r="R30" s="19"/>
      <c r="S30" s="2"/>
      <c r="T30" s="2">
        <f>-13803.35</f>
        <v>-13803.35</v>
      </c>
      <c r="U30" s="2"/>
      <c r="V30" s="19"/>
      <c r="W30" s="2"/>
      <c r="X30" s="2">
        <f t="shared" si="2"/>
        <v>13803.35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"4204", " - ", "SALES RETURN TAXABLE-DIGITAL T")</f>
        <v xml:space="preserve">          4204 - SALES RETURN TAXABLE-DIGITAL T</v>
      </c>
      <c r="C31" s="11"/>
      <c r="D31" s="2">
        <f t="shared" si="10"/>
        <v>0</v>
      </c>
      <c r="E31" s="2"/>
      <c r="F31" s="19"/>
      <c r="G31" s="2"/>
      <c r="H31" s="2">
        <f t="shared" ref="H31:H33" si="12">0</f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11"/>
        <v>0</v>
      </c>
      <c r="Q31" s="2"/>
      <c r="R31" s="19"/>
      <c r="S31" s="2"/>
      <c r="T31" s="2">
        <f>-1630.85</f>
        <v>-1630.85</v>
      </c>
      <c r="U31" s="2"/>
      <c r="V31" s="19"/>
      <c r="W31" s="2"/>
      <c r="X31" s="2">
        <f t="shared" si="2"/>
        <v>1630.85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"4300", " - ", "NON-TAX RETURNS")</f>
        <v xml:space="preserve">          4300 - NON-TAX RETURNS</v>
      </c>
      <c r="C32" s="11"/>
      <c r="D32" s="2">
        <f>-487.82</f>
        <v>-487.82</v>
      </c>
      <c r="E32" s="2"/>
      <c r="F32" s="19"/>
      <c r="G32" s="2"/>
      <c r="H32" s="2">
        <f t="shared" si="12"/>
        <v>0</v>
      </c>
      <c r="I32" s="2"/>
      <c r="J32" s="19"/>
      <c r="K32" s="2"/>
      <c r="L32" s="2">
        <f t="shared" si="0"/>
        <v>-487.82</v>
      </c>
      <c r="M32" s="2"/>
      <c r="N32" s="19">
        <f t="shared" si="1"/>
        <v>0</v>
      </c>
      <c r="O32" s="11"/>
      <c r="P32" s="2">
        <f>-25392.98</f>
        <v>-25392.98</v>
      </c>
      <c r="Q32" s="2"/>
      <c r="R32" s="19"/>
      <c r="S32" s="2"/>
      <c r="T32" s="2">
        <f>0</f>
        <v>0</v>
      </c>
      <c r="U32" s="2"/>
      <c r="V32" s="19"/>
      <c r="W32" s="2"/>
      <c r="X32" s="2">
        <f t="shared" si="2"/>
        <v>-25392.98</v>
      </c>
      <c r="Y32" s="2"/>
      <c r="Z32" s="19">
        <f t="shared" si="3"/>
        <v>0</v>
      </c>
    </row>
    <row r="33" spans="1:26" s="24" customFormat="1" hidden="1" outlineLevel="1" x14ac:dyDescent="0.3">
      <c r="A33" s="44"/>
      <c r="B33" s="11" t="str">
        <f>CONCATENATE("          ", "4301", " - ", "SALES RETURN NON TAXABLE-NEW T")</f>
        <v xml:space="preserve">          4301 - SALES RETURN NON TAXABLE-NEW T</v>
      </c>
      <c r="C33" s="11"/>
      <c r="D33" s="2">
        <f t="shared" ref="D33:D35" si="13">0</f>
        <v>0</v>
      </c>
      <c r="E33" s="2"/>
      <c r="F33" s="19"/>
      <c r="G33" s="2"/>
      <c r="H33" s="2">
        <f t="shared" si="12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ref="P33:P35" si="14">0</f>
        <v>0</v>
      </c>
      <c r="Q33" s="2"/>
      <c r="R33" s="19"/>
      <c r="S33" s="2"/>
      <c r="T33" s="2">
        <f>-2376.17</f>
        <v>-2376.17</v>
      </c>
      <c r="U33" s="2"/>
      <c r="V33" s="19"/>
      <c r="W33" s="2"/>
      <c r="X33" s="2">
        <f t="shared" si="2"/>
        <v>2376.17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"4302", " - ", "SALES RETURN NON TAXABLE-TEXT")</f>
        <v xml:space="preserve">          4302 - SALES RETURN NON TAXABLE-TEXT</v>
      </c>
      <c r="C34" s="11"/>
      <c r="D34" s="2">
        <f t="shared" si="13"/>
        <v>0</v>
      </c>
      <c r="E34" s="2"/>
      <c r="F34" s="19"/>
      <c r="G34" s="2"/>
      <c r="H34" s="2">
        <f>-76.05</f>
        <v>-76.05</v>
      </c>
      <c r="I34" s="2"/>
      <c r="J34" s="19"/>
      <c r="K34" s="2"/>
      <c r="L34" s="2">
        <f t="shared" si="0"/>
        <v>76.05</v>
      </c>
      <c r="M34" s="2"/>
      <c r="N34" s="19">
        <f t="shared" si="1"/>
        <v>-1</v>
      </c>
      <c r="O34" s="11"/>
      <c r="P34" s="2">
        <f t="shared" si="14"/>
        <v>0</v>
      </c>
      <c r="Q34" s="2"/>
      <c r="R34" s="19"/>
      <c r="S34" s="2"/>
      <c r="T34" s="2">
        <f>-1392.85</f>
        <v>-1392.85</v>
      </c>
      <c r="U34" s="2"/>
      <c r="V34" s="19"/>
      <c r="W34" s="2"/>
      <c r="X34" s="2">
        <f t="shared" si="2"/>
        <v>1392.85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"4304", " - ", "SALES RETURN NON TAXABLE-DIGIT")</f>
        <v xml:space="preserve">          4304 - SALES RETURN NON TAXABLE-DIGIT</v>
      </c>
      <c r="C35" s="11"/>
      <c r="D35" s="2">
        <f t="shared" si="13"/>
        <v>0</v>
      </c>
      <c r="E35" s="2"/>
      <c r="F35" s="19"/>
      <c r="G35" s="2"/>
      <c r="H35" s="2">
        <f>-176.43</f>
        <v>-176.43</v>
      </c>
      <c r="I35" s="2"/>
      <c r="J35" s="19"/>
      <c r="K35" s="2"/>
      <c r="L35" s="2">
        <f t="shared" si="0"/>
        <v>176.43</v>
      </c>
      <c r="M35" s="2"/>
      <c r="N35" s="19">
        <f t="shared" si="1"/>
        <v>-1</v>
      </c>
      <c r="O35" s="11"/>
      <c r="P35" s="2">
        <f t="shared" si="14"/>
        <v>0</v>
      </c>
      <c r="Q35" s="2"/>
      <c r="R35" s="19"/>
      <c r="S35" s="2"/>
      <c r="T35" s="2">
        <f>-14278.54</f>
        <v>-14278.54</v>
      </c>
      <c r="U35" s="2"/>
      <c r="V35" s="19"/>
      <c r="W35" s="2"/>
      <c r="X35" s="2">
        <f t="shared" si="2"/>
        <v>14278.54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"4500", " - ", "SALES DISCOUNT")</f>
        <v xml:space="preserve">          4500 - SALES DISCOUNT</v>
      </c>
      <c r="C36" s="11"/>
      <c r="D36" s="2">
        <f>-90.97</f>
        <v>-90.97</v>
      </c>
      <c r="E36" s="2"/>
      <c r="F36" s="19"/>
      <c r="G36" s="2"/>
      <c r="H36" s="2">
        <f>0</f>
        <v>0</v>
      </c>
      <c r="I36" s="2"/>
      <c r="J36" s="19"/>
      <c r="K36" s="2"/>
      <c r="L36" s="2">
        <f t="shared" si="0"/>
        <v>-90.97</v>
      </c>
      <c r="M36" s="2"/>
      <c r="N36" s="19">
        <f t="shared" si="1"/>
        <v>0</v>
      </c>
      <c r="O36" s="11"/>
      <c r="P36" s="2">
        <f>-623.7</f>
        <v>-623.70000000000005</v>
      </c>
      <c r="Q36" s="2"/>
      <c r="R36" s="19"/>
      <c r="S36" s="2"/>
      <c r="T36" s="2">
        <f>0</f>
        <v>0</v>
      </c>
      <c r="U36" s="2"/>
      <c r="V36" s="19"/>
      <c r="W36" s="2"/>
      <c r="X36" s="2">
        <f t="shared" si="2"/>
        <v>-623.70000000000005</v>
      </c>
      <c r="Y36" s="2"/>
      <c r="Z36" s="19">
        <f t="shared" si="3"/>
        <v>0</v>
      </c>
    </row>
    <row r="37" spans="1:26" x14ac:dyDescent="0.3">
      <c r="A37" s="9"/>
      <c r="B37" s="10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collapsed="1" x14ac:dyDescent="0.3">
      <c r="A38" s="10"/>
      <c r="B38" s="26" t="s">
        <v>256</v>
      </c>
      <c r="C38" s="10"/>
      <c r="D38" s="4">
        <f>SUM(OSRRefD16x_0)</f>
        <v>5116.3400000000074</v>
      </c>
      <c r="E38" s="4"/>
      <c r="F38" s="12">
        <f t="shared" ref="F38:F55" si="15">IF(D$12=0,0,D38/D$12)</f>
        <v>0.70206007182052932</v>
      </c>
      <c r="G38" s="4"/>
      <c r="H38" s="4">
        <f>SUM(OSRRefH16x_0)</f>
        <v>6147.00000000004</v>
      </c>
      <c r="I38" s="4"/>
      <c r="J38" s="12">
        <f t="shared" ref="J38:J55" si="16">IF(H$12=0,0,H38/H$12)</f>
        <v>0.95410901708301277</v>
      </c>
      <c r="K38" s="4"/>
      <c r="L38" s="4">
        <f t="shared" ref="L38:L55" si="17">+D38-H38</f>
        <v>-1030.6600000000326</v>
      </c>
      <c r="M38" s="4"/>
      <c r="N38" s="12">
        <f t="shared" ref="N38:N55" si="18">IF(H38=0,0,L38/H38)</f>
        <v>-0.16766878151944459</v>
      </c>
      <c r="O38" s="10"/>
      <c r="P38" s="4">
        <f>SUM(OSRRefP16x_0)</f>
        <v>848534.21</v>
      </c>
      <c r="Q38" s="4"/>
      <c r="R38" s="12">
        <f t="shared" ref="R38:R55" si="19">IF(P$12=0,0,P38/P$12)</f>
        <v>0.83566515875811154</v>
      </c>
      <c r="S38" s="4"/>
      <c r="T38" s="4">
        <f>SUM(OSRRefT16x_0)</f>
        <v>769077.99999999988</v>
      </c>
      <c r="U38" s="4"/>
      <c r="V38" s="12">
        <f t="shared" ref="V38:V55" si="20">IF(T$12=0,0,T38/T$12)</f>
        <v>0.71072187750829807</v>
      </c>
      <c r="W38" s="4"/>
      <c r="X38" s="4">
        <f t="shared" ref="X38:X55" si="21">+P38-T38</f>
        <v>79456.210000000079</v>
      </c>
      <c r="Y38" s="4"/>
      <c r="Z38" s="12">
        <f t="shared" ref="Z38:Z55" si="22">IF(T38=0,0,X38/T38)</f>
        <v>0.10331359107918844</v>
      </c>
    </row>
    <row r="39" spans="1:26" s="24" customFormat="1" hidden="1" outlineLevel="1" x14ac:dyDescent="0.3">
      <c r="A39" s="44"/>
      <c r="B39" s="11" t="str">
        <f>CONCATENATE("          ", "5000", " - ", "PURCHASES @ COST")</f>
        <v xml:space="preserve">          5000 - PURCHASES @ COST</v>
      </c>
      <c r="C39" s="11"/>
      <c r="D39" s="2">
        <v>-202507.38</v>
      </c>
      <c r="E39" s="2"/>
      <c r="F39" s="19">
        <f t="shared" si="15"/>
        <v>-27.787900285553153</v>
      </c>
      <c r="G39" s="2"/>
      <c r="H39" s="2"/>
      <c r="I39" s="2"/>
      <c r="J39" s="19">
        <f t="shared" si="16"/>
        <v>0</v>
      </c>
      <c r="K39" s="2"/>
      <c r="L39" s="2">
        <f t="shared" si="17"/>
        <v>-202507.38</v>
      </c>
      <c r="M39" s="2"/>
      <c r="N39" s="19">
        <f t="shared" si="18"/>
        <v>0</v>
      </c>
      <c r="O39" s="11"/>
      <c r="P39" s="2">
        <v>1087884.43</v>
      </c>
      <c r="Q39" s="2"/>
      <c r="R39" s="19">
        <f t="shared" si="19"/>
        <v>1.0713853421495259</v>
      </c>
      <c r="S39" s="2"/>
      <c r="T39" s="2">
        <v>0</v>
      </c>
      <c r="U39" s="2"/>
      <c r="V39" s="19">
        <f t="shared" si="20"/>
        <v>0</v>
      </c>
      <c r="W39" s="2"/>
      <c r="X39" s="2">
        <f t="shared" si="21"/>
        <v>1087884.43</v>
      </c>
      <c r="Y39" s="2"/>
      <c r="Z39" s="19">
        <f t="shared" si="22"/>
        <v>0</v>
      </c>
    </row>
    <row r="40" spans="1:26" s="24" customFormat="1" hidden="1" outlineLevel="1" x14ac:dyDescent="0.3">
      <c r="A40" s="44"/>
      <c r="B40" s="11" t="str">
        <f>CONCATENATE("          ", "5001", " - ", "PURCHASES @ COST-NEW TEXT")</f>
        <v xml:space="preserve">          5001 - PURCHASES @ COST-NEW TEXT</v>
      </c>
      <c r="C40" s="11"/>
      <c r="D40" s="2"/>
      <c r="E40" s="2"/>
      <c r="F40" s="19">
        <f t="shared" si="15"/>
        <v>0</v>
      </c>
      <c r="G40" s="2"/>
      <c r="H40" s="2">
        <v>-108529.53</v>
      </c>
      <c r="I40" s="2"/>
      <c r="J40" s="19">
        <f t="shared" si="16"/>
        <v>-16.845453585941218</v>
      </c>
      <c r="K40" s="2"/>
      <c r="L40" s="2">
        <f t="shared" si="17"/>
        <v>108529.53</v>
      </c>
      <c r="M40" s="2"/>
      <c r="N40" s="19">
        <f t="shared" si="18"/>
        <v>-1</v>
      </c>
      <c r="O40" s="11"/>
      <c r="P40" s="2">
        <v>0</v>
      </c>
      <c r="Q40" s="2"/>
      <c r="R40" s="19">
        <f t="shared" si="19"/>
        <v>0</v>
      </c>
      <c r="S40" s="2"/>
      <c r="T40" s="2">
        <v>1036215.44</v>
      </c>
      <c r="U40" s="2"/>
      <c r="V40" s="19">
        <f t="shared" si="20"/>
        <v>0.9575894551916545</v>
      </c>
      <c r="W40" s="2"/>
      <c r="X40" s="2">
        <f t="shared" si="21"/>
        <v>-1036215.44</v>
      </c>
      <c r="Y40" s="2"/>
      <c r="Z40" s="19">
        <f t="shared" si="22"/>
        <v>-1</v>
      </c>
    </row>
    <row r="41" spans="1:26" s="24" customFormat="1" hidden="1" outlineLevel="1" x14ac:dyDescent="0.3">
      <c r="A41" s="44"/>
      <c r="B41" s="11" t="str">
        <f>CONCATENATE("          ", "5002", " - ", "PURCHASES @ COST-USED TEXT")</f>
        <v xml:space="preserve">          5002 - PURCHASES @ COST-USED TEXT</v>
      </c>
      <c r="C41" s="11"/>
      <c r="D41" s="2"/>
      <c r="E41" s="2"/>
      <c r="F41" s="19">
        <f t="shared" si="15"/>
        <v>0</v>
      </c>
      <c r="G41" s="2"/>
      <c r="H41" s="2">
        <v>-209276.59</v>
      </c>
      <c r="I41" s="2"/>
      <c r="J41" s="19">
        <f t="shared" si="16"/>
        <v>-32.482948036990948</v>
      </c>
      <c r="K41" s="2"/>
      <c r="L41" s="2">
        <f t="shared" si="17"/>
        <v>209276.59</v>
      </c>
      <c r="M41" s="2"/>
      <c r="N41" s="19">
        <f t="shared" si="18"/>
        <v>-1</v>
      </c>
      <c r="O41" s="11"/>
      <c r="P41" s="2">
        <v>0</v>
      </c>
      <c r="Q41" s="2"/>
      <c r="R41" s="19">
        <f t="shared" si="19"/>
        <v>0</v>
      </c>
      <c r="S41" s="2"/>
      <c r="T41" s="2">
        <v>-45547.74</v>
      </c>
      <c r="U41" s="2"/>
      <c r="V41" s="19">
        <f t="shared" si="20"/>
        <v>-4.2091667280899747E-2</v>
      </c>
      <c r="W41" s="2"/>
      <c r="X41" s="2">
        <f t="shared" si="21"/>
        <v>45547.74</v>
      </c>
      <c r="Y41" s="2"/>
      <c r="Z41" s="19">
        <f t="shared" si="22"/>
        <v>-1</v>
      </c>
    </row>
    <row r="42" spans="1:26" s="24" customFormat="1" hidden="1" outlineLevel="1" x14ac:dyDescent="0.3">
      <c r="A42" s="44"/>
      <c r="B42" s="11" t="str">
        <f>CONCATENATE("          ", "5003", " - ", "PURCHASES @ COST-RENTAL TEXT")</f>
        <v xml:space="preserve">          5003 - PURCHASES @ COST-RENTAL TEXT</v>
      </c>
      <c r="C42" s="11"/>
      <c r="D42" s="2"/>
      <c r="E42" s="2"/>
      <c r="F42" s="19">
        <f t="shared" si="15"/>
        <v>0</v>
      </c>
      <c r="G42" s="2"/>
      <c r="H42" s="2">
        <v>517.92999999999995</v>
      </c>
      <c r="I42" s="2"/>
      <c r="J42" s="19">
        <f t="shared" si="16"/>
        <v>8.0390708185749393E-2</v>
      </c>
      <c r="K42" s="2"/>
      <c r="L42" s="2">
        <f t="shared" si="17"/>
        <v>-517.92999999999995</v>
      </c>
      <c r="M42" s="2"/>
      <c r="N42" s="19">
        <f t="shared" si="18"/>
        <v>-1</v>
      </c>
      <c r="O42" s="11"/>
      <c r="P42" s="2"/>
      <c r="Q42" s="2"/>
      <c r="R42" s="19">
        <f t="shared" si="19"/>
        <v>0</v>
      </c>
      <c r="S42" s="2"/>
      <c r="T42" s="2">
        <v>32.520000000000003</v>
      </c>
      <c r="U42" s="2"/>
      <c r="V42" s="19">
        <f t="shared" si="20"/>
        <v>3.0052446509417588E-5</v>
      </c>
      <c r="W42" s="2"/>
      <c r="X42" s="2">
        <f t="shared" si="21"/>
        <v>-32.520000000000003</v>
      </c>
      <c r="Y42" s="2"/>
      <c r="Z42" s="19">
        <f t="shared" si="22"/>
        <v>-1</v>
      </c>
    </row>
    <row r="43" spans="1:26" s="24" customFormat="1" hidden="1" outlineLevel="1" x14ac:dyDescent="0.3">
      <c r="A43" s="44"/>
      <c r="B43" s="11" t="str">
        <f>CONCATENATE("          ", "5004", " - ", "PURCHASES @ COST-DIGITAL TEXT")</f>
        <v xml:space="preserve">          5004 - PURCHASES @ COST-DIGITAL TEXT</v>
      </c>
      <c r="C43" s="11"/>
      <c r="D43" s="2"/>
      <c r="E43" s="2"/>
      <c r="F43" s="19">
        <f t="shared" si="15"/>
        <v>0</v>
      </c>
      <c r="G43" s="2"/>
      <c r="H43" s="2">
        <v>1418.58</v>
      </c>
      <c r="I43" s="2"/>
      <c r="J43" s="19">
        <f t="shared" si="16"/>
        <v>0.22018545135083964</v>
      </c>
      <c r="K43" s="2"/>
      <c r="L43" s="2">
        <f t="shared" si="17"/>
        <v>-1418.58</v>
      </c>
      <c r="M43" s="2"/>
      <c r="N43" s="19">
        <f t="shared" si="18"/>
        <v>-1</v>
      </c>
      <c r="O43" s="11"/>
      <c r="P43" s="2">
        <v>0</v>
      </c>
      <c r="Q43" s="2"/>
      <c r="R43" s="19">
        <f t="shared" si="19"/>
        <v>0</v>
      </c>
      <c r="S43" s="2"/>
      <c r="T43" s="2">
        <v>196938.11</v>
      </c>
      <c r="U43" s="2"/>
      <c r="V43" s="19">
        <f t="shared" si="20"/>
        <v>0.18199483445389902</v>
      </c>
      <c r="W43" s="2"/>
      <c r="X43" s="2">
        <f t="shared" si="21"/>
        <v>-196938.11</v>
      </c>
      <c r="Y43" s="2"/>
      <c r="Z43" s="19">
        <f t="shared" si="22"/>
        <v>-1</v>
      </c>
    </row>
    <row r="44" spans="1:26" s="24" customFormat="1" hidden="1" outlineLevel="1" x14ac:dyDescent="0.3">
      <c r="A44" s="44"/>
      <c r="B44" s="11" t="str">
        <f>CONCATENATE("          ", "5011", " - ", "PURCHASES @ COST-NO VALUE TEXT")</f>
        <v xml:space="preserve">          5011 - PURCHASES @ COST-NO VALUE TEXT</v>
      </c>
      <c r="C44" s="11"/>
      <c r="D44" s="2"/>
      <c r="E44" s="2"/>
      <c r="F44" s="19">
        <f t="shared" si="15"/>
        <v>0</v>
      </c>
      <c r="G44" s="2"/>
      <c r="H44" s="2"/>
      <c r="I44" s="2"/>
      <c r="J44" s="19">
        <f t="shared" si="16"/>
        <v>0</v>
      </c>
      <c r="K44" s="2"/>
      <c r="L44" s="2">
        <f t="shared" si="17"/>
        <v>0</v>
      </c>
      <c r="M44" s="2"/>
      <c r="N44" s="19">
        <f t="shared" si="18"/>
        <v>0</v>
      </c>
      <c r="O44" s="11"/>
      <c r="P44" s="2"/>
      <c r="Q44" s="2"/>
      <c r="R44" s="19">
        <f t="shared" si="19"/>
        <v>0</v>
      </c>
      <c r="S44" s="2"/>
      <c r="T44" s="2">
        <v>67.17</v>
      </c>
      <c r="U44" s="2"/>
      <c r="V44" s="19">
        <f t="shared" si="20"/>
        <v>6.2073272817883736E-5</v>
      </c>
      <c r="W44" s="2"/>
      <c r="X44" s="2">
        <f t="shared" si="21"/>
        <v>-67.17</v>
      </c>
      <c r="Y44" s="2"/>
      <c r="Z44" s="19">
        <f t="shared" si="22"/>
        <v>-1</v>
      </c>
    </row>
    <row r="45" spans="1:26" s="24" customFormat="1" hidden="1" outlineLevel="1" x14ac:dyDescent="0.3">
      <c r="A45" s="44"/>
      <c r="B45" s="11" t="str">
        <f>CONCATENATE("          ", "5013", " - ", "PURCHASES @ COST-TRADE BOOKS")</f>
        <v xml:space="preserve">          5013 - PURCHASES @ COST-TRADE BOOKS</v>
      </c>
      <c r="C45" s="11"/>
      <c r="D45" s="2"/>
      <c r="E45" s="2"/>
      <c r="F45" s="19">
        <f t="shared" si="15"/>
        <v>0</v>
      </c>
      <c r="G45" s="2"/>
      <c r="H45" s="2">
        <v>611.1</v>
      </c>
      <c r="I45" s="2"/>
      <c r="J45" s="19">
        <f t="shared" si="16"/>
        <v>9.4852126295660533E-2</v>
      </c>
      <c r="K45" s="2"/>
      <c r="L45" s="2">
        <f t="shared" si="17"/>
        <v>-611.1</v>
      </c>
      <c r="M45" s="2"/>
      <c r="N45" s="19">
        <f t="shared" si="18"/>
        <v>-1</v>
      </c>
      <c r="O45" s="11"/>
      <c r="P45" s="2"/>
      <c r="Q45" s="2"/>
      <c r="R45" s="19">
        <f t="shared" si="19"/>
        <v>0</v>
      </c>
      <c r="S45" s="2"/>
      <c r="T45" s="2">
        <v>2094.7399999999998</v>
      </c>
      <c r="U45" s="2"/>
      <c r="V45" s="19">
        <f t="shared" si="20"/>
        <v>1.9357952583375581E-3</v>
      </c>
      <c r="W45" s="2"/>
      <c r="X45" s="2">
        <f t="shared" si="21"/>
        <v>-2094.7399999999998</v>
      </c>
      <c r="Y45" s="2"/>
      <c r="Z45" s="19">
        <f t="shared" si="22"/>
        <v>-1</v>
      </c>
    </row>
    <row r="46" spans="1:26" s="24" customFormat="1" hidden="1" outlineLevel="1" x14ac:dyDescent="0.3">
      <c r="A46" s="44"/>
      <c r="B46" s="11" t="str">
        <f>CONCATENATE("          ", "5014", " - ", "PURCHASES @ COST-REMAINDERS")</f>
        <v xml:space="preserve">          5014 - PURCHASES @ COST-REMAINDERS</v>
      </c>
      <c r="C46" s="11"/>
      <c r="D46" s="2"/>
      <c r="E46" s="2"/>
      <c r="F46" s="19">
        <f t="shared" si="15"/>
        <v>0</v>
      </c>
      <c r="G46" s="2"/>
      <c r="H46" s="2"/>
      <c r="I46" s="2"/>
      <c r="J46" s="19">
        <f t="shared" si="16"/>
        <v>0</v>
      </c>
      <c r="K46" s="2"/>
      <c r="L46" s="2">
        <f t="shared" si="17"/>
        <v>0</v>
      </c>
      <c r="M46" s="2"/>
      <c r="N46" s="19">
        <f t="shared" si="18"/>
        <v>0</v>
      </c>
      <c r="O46" s="11"/>
      <c r="P46" s="2"/>
      <c r="Q46" s="2"/>
      <c r="R46" s="19">
        <f t="shared" si="19"/>
        <v>0</v>
      </c>
      <c r="S46" s="2"/>
      <c r="T46" s="2">
        <v>90.41</v>
      </c>
      <c r="U46" s="2"/>
      <c r="V46" s="19">
        <f t="shared" si="20"/>
        <v>8.3549867432854979E-5</v>
      </c>
      <c r="W46" s="2"/>
      <c r="X46" s="2">
        <f t="shared" si="21"/>
        <v>-90.41</v>
      </c>
      <c r="Y46" s="2"/>
      <c r="Z46" s="19">
        <f t="shared" si="22"/>
        <v>-1</v>
      </c>
    </row>
    <row r="47" spans="1:26" s="24" customFormat="1" hidden="1" outlineLevel="1" x14ac:dyDescent="0.3">
      <c r="A47" s="44"/>
      <c r="B47" s="11" t="str">
        <f>CONCATENATE("          ", "5018", " - ", "PURCHASES @ COST-STUDY GUIDES")</f>
        <v xml:space="preserve">          5018 - PURCHASES @ COST-STUDY GUIDES</v>
      </c>
      <c r="C47" s="11"/>
      <c r="D47" s="2"/>
      <c r="E47" s="2"/>
      <c r="F47" s="19">
        <f t="shared" si="15"/>
        <v>0</v>
      </c>
      <c r="G47" s="2"/>
      <c r="H47" s="2">
        <v>106.34</v>
      </c>
      <c r="I47" s="2"/>
      <c r="J47" s="19">
        <f t="shared" si="16"/>
        <v>1.6505604827819573E-2</v>
      </c>
      <c r="K47" s="2"/>
      <c r="L47" s="2">
        <f t="shared" si="17"/>
        <v>-106.34</v>
      </c>
      <c r="M47" s="2"/>
      <c r="N47" s="19">
        <f t="shared" si="18"/>
        <v>-1</v>
      </c>
      <c r="O47" s="11"/>
      <c r="P47" s="2"/>
      <c r="Q47" s="2"/>
      <c r="R47" s="19">
        <f t="shared" si="19"/>
        <v>0</v>
      </c>
      <c r="S47" s="2"/>
      <c r="T47" s="2">
        <v>106.34</v>
      </c>
      <c r="U47" s="2"/>
      <c r="V47" s="19">
        <f t="shared" si="20"/>
        <v>9.8271130437006961E-5</v>
      </c>
      <c r="W47" s="2"/>
      <c r="X47" s="2">
        <f t="shared" si="21"/>
        <v>-106.34</v>
      </c>
      <c r="Y47" s="2"/>
      <c r="Z47" s="19">
        <f t="shared" si="22"/>
        <v>-1</v>
      </c>
    </row>
    <row r="48" spans="1:26" s="24" customFormat="1" hidden="1" outlineLevel="1" x14ac:dyDescent="0.3">
      <c r="A48" s="44"/>
      <c r="B48" s="11" t="str">
        <f>CONCATENATE("          ", "5200", " - ", "PURCHASES OFFSET")</f>
        <v xml:space="preserve">          5200 - PURCHASES OFFSET</v>
      </c>
      <c r="C48" s="11"/>
      <c r="D48" s="2">
        <v>202125.45</v>
      </c>
      <c r="E48" s="2"/>
      <c r="F48" s="19">
        <f t="shared" si="15"/>
        <v>27.735492157236738</v>
      </c>
      <c r="G48" s="2"/>
      <c r="H48" s="2">
        <v>313747.15000000002</v>
      </c>
      <c r="I48" s="2"/>
      <c r="J48" s="19">
        <f t="shared" si="16"/>
        <v>48.698387001642203</v>
      </c>
      <c r="K48" s="2"/>
      <c r="L48" s="2">
        <f t="shared" si="17"/>
        <v>-111621.70000000001</v>
      </c>
      <c r="M48" s="2"/>
      <c r="N48" s="19">
        <f t="shared" si="18"/>
        <v>-0.35576960619403236</v>
      </c>
      <c r="O48" s="11"/>
      <c r="P48" s="2">
        <v>-1124404.4099999999</v>
      </c>
      <c r="Q48" s="2"/>
      <c r="R48" s="19">
        <f t="shared" si="19"/>
        <v>-1.1073514523250285</v>
      </c>
      <c r="S48" s="2"/>
      <c r="T48" s="2">
        <v>-1236227.33</v>
      </c>
      <c r="U48" s="2"/>
      <c r="V48" s="19">
        <f t="shared" si="20"/>
        <v>-1.1424248372787553</v>
      </c>
      <c r="W48" s="2"/>
      <c r="X48" s="2">
        <f t="shared" si="21"/>
        <v>111822.92000000016</v>
      </c>
      <c r="Y48" s="2"/>
      <c r="Z48" s="19">
        <f t="shared" si="22"/>
        <v>-9.0454981285683231E-2</v>
      </c>
    </row>
    <row r="49" spans="1:26" s="24" customFormat="1" hidden="1" outlineLevel="1" x14ac:dyDescent="0.3">
      <c r="A49" s="44"/>
      <c r="B49" s="11" t="str">
        <f>CONCATENATE("          ", "5300", " - ", "COG$ OFFSET")</f>
        <v xml:space="preserve">          5300 - COG$ OFFSET</v>
      </c>
      <c r="C49" s="11"/>
      <c r="D49" s="2">
        <v>5116.34</v>
      </c>
      <c r="E49" s="2"/>
      <c r="F49" s="19">
        <f t="shared" si="15"/>
        <v>0.70206007182052832</v>
      </c>
      <c r="G49" s="2"/>
      <c r="H49" s="2">
        <v>6147</v>
      </c>
      <c r="I49" s="2"/>
      <c r="J49" s="19">
        <f t="shared" si="16"/>
        <v>0.95410901708300655</v>
      </c>
      <c r="K49" s="2"/>
      <c r="L49" s="2">
        <f t="shared" si="17"/>
        <v>-1030.6599999999999</v>
      </c>
      <c r="M49" s="2"/>
      <c r="N49" s="19">
        <f t="shared" si="18"/>
        <v>-0.16766878151944034</v>
      </c>
      <c r="O49" s="11"/>
      <c r="P49" s="2">
        <v>848534.21</v>
      </c>
      <c r="Q49" s="2"/>
      <c r="R49" s="19">
        <f t="shared" si="19"/>
        <v>0.83566515875811154</v>
      </c>
      <c r="S49" s="2"/>
      <c r="T49" s="2">
        <v>769078</v>
      </c>
      <c r="U49" s="2"/>
      <c r="V49" s="19">
        <f t="shared" si="20"/>
        <v>0.71072187750829818</v>
      </c>
      <c r="W49" s="2"/>
      <c r="X49" s="2">
        <f t="shared" si="21"/>
        <v>79456.209999999963</v>
      </c>
      <c r="Y49" s="2"/>
      <c r="Z49" s="19">
        <f t="shared" si="22"/>
        <v>0.10331359107918828</v>
      </c>
    </row>
    <row r="50" spans="1:26" s="24" customFormat="1" hidden="1" outlineLevel="1" x14ac:dyDescent="0.3">
      <c r="A50" s="44"/>
      <c r="B50" s="11" t="str">
        <f>CONCATENATE("          ", "5500", " - ", "FREIGHT-IN")</f>
        <v xml:space="preserve">          5500 - FREIGHT-IN</v>
      </c>
      <c r="C50" s="11"/>
      <c r="D50" s="2">
        <v>381.93</v>
      </c>
      <c r="E50" s="2"/>
      <c r="F50" s="19">
        <f t="shared" si="15"/>
        <v>5.2408128316416495E-2</v>
      </c>
      <c r="G50" s="2"/>
      <c r="H50" s="2"/>
      <c r="I50" s="2"/>
      <c r="J50" s="19">
        <f t="shared" si="16"/>
        <v>0</v>
      </c>
      <c r="K50" s="2"/>
      <c r="L50" s="2">
        <f t="shared" si="17"/>
        <v>381.93</v>
      </c>
      <c r="M50" s="2"/>
      <c r="N50" s="19">
        <f t="shared" si="18"/>
        <v>0</v>
      </c>
      <c r="O50" s="11"/>
      <c r="P50" s="2">
        <v>36519.980000000003</v>
      </c>
      <c r="Q50" s="2"/>
      <c r="R50" s="19">
        <f t="shared" si="19"/>
        <v>3.5966110175502601E-2</v>
      </c>
      <c r="S50" s="2"/>
      <c r="T50" s="2">
        <v>0</v>
      </c>
      <c r="U50" s="2"/>
      <c r="V50" s="19">
        <f t="shared" si="20"/>
        <v>0</v>
      </c>
      <c r="W50" s="2"/>
      <c r="X50" s="2">
        <f t="shared" si="21"/>
        <v>36519.980000000003</v>
      </c>
      <c r="Y50" s="2"/>
      <c r="Z50" s="19">
        <f t="shared" si="22"/>
        <v>0</v>
      </c>
    </row>
    <row r="51" spans="1:26" s="24" customFormat="1" hidden="1" outlineLevel="1" x14ac:dyDescent="0.3">
      <c r="A51" s="44"/>
      <c r="B51" s="11" t="str">
        <f>CONCATENATE("          ", "5501", " - ", "FREIGHT-IN-NEW TEXT")</f>
        <v xml:space="preserve">          5501 - FREIGHT-IN-NEW TEXT</v>
      </c>
      <c r="C51" s="11"/>
      <c r="D51" s="2"/>
      <c r="E51" s="2"/>
      <c r="F51" s="19">
        <f t="shared" si="15"/>
        <v>0</v>
      </c>
      <c r="G51" s="2"/>
      <c r="H51" s="2">
        <v>990.19</v>
      </c>
      <c r="I51" s="2"/>
      <c r="J51" s="19">
        <f t="shared" si="16"/>
        <v>0.15369272940058928</v>
      </c>
      <c r="K51" s="2"/>
      <c r="L51" s="2">
        <f t="shared" si="17"/>
        <v>-990.19</v>
      </c>
      <c r="M51" s="2"/>
      <c r="N51" s="19">
        <f t="shared" si="18"/>
        <v>-1</v>
      </c>
      <c r="O51" s="11"/>
      <c r="P51" s="2">
        <v>0</v>
      </c>
      <c r="Q51" s="2"/>
      <c r="R51" s="19">
        <f t="shared" si="19"/>
        <v>0</v>
      </c>
      <c r="S51" s="2"/>
      <c r="T51" s="2">
        <v>35048.81</v>
      </c>
      <c r="U51" s="2"/>
      <c r="V51" s="19">
        <f t="shared" si="20"/>
        <v>3.2389375391873927E-2</v>
      </c>
      <c r="W51" s="2"/>
      <c r="X51" s="2">
        <f t="shared" si="21"/>
        <v>-35048.81</v>
      </c>
      <c r="Y51" s="2"/>
      <c r="Z51" s="19">
        <f t="shared" si="22"/>
        <v>-1</v>
      </c>
    </row>
    <row r="52" spans="1:26" s="24" customFormat="1" hidden="1" outlineLevel="1" x14ac:dyDescent="0.3">
      <c r="A52" s="44"/>
      <c r="B52" s="11" t="str">
        <f>CONCATENATE("          ", "5502", " - ", "FREIGHT-IN-USED TEXT")</f>
        <v xml:space="preserve">          5502 - FREIGHT-IN-USED TEXT</v>
      </c>
      <c r="C52" s="11"/>
      <c r="D52" s="2"/>
      <c r="E52" s="2"/>
      <c r="F52" s="19">
        <f t="shared" si="15"/>
        <v>0</v>
      </c>
      <c r="G52" s="2"/>
      <c r="H52" s="2">
        <v>388.37</v>
      </c>
      <c r="I52" s="2"/>
      <c r="J52" s="19">
        <f t="shared" si="16"/>
        <v>6.0281001946401049E-2</v>
      </c>
      <c r="K52" s="2"/>
      <c r="L52" s="2">
        <f t="shared" si="17"/>
        <v>-388.37</v>
      </c>
      <c r="M52" s="2"/>
      <c r="N52" s="19">
        <f t="shared" si="18"/>
        <v>-1</v>
      </c>
      <c r="O52" s="11"/>
      <c r="P52" s="2">
        <v>0</v>
      </c>
      <c r="Q52" s="2"/>
      <c r="R52" s="19">
        <f t="shared" si="19"/>
        <v>0</v>
      </c>
      <c r="S52" s="2"/>
      <c r="T52" s="2">
        <v>11133.09</v>
      </c>
      <c r="U52" s="2"/>
      <c r="V52" s="19">
        <f t="shared" si="20"/>
        <v>1.0288333078398888E-2</v>
      </c>
      <c r="W52" s="2"/>
      <c r="X52" s="2">
        <f t="shared" si="21"/>
        <v>-11133.09</v>
      </c>
      <c r="Y52" s="2"/>
      <c r="Z52" s="19">
        <f t="shared" si="22"/>
        <v>-1</v>
      </c>
    </row>
    <row r="53" spans="1:26" s="24" customFormat="1" hidden="1" outlineLevel="1" x14ac:dyDescent="0.3">
      <c r="A53" s="44"/>
      <c r="B53" s="11" t="str">
        <f>CONCATENATE("          ", "5504", " - ", "FREIGHT-IN-DIGITAL TEXT")</f>
        <v xml:space="preserve">          5504 - FREIGHT-IN-DIGITAL TEXT</v>
      </c>
      <c r="C53" s="11"/>
      <c r="D53" s="2"/>
      <c r="E53" s="2"/>
      <c r="F53" s="19">
        <f t="shared" si="15"/>
        <v>0</v>
      </c>
      <c r="G53" s="2"/>
      <c r="H53" s="2"/>
      <c r="I53" s="2"/>
      <c r="J53" s="19">
        <f t="shared" si="16"/>
        <v>0</v>
      </c>
      <c r="K53" s="2"/>
      <c r="L53" s="2">
        <f t="shared" si="17"/>
        <v>0</v>
      </c>
      <c r="M53" s="2"/>
      <c r="N53" s="19">
        <f t="shared" si="18"/>
        <v>0</v>
      </c>
      <c r="O53" s="11"/>
      <c r="P53" s="2"/>
      <c r="Q53" s="2"/>
      <c r="R53" s="19">
        <f t="shared" si="19"/>
        <v>0</v>
      </c>
      <c r="S53" s="2"/>
      <c r="T53" s="2">
        <v>21.98</v>
      </c>
      <c r="U53" s="2"/>
      <c r="V53" s="19">
        <f t="shared" si="20"/>
        <v>2.0312200931027016E-5</v>
      </c>
      <c r="W53" s="2"/>
      <c r="X53" s="2">
        <f t="shared" si="21"/>
        <v>-21.98</v>
      </c>
      <c r="Y53" s="2"/>
      <c r="Z53" s="19">
        <f t="shared" si="22"/>
        <v>-1</v>
      </c>
    </row>
    <row r="54" spans="1:26" s="24" customFormat="1" hidden="1" outlineLevel="1" x14ac:dyDescent="0.3">
      <c r="A54" s="44"/>
      <c r="B54" s="11" t="str">
        <f>CONCATENATE("          ", "5513", " - ", "FREIGHT-IN-TRADE BOOKS")</f>
        <v xml:space="preserve">          5513 - FREIGHT-IN-TRADE BOOKS</v>
      </c>
      <c r="C54" s="11"/>
      <c r="D54" s="2"/>
      <c r="E54" s="2"/>
      <c r="F54" s="19">
        <f t="shared" si="15"/>
        <v>0</v>
      </c>
      <c r="G54" s="2"/>
      <c r="H54" s="2">
        <v>26.46</v>
      </c>
      <c r="I54" s="2"/>
      <c r="J54" s="19">
        <f t="shared" si="16"/>
        <v>4.1069992829048888E-3</v>
      </c>
      <c r="K54" s="2"/>
      <c r="L54" s="2">
        <f t="shared" si="17"/>
        <v>-26.46</v>
      </c>
      <c r="M54" s="2"/>
      <c r="N54" s="19">
        <f t="shared" si="18"/>
        <v>-1</v>
      </c>
      <c r="O54" s="11"/>
      <c r="P54" s="2"/>
      <c r="Q54" s="2"/>
      <c r="R54" s="19">
        <f t="shared" si="19"/>
        <v>0</v>
      </c>
      <c r="S54" s="2"/>
      <c r="T54" s="2">
        <v>26.46</v>
      </c>
      <c r="U54" s="2"/>
      <c r="V54" s="19">
        <f t="shared" si="20"/>
        <v>2.44522673628287E-5</v>
      </c>
      <c r="W54" s="2"/>
      <c r="X54" s="2">
        <f t="shared" si="21"/>
        <v>-26.46</v>
      </c>
      <c r="Y54" s="2"/>
      <c r="Z54" s="19">
        <f t="shared" si="22"/>
        <v>-1</v>
      </c>
    </row>
    <row r="55" spans="1:26" s="24" customFormat="1" hidden="1" outlineLevel="1" x14ac:dyDescent="0.3">
      <c r="A55" s="44"/>
      <c r="B55" s="11" t="str">
        <f>CONCATENATE("          ", "5518", " - ", "FREIGHT-IN-STUDY GUIDES")</f>
        <v xml:space="preserve">          5518 - FREIGHT-IN-STUDY GUIDES</v>
      </c>
      <c r="C55" s="11"/>
      <c r="D55" s="2"/>
      <c r="E55" s="2"/>
      <c r="F55" s="19">
        <f t="shared" si="15"/>
        <v>0</v>
      </c>
      <c r="G55" s="2"/>
      <c r="H55" s="2"/>
      <c r="I55" s="2"/>
      <c r="J55" s="19">
        <f t="shared" si="16"/>
        <v>0</v>
      </c>
      <c r="K55" s="2"/>
      <c r="L55" s="2">
        <f t="shared" si="17"/>
        <v>0</v>
      </c>
      <c r="M55" s="2"/>
      <c r="N55" s="19">
        <f t="shared" si="18"/>
        <v>0</v>
      </c>
      <c r="O55" s="11"/>
      <c r="P55" s="2">
        <v>0</v>
      </c>
      <c r="Q55" s="2"/>
      <c r="R55" s="19">
        <f t="shared" si="19"/>
        <v>0</v>
      </c>
      <c r="S55" s="2"/>
      <c r="T55" s="2"/>
      <c r="U55" s="2"/>
      <c r="V55" s="19">
        <f t="shared" si="20"/>
        <v>0</v>
      </c>
      <c r="W55" s="2"/>
      <c r="X55" s="2">
        <f t="shared" si="21"/>
        <v>0</v>
      </c>
      <c r="Y55" s="2"/>
      <c r="Z55" s="19">
        <f t="shared" si="22"/>
        <v>0</v>
      </c>
    </row>
    <row r="56" spans="1:26" x14ac:dyDescent="0.3">
      <c r="A56" s="9"/>
      <c r="B56" s="10"/>
      <c r="C56" s="10"/>
      <c r="D56" s="3"/>
      <c r="E56" s="3"/>
      <c r="F56" s="8"/>
      <c r="G56" s="3"/>
      <c r="H56" s="3"/>
      <c r="I56" s="3"/>
      <c r="J56" s="8"/>
      <c r="K56" s="3"/>
      <c r="L56" s="3"/>
      <c r="M56" s="3"/>
      <c r="N56" s="8"/>
      <c r="O56" s="10"/>
      <c r="P56" s="3"/>
      <c r="Q56" s="3"/>
      <c r="R56" s="8"/>
      <c r="S56" s="3"/>
      <c r="T56" s="3"/>
      <c r="U56" s="3"/>
      <c r="V56" s="8"/>
      <c r="W56" s="3"/>
      <c r="X56" s="3"/>
      <c r="Y56" s="3"/>
      <c r="Z56" s="8"/>
    </row>
    <row r="57" spans="1:26" s="23" customFormat="1" x14ac:dyDescent="0.3">
      <c r="A57" s="10"/>
      <c r="B57" s="25" t="s">
        <v>107</v>
      </c>
      <c r="C57" s="25"/>
      <c r="D57" s="21">
        <f>D12-D38</f>
        <v>2171.2699999999923</v>
      </c>
      <c r="E57" s="13"/>
      <c r="F57" s="22">
        <f>IF(D$12=0,0,D57/D$12)</f>
        <v>0.29793992817947068</v>
      </c>
      <c r="G57" s="13"/>
      <c r="H57" s="21">
        <f>H12-H38</f>
        <v>295.65999999995711</v>
      </c>
      <c r="I57" s="13"/>
      <c r="J57" s="22">
        <f>IF(H$12=0,0,H57/H$12)</f>
        <v>4.5890982916987275E-2</v>
      </c>
      <c r="K57" s="16"/>
      <c r="L57" s="21">
        <f>+D57-H57</f>
        <v>1875.6100000000351</v>
      </c>
      <c r="M57" s="16"/>
      <c r="N57" s="22">
        <f>IF(H57=0,0,L57/H57)</f>
        <v>6.3438070756960947</v>
      </c>
      <c r="O57" s="26"/>
      <c r="P57" s="21">
        <f>P12-P38</f>
        <v>166865.56000000006</v>
      </c>
      <c r="Q57" s="13"/>
      <c r="R57" s="22">
        <f>IF(P$12=0,0,P57/P$12)</f>
        <v>0.16433484124188846</v>
      </c>
      <c r="S57" s="13"/>
      <c r="T57" s="21">
        <f>T12-T38</f>
        <v>313030.23999999987</v>
      </c>
      <c r="U57" s="13"/>
      <c r="V57" s="22">
        <f>IF(T$12=0,0,T57/T$12)</f>
        <v>0.28927812249170187</v>
      </c>
      <c r="W57" s="16"/>
      <c r="X57" s="21">
        <f>+P57-T57</f>
        <v>-146164.67999999982</v>
      </c>
      <c r="Y57" s="16"/>
      <c r="Z57" s="22">
        <f>IF(T57=0,0,X57/T57)</f>
        <v>-0.46693469614948346</v>
      </c>
    </row>
    <row r="58" spans="1:26" x14ac:dyDescent="0.3">
      <c r="A58" s="9"/>
      <c r="B58" s="10"/>
      <c r="C58" s="9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x14ac:dyDescent="0.3">
      <c r="A59" s="10"/>
      <c r="B59" s="26" t="s">
        <v>294</v>
      </c>
      <c r="C59" s="10"/>
      <c r="D59" s="20">
        <f>SUM(OSRRefD22x_0)</f>
        <v>40561.770000000011</v>
      </c>
      <c r="E59" s="20"/>
      <c r="F59" s="32">
        <f t="shared" ref="F59:F69" si="23">IF(D$12=0,0,D59/D$12)</f>
        <v>5.5658535514386767</v>
      </c>
      <c r="G59" s="20"/>
      <c r="H59" s="20">
        <f>SUM(OSRRefH22x_0)</f>
        <v>43215.05000000001</v>
      </c>
      <c r="I59" s="20"/>
      <c r="J59" s="32">
        <f t="shared" ref="J59:J69" si="24">IF(H$12=0,0,H59/H$12)</f>
        <v>6.7076409433370738</v>
      </c>
      <c r="K59" s="4"/>
      <c r="L59" s="20">
        <f t="shared" ref="L59:L69" si="25">+D59-H59</f>
        <v>-2653.2799999999988</v>
      </c>
      <c r="M59" s="4"/>
      <c r="N59" s="32">
        <f t="shared" ref="N59:N69" si="26">IF(H59=0,0,L59/H59)</f>
        <v>-6.1397129009453842E-2</v>
      </c>
      <c r="O59" s="10"/>
      <c r="P59" s="20">
        <f>SUM(OSRRefP22x_0)</f>
        <v>232909.11</v>
      </c>
      <c r="Q59" s="20"/>
      <c r="R59" s="32">
        <f t="shared" ref="R59:R69" si="27">IF(P$12=0,0,P59/P$12)</f>
        <v>0.22937676064275647</v>
      </c>
      <c r="S59" s="20"/>
      <c r="T59" s="20">
        <f>SUM(OSRRefT22x_0)</f>
        <v>212932.37000000002</v>
      </c>
      <c r="U59" s="20"/>
      <c r="V59" s="32">
        <f t="shared" ref="V59:V69" si="28">IF(T$12=0,0,T59/T$12)</f>
        <v>0.19677548153593219</v>
      </c>
      <c r="W59" s="4"/>
      <c r="X59" s="20">
        <f t="shared" ref="X59:X69" si="29">+P59-T59</f>
        <v>19976.739999999962</v>
      </c>
      <c r="Y59" s="4"/>
      <c r="Z59" s="32">
        <f t="shared" ref="Z59:Z69" si="30">IF(T59=0,0,X59/T59)</f>
        <v>9.3817299830927348E-2</v>
      </c>
    </row>
    <row r="60" spans="1:26" s="29" customFormat="1" outlineLevel="1" collapsed="1" x14ac:dyDescent="0.3">
      <c r="A60" s="28"/>
      <c r="B60" s="14" t="str">
        <f>CONCATENATE("     ","*Benefits                                         ")</f>
        <v xml:space="preserve">     *Benefits                                         </v>
      </c>
      <c r="C60" s="14"/>
      <c r="D60" s="1">
        <f>SUM(OSRRefD22_0x_0)</f>
        <v>12540.8</v>
      </c>
      <c r="E60" s="1"/>
      <c r="F60" s="5">
        <f t="shared" si="23"/>
        <v>1.7208385190755269</v>
      </c>
      <c r="G60" s="1"/>
      <c r="H60" s="1">
        <f>SUM(OSRRefH22_0x_0)</f>
        <v>11425.13</v>
      </c>
      <c r="I60" s="1"/>
      <c r="J60" s="5">
        <f t="shared" si="24"/>
        <v>1.7733560361713958</v>
      </c>
      <c r="K60" s="1"/>
      <c r="L60" s="1">
        <f t="shared" si="25"/>
        <v>1115.67</v>
      </c>
      <c r="M60" s="1"/>
      <c r="N60" s="5">
        <f t="shared" si="26"/>
        <v>9.7650530015851042E-2</v>
      </c>
      <c r="O60" s="14"/>
      <c r="P60" s="1">
        <f>SUM(OSRRefP22_0x_0)</f>
        <v>64478.389999999985</v>
      </c>
      <c r="Q60" s="1"/>
      <c r="R60" s="5">
        <f t="shared" si="27"/>
        <v>6.3500496952052676E-2</v>
      </c>
      <c r="S60" s="1"/>
      <c r="T60" s="1">
        <f>SUM(OSRRefT22_0x_0)</f>
        <v>57037.840000000004</v>
      </c>
      <c r="U60" s="1"/>
      <c r="V60" s="5">
        <f t="shared" si="28"/>
        <v>5.2709921144302549E-2</v>
      </c>
      <c r="W60" s="1"/>
      <c r="X60" s="1">
        <f t="shared" si="29"/>
        <v>7440.5499999999811</v>
      </c>
      <c r="Y60" s="1"/>
      <c r="Z60" s="5">
        <f t="shared" si="30"/>
        <v>0.13044936484270758</v>
      </c>
    </row>
    <row r="61" spans="1:26" s="24" customFormat="1" hidden="1" outlineLevel="2" x14ac:dyDescent="0.3">
      <c r="A61" s="27"/>
      <c r="B61" s="11" t="str">
        <f>CONCATENATE("          ", "6111", " - ", "F.I.C.A.")</f>
        <v xml:space="preserve">          6111 - F.I.C.A.</v>
      </c>
      <c r="C61" s="11"/>
      <c r="D61" s="6">
        <v>1887.94</v>
      </c>
      <c r="E61" s="2"/>
      <c r="F61" s="7">
        <f t="shared" si="23"/>
        <v>0.25906161279212253</v>
      </c>
      <c r="G61" s="2"/>
      <c r="H61" s="6">
        <v>1724.83</v>
      </c>
      <c r="I61" s="2"/>
      <c r="J61" s="7">
        <f t="shared" si="24"/>
        <v>0.26772016527334991</v>
      </c>
      <c r="K61" s="2"/>
      <c r="L61" s="6">
        <f t="shared" si="25"/>
        <v>163.11000000000013</v>
      </c>
      <c r="M61" s="2"/>
      <c r="N61" s="7">
        <f t="shared" si="26"/>
        <v>9.4565841271313775E-2</v>
      </c>
      <c r="O61" s="11"/>
      <c r="P61" s="6">
        <v>10947.14</v>
      </c>
      <c r="Q61" s="2"/>
      <c r="R61" s="7">
        <f t="shared" si="27"/>
        <v>1.0781113334307727E-2</v>
      </c>
      <c r="S61" s="2"/>
      <c r="T61" s="6">
        <v>10947.47</v>
      </c>
      <c r="U61" s="2"/>
      <c r="V61" s="7">
        <f t="shared" si="28"/>
        <v>1.0116797558070533E-2</v>
      </c>
      <c r="W61" s="2"/>
      <c r="X61" s="6">
        <f t="shared" si="29"/>
        <v>-0.32999999999992724</v>
      </c>
      <c r="Y61" s="2"/>
      <c r="Z61" s="7">
        <f t="shared" si="30"/>
        <v>-3.0143951068139695E-5</v>
      </c>
    </row>
    <row r="62" spans="1:26" s="24" customFormat="1" hidden="1" outlineLevel="2" x14ac:dyDescent="0.3">
      <c r="A62" s="27"/>
      <c r="B62" s="11" t="str">
        <f>CONCATENATE("          ", "6112", " - ", "COMPENSATION INSURANCE")</f>
        <v xml:space="preserve">          6112 - COMPENSATION INSURANCE</v>
      </c>
      <c r="C62" s="11"/>
      <c r="D62" s="6">
        <v>355.51</v>
      </c>
      <c r="E62" s="2"/>
      <c r="F62" s="7">
        <f t="shared" si="23"/>
        <v>4.878279710357717E-2</v>
      </c>
      <c r="G62" s="2"/>
      <c r="H62" s="6">
        <v>144.18</v>
      </c>
      <c r="I62" s="2"/>
      <c r="J62" s="7">
        <f t="shared" si="24"/>
        <v>2.2378955276236845E-2</v>
      </c>
      <c r="K62" s="2"/>
      <c r="L62" s="6">
        <f t="shared" si="25"/>
        <v>211.32999999999998</v>
      </c>
      <c r="M62" s="2"/>
      <c r="N62" s="7">
        <f t="shared" si="26"/>
        <v>1.4657372728533775</v>
      </c>
      <c r="O62" s="11"/>
      <c r="P62" s="6">
        <v>2193.98</v>
      </c>
      <c r="Q62" s="2"/>
      <c r="R62" s="7">
        <f t="shared" si="27"/>
        <v>2.1607056302563473E-3</v>
      </c>
      <c r="S62" s="2"/>
      <c r="T62" s="6">
        <v>667.35</v>
      </c>
      <c r="U62" s="2"/>
      <c r="V62" s="7">
        <f t="shared" si="28"/>
        <v>6.167127976033157E-4</v>
      </c>
      <c r="W62" s="2"/>
      <c r="X62" s="6">
        <f t="shared" si="29"/>
        <v>1526.63</v>
      </c>
      <c r="Y62" s="2"/>
      <c r="Z62" s="7">
        <f t="shared" si="30"/>
        <v>2.2876002097849706</v>
      </c>
    </row>
    <row r="63" spans="1:26" s="24" customFormat="1" hidden="1" outlineLevel="2" x14ac:dyDescent="0.3">
      <c r="A63" s="27"/>
      <c r="B63" s="11" t="str">
        <f>CONCATENATE("          ", "6113", " - ", "GROUP INSURANCE")</f>
        <v xml:space="preserve">          6113 - GROUP INSURANCE</v>
      </c>
      <c r="C63" s="11"/>
      <c r="D63" s="6">
        <v>4593.8599999999997</v>
      </c>
      <c r="E63" s="2"/>
      <c r="F63" s="7">
        <f t="shared" si="23"/>
        <v>0.63036578521627806</v>
      </c>
      <c r="G63" s="2"/>
      <c r="H63" s="6">
        <v>4248.21</v>
      </c>
      <c r="I63" s="2"/>
      <c r="J63" s="7">
        <f t="shared" si="24"/>
        <v>0.65938758214774673</v>
      </c>
      <c r="K63" s="2"/>
      <c r="L63" s="6">
        <f t="shared" si="25"/>
        <v>345.64999999999964</v>
      </c>
      <c r="M63" s="2"/>
      <c r="N63" s="7">
        <f t="shared" si="26"/>
        <v>8.1363680232380137E-2</v>
      </c>
      <c r="O63" s="11"/>
      <c r="P63" s="6">
        <v>23025.55</v>
      </c>
      <c r="Q63" s="2"/>
      <c r="R63" s="7">
        <f t="shared" si="27"/>
        <v>2.2676339585934711E-2</v>
      </c>
      <c r="S63" s="2"/>
      <c r="T63" s="6">
        <v>21106.84</v>
      </c>
      <c r="U63" s="2"/>
      <c r="V63" s="7">
        <f t="shared" si="28"/>
        <v>1.9505294590493095E-2</v>
      </c>
      <c r="W63" s="2"/>
      <c r="X63" s="6">
        <f t="shared" si="29"/>
        <v>1918.7099999999991</v>
      </c>
      <c r="Y63" s="2"/>
      <c r="Z63" s="7">
        <f t="shared" si="30"/>
        <v>9.0904654604857915E-2</v>
      </c>
    </row>
    <row r="64" spans="1:26" s="24" customFormat="1" hidden="1" outlineLevel="2" x14ac:dyDescent="0.3">
      <c r="A64" s="27"/>
      <c r="B64" s="11" t="str">
        <f>CONCATENATE("          ", "6114", " - ", "STATE UNEMPLOYMENT INSURANCE")</f>
        <v xml:space="preserve">          6114 - STATE UNEMPLOYMENT INSURANCE</v>
      </c>
      <c r="C64" s="11"/>
      <c r="D64" s="6">
        <v>70.599999999999994</v>
      </c>
      <c r="E64" s="2"/>
      <c r="F64" s="7">
        <f t="shared" si="23"/>
        <v>9.6876753832875247E-3</v>
      </c>
      <c r="G64" s="2"/>
      <c r="H64" s="6">
        <v>113.59</v>
      </c>
      <c r="I64" s="2"/>
      <c r="J64" s="7">
        <f t="shared" si="24"/>
        <v>1.7630916422719817E-2</v>
      </c>
      <c r="K64" s="2"/>
      <c r="L64" s="6">
        <f t="shared" si="25"/>
        <v>-42.990000000000009</v>
      </c>
      <c r="M64" s="2"/>
      <c r="N64" s="7">
        <f t="shared" si="26"/>
        <v>-0.37846641429703326</v>
      </c>
      <c r="O64" s="11"/>
      <c r="P64" s="6">
        <v>435.09</v>
      </c>
      <c r="Q64" s="2"/>
      <c r="R64" s="7">
        <f t="shared" si="27"/>
        <v>4.2849133203959653E-4</v>
      </c>
      <c r="S64" s="2"/>
      <c r="T64" s="6">
        <v>382.75</v>
      </c>
      <c r="U64" s="2"/>
      <c r="V64" s="7">
        <f t="shared" si="28"/>
        <v>3.5370768454734256E-4</v>
      </c>
      <c r="W64" s="2"/>
      <c r="X64" s="6">
        <f t="shared" si="29"/>
        <v>52.339999999999975</v>
      </c>
      <c r="Y64" s="2"/>
      <c r="Z64" s="7">
        <f t="shared" si="30"/>
        <v>0.13674722403657733</v>
      </c>
    </row>
    <row r="65" spans="1:26" s="24" customFormat="1" hidden="1" outlineLevel="2" x14ac:dyDescent="0.3">
      <c r="A65" s="27"/>
      <c r="B65" s="11" t="str">
        <f>CONCATENATE("          ", "6115", " - ", "P.E.R.S.")</f>
        <v xml:space="preserve">          6115 - P.E.R.S.</v>
      </c>
      <c r="C65" s="11"/>
      <c r="D65" s="6">
        <v>1671.39</v>
      </c>
      <c r="E65" s="2"/>
      <c r="F65" s="7">
        <f t="shared" si="23"/>
        <v>0.22934679545145806</v>
      </c>
      <c r="G65" s="2"/>
      <c r="H65" s="6">
        <v>2042.1</v>
      </c>
      <c r="I65" s="2"/>
      <c r="J65" s="7">
        <f t="shared" si="24"/>
        <v>0.31696535282010857</v>
      </c>
      <c r="K65" s="2"/>
      <c r="L65" s="6">
        <f t="shared" si="25"/>
        <v>-370.70999999999981</v>
      </c>
      <c r="M65" s="2"/>
      <c r="N65" s="7">
        <f t="shared" si="26"/>
        <v>-0.18153371529308057</v>
      </c>
      <c r="O65" s="11"/>
      <c r="P65" s="6">
        <v>8903.34</v>
      </c>
      <c r="Q65" s="2"/>
      <c r="R65" s="7">
        <f t="shared" si="27"/>
        <v>8.7683100420635311E-3</v>
      </c>
      <c r="S65" s="2"/>
      <c r="T65" s="6">
        <v>8703.02</v>
      </c>
      <c r="U65" s="2"/>
      <c r="V65" s="7">
        <f t="shared" si="28"/>
        <v>8.0426519993970318E-3</v>
      </c>
      <c r="W65" s="2"/>
      <c r="X65" s="6">
        <f t="shared" si="29"/>
        <v>200.31999999999971</v>
      </c>
      <c r="Y65" s="2"/>
      <c r="Z65" s="7">
        <f t="shared" si="30"/>
        <v>2.3017297443875769E-2</v>
      </c>
    </row>
    <row r="66" spans="1:26" s="24" customFormat="1" hidden="1" outlineLevel="2" x14ac:dyDescent="0.3">
      <c r="A66" s="27"/>
      <c r="B66" s="11" t="str">
        <f>CONCATENATE("          ", "6117", " - ", "RETIREMENT STAFF HOURLY")</f>
        <v xml:space="preserve">          6117 - RETIREMENT STAFF HOURLY</v>
      </c>
      <c r="C66" s="11"/>
      <c r="D66" s="6">
        <v>274.61</v>
      </c>
      <c r="E66" s="2"/>
      <c r="F66" s="7">
        <f t="shared" si="23"/>
        <v>3.7681763980234949E-2</v>
      </c>
      <c r="G66" s="2"/>
      <c r="H66" s="6">
        <v>232.91</v>
      </c>
      <c r="I66" s="2"/>
      <c r="J66" s="7">
        <f t="shared" si="24"/>
        <v>3.6151217043891827E-2</v>
      </c>
      <c r="K66" s="2"/>
      <c r="L66" s="6">
        <f t="shared" si="25"/>
        <v>41.700000000000017</v>
      </c>
      <c r="M66" s="2"/>
      <c r="N66" s="7">
        <f t="shared" si="26"/>
        <v>0.17903911382078921</v>
      </c>
      <c r="O66" s="11"/>
      <c r="P66" s="6">
        <v>1522.86</v>
      </c>
      <c r="Q66" s="2"/>
      <c r="R66" s="7">
        <f t="shared" si="27"/>
        <v>1.4997639796589671E-3</v>
      </c>
      <c r="S66" s="2"/>
      <c r="T66" s="6">
        <v>1293.6500000000001</v>
      </c>
      <c r="U66" s="2"/>
      <c r="V66" s="7">
        <f t="shared" si="28"/>
        <v>1.1954903882813058E-3</v>
      </c>
      <c r="W66" s="2"/>
      <c r="X66" s="6">
        <f t="shared" si="29"/>
        <v>229.20999999999981</v>
      </c>
      <c r="Y66" s="2"/>
      <c r="Z66" s="7">
        <f t="shared" si="30"/>
        <v>0.17718084489622371</v>
      </c>
    </row>
    <row r="67" spans="1:26" s="24" customFormat="1" hidden="1" outlineLevel="2" x14ac:dyDescent="0.3">
      <c r="A67" s="27"/>
      <c r="B67" s="11" t="str">
        <f>CONCATENATE("          ", "6118", " - ", "VACATION")</f>
        <v xml:space="preserve">          6118 - VACATION</v>
      </c>
      <c r="C67" s="11"/>
      <c r="D67" s="6">
        <v>1600</v>
      </c>
      <c r="E67" s="2"/>
      <c r="F67" s="7">
        <f t="shared" si="23"/>
        <v>0.2195507169017003</v>
      </c>
      <c r="G67" s="2"/>
      <c r="H67" s="6">
        <v>1278.1500000000001</v>
      </c>
      <c r="I67" s="2"/>
      <c r="J67" s="7">
        <f t="shared" si="24"/>
        <v>0.19838855379610296</v>
      </c>
      <c r="K67" s="2"/>
      <c r="L67" s="6">
        <f t="shared" si="25"/>
        <v>321.84999999999991</v>
      </c>
      <c r="M67" s="2"/>
      <c r="N67" s="7">
        <f t="shared" si="26"/>
        <v>0.25180925556468325</v>
      </c>
      <c r="O67" s="11"/>
      <c r="P67" s="6">
        <v>7701.24</v>
      </c>
      <c r="Q67" s="2"/>
      <c r="R67" s="7">
        <f t="shared" si="27"/>
        <v>7.5844413476674312E-3</v>
      </c>
      <c r="S67" s="2"/>
      <c r="T67" s="6">
        <v>6162.85</v>
      </c>
      <c r="U67" s="2"/>
      <c r="V67" s="7">
        <f t="shared" si="28"/>
        <v>5.6952250913457616E-3</v>
      </c>
      <c r="W67" s="2"/>
      <c r="X67" s="6">
        <f t="shared" si="29"/>
        <v>1538.3899999999994</v>
      </c>
      <c r="Y67" s="2"/>
      <c r="Z67" s="7">
        <f t="shared" si="30"/>
        <v>0.24962314513577311</v>
      </c>
    </row>
    <row r="68" spans="1:26" s="24" customFormat="1" hidden="1" outlineLevel="2" x14ac:dyDescent="0.3">
      <c r="A68" s="27"/>
      <c r="B68" s="11" t="str">
        <f>CONCATENATE("          ", "6119", " - ", "SICK LEAVE")</f>
        <v xml:space="preserve">          6119 - SICK LEAVE</v>
      </c>
      <c r="C68" s="11"/>
      <c r="D68" s="6">
        <v>1114.74</v>
      </c>
      <c r="E68" s="2"/>
      <c r="F68" s="7">
        <f t="shared" si="23"/>
        <v>0.15296372884937587</v>
      </c>
      <c r="G68" s="2"/>
      <c r="H68" s="6">
        <v>1046.08</v>
      </c>
      <c r="I68" s="2"/>
      <c r="J68" s="7">
        <f t="shared" si="24"/>
        <v>0.16236771768182715</v>
      </c>
      <c r="K68" s="2"/>
      <c r="L68" s="6">
        <f t="shared" si="25"/>
        <v>68.660000000000082</v>
      </c>
      <c r="M68" s="2"/>
      <c r="N68" s="7">
        <f t="shared" si="26"/>
        <v>6.563551544814937E-2</v>
      </c>
      <c r="O68" s="11"/>
      <c r="P68" s="6">
        <v>5938.28</v>
      </c>
      <c r="Q68" s="2"/>
      <c r="R68" s="7">
        <f t="shared" si="27"/>
        <v>5.8482187759408295E-3</v>
      </c>
      <c r="S68" s="2"/>
      <c r="T68" s="6">
        <v>5296.78</v>
      </c>
      <c r="U68" s="2"/>
      <c r="V68" s="7">
        <f t="shared" si="28"/>
        <v>4.8948707755889567E-3</v>
      </c>
      <c r="W68" s="2"/>
      <c r="X68" s="6">
        <f t="shared" si="29"/>
        <v>641.5</v>
      </c>
      <c r="Y68" s="2"/>
      <c r="Z68" s="7">
        <f t="shared" si="30"/>
        <v>0.12111131668674176</v>
      </c>
    </row>
    <row r="69" spans="1:26" s="24" customFormat="1" hidden="1" outlineLevel="2" x14ac:dyDescent="0.3">
      <c r="A69" s="27"/>
      <c r="B69" s="11" t="str">
        <f>CONCATENATE("          ", "6156", " - ", "EMPLOYEE MEALS")</f>
        <v xml:space="preserve">          6156 - EMPLOYEE MEALS</v>
      </c>
      <c r="C69" s="11"/>
      <c r="D69" s="6">
        <v>972.15</v>
      </c>
      <c r="E69" s="2"/>
      <c r="F69" s="7">
        <f t="shared" si="23"/>
        <v>0.13339764339749247</v>
      </c>
      <c r="G69" s="2"/>
      <c r="H69" s="6">
        <v>595.08000000000004</v>
      </c>
      <c r="I69" s="2"/>
      <c r="J69" s="7">
        <f t="shared" si="24"/>
        <v>9.2365575709411993E-2</v>
      </c>
      <c r="K69" s="2"/>
      <c r="L69" s="6">
        <f t="shared" si="25"/>
        <v>377.06999999999994</v>
      </c>
      <c r="M69" s="2"/>
      <c r="N69" s="7">
        <f t="shared" si="26"/>
        <v>0.6336458963500704</v>
      </c>
      <c r="O69" s="11"/>
      <c r="P69" s="6">
        <v>3810.91</v>
      </c>
      <c r="Q69" s="2"/>
      <c r="R69" s="7">
        <f t="shared" si="27"/>
        <v>3.753112924183546E-3</v>
      </c>
      <c r="S69" s="2"/>
      <c r="T69" s="6">
        <v>2477.13</v>
      </c>
      <c r="U69" s="2"/>
      <c r="V69" s="7">
        <f t="shared" si="28"/>
        <v>2.2891702589752025E-3</v>
      </c>
      <c r="W69" s="2"/>
      <c r="X69" s="6">
        <f t="shared" si="29"/>
        <v>1333.7799999999997</v>
      </c>
      <c r="Y69" s="2"/>
      <c r="Z69" s="7">
        <f t="shared" si="30"/>
        <v>0.53843762741559775</v>
      </c>
    </row>
    <row r="70" spans="1:26" s="29" customFormat="1" outlineLevel="1" collapsed="1" x14ac:dyDescent="0.3">
      <c r="A70" s="28"/>
      <c r="B70" s="14" t="str">
        <f>CONCATENATE("     ","*Payroll                                          ")</f>
        <v xml:space="preserve">     *Payroll                                          </v>
      </c>
      <c r="C70" s="14"/>
      <c r="D70" s="1">
        <f>SUM(OSRRefD22_1x_0)</f>
        <v>23870.59</v>
      </c>
      <c r="E70" s="1"/>
      <c r="F70" s="5">
        <f t="shared" ref="F70:F77" si="31">IF(D$12=0,0,D70/D$12)</f>
        <v>3.2755032171040988</v>
      </c>
      <c r="G70" s="1"/>
      <c r="H70" s="1">
        <f>SUM(OSRRefH22_1x_0)</f>
        <v>20893.93</v>
      </c>
      <c r="I70" s="1"/>
      <c r="J70" s="5">
        <f t="shared" ref="J70:J77" si="32">IF(H$12=0,0,H70/H$12)</f>
        <v>3.2430595437288341</v>
      </c>
      <c r="K70" s="1"/>
      <c r="L70" s="1">
        <f t="shared" ref="L70:L77" si="33">+D70-H70</f>
        <v>2976.66</v>
      </c>
      <c r="M70" s="1"/>
      <c r="N70" s="5">
        <f t="shared" ref="N70:N77" si="34">IF(H70=0,0,L70/H70)</f>
        <v>0.1424652997305916</v>
      </c>
      <c r="O70" s="14"/>
      <c r="P70" s="1">
        <f>SUM(OSRRefP22_1x_0)</f>
        <v>149186.24000000002</v>
      </c>
      <c r="Q70" s="1"/>
      <c r="R70" s="5">
        <f t="shared" ref="R70:R77" si="35">IF(P$12=0,0,P70/P$12)</f>
        <v>0.14692364958877233</v>
      </c>
      <c r="S70" s="1"/>
      <c r="T70" s="1">
        <f>SUM(OSRRefT22_1x_0)</f>
        <v>137338.75999999998</v>
      </c>
      <c r="U70" s="1"/>
      <c r="V70" s="5">
        <f t="shared" ref="V70:V77" si="36">IF(T$12=0,0,T70/T$12)</f>
        <v>0.12691776563867585</v>
      </c>
      <c r="W70" s="1"/>
      <c r="X70" s="1">
        <f t="shared" ref="X70:X77" si="37">+P70-T70</f>
        <v>11847.48000000004</v>
      </c>
      <c r="Y70" s="1"/>
      <c r="Z70" s="5">
        <f t="shared" ref="Z70:Z77" si="38">IF(T70=0,0,X70/T70)</f>
        <v>8.6264649542489247E-2</v>
      </c>
    </row>
    <row r="71" spans="1:26" s="24" customFormat="1" hidden="1" outlineLevel="2" x14ac:dyDescent="0.3">
      <c r="A71" s="27"/>
      <c r="B71" s="11" t="str">
        <f>CONCATENATE("          ", "6001", " - ", "ADMINISTRATIVE SALARIES")</f>
        <v xml:space="preserve">          6001 - ADMINISTRATIVE SALARIES</v>
      </c>
      <c r="C71" s="11"/>
      <c r="D71" s="6"/>
      <c r="E71" s="2"/>
      <c r="F71" s="7">
        <f t="shared" si="31"/>
        <v>0</v>
      </c>
      <c r="G71" s="2"/>
      <c r="H71" s="6"/>
      <c r="I71" s="2"/>
      <c r="J71" s="7">
        <f t="shared" si="32"/>
        <v>0</v>
      </c>
      <c r="K71" s="2"/>
      <c r="L71" s="6">
        <f t="shared" si="33"/>
        <v>0</v>
      </c>
      <c r="M71" s="2"/>
      <c r="N71" s="7">
        <f t="shared" si="34"/>
        <v>0</v>
      </c>
      <c r="O71" s="11"/>
      <c r="P71" s="6"/>
      <c r="Q71" s="2"/>
      <c r="R71" s="7">
        <f t="shared" si="35"/>
        <v>0</v>
      </c>
      <c r="S71" s="2"/>
      <c r="T71" s="6">
        <v>-311.32</v>
      </c>
      <c r="U71" s="2"/>
      <c r="V71" s="7">
        <f t="shared" si="36"/>
        <v>-2.8769765213136172E-4</v>
      </c>
      <c r="W71" s="2"/>
      <c r="X71" s="6">
        <f t="shared" si="37"/>
        <v>311.32</v>
      </c>
      <c r="Y71" s="2"/>
      <c r="Z71" s="7">
        <f t="shared" si="38"/>
        <v>-1</v>
      </c>
    </row>
    <row r="72" spans="1:26" s="24" customFormat="1" hidden="1" outlineLevel="2" x14ac:dyDescent="0.3">
      <c r="A72" s="27"/>
      <c r="B72" s="11" t="str">
        <f>CONCATENATE("          ", "6002", " - ", "STAFF SALARIES")</f>
        <v xml:space="preserve">          6002 - STAFF SALARIES</v>
      </c>
      <c r="C72" s="11"/>
      <c r="D72" s="6">
        <v>15611.26</v>
      </c>
      <c r="E72" s="2"/>
      <c r="F72" s="7">
        <f t="shared" si="31"/>
        <v>2.1421645779617737</v>
      </c>
      <c r="G72" s="2"/>
      <c r="H72" s="6">
        <v>14271.35</v>
      </c>
      <c r="I72" s="2"/>
      <c r="J72" s="7">
        <f t="shared" si="32"/>
        <v>2.2151331903282196</v>
      </c>
      <c r="K72" s="2"/>
      <c r="L72" s="6">
        <f t="shared" si="33"/>
        <v>1339.9099999999999</v>
      </c>
      <c r="M72" s="2"/>
      <c r="N72" s="7">
        <f t="shared" si="34"/>
        <v>9.3888104489063748E-2</v>
      </c>
      <c r="O72" s="11"/>
      <c r="P72" s="6">
        <v>85279.16</v>
      </c>
      <c r="Q72" s="2"/>
      <c r="R72" s="7">
        <f t="shared" si="35"/>
        <v>8.3985798027115963E-2</v>
      </c>
      <c r="S72" s="2"/>
      <c r="T72" s="6">
        <v>78415.5</v>
      </c>
      <c r="U72" s="2"/>
      <c r="V72" s="7">
        <f t="shared" si="36"/>
        <v>7.2465486447085933E-2</v>
      </c>
      <c r="W72" s="2"/>
      <c r="X72" s="6">
        <f t="shared" si="37"/>
        <v>6863.6600000000035</v>
      </c>
      <c r="Y72" s="2"/>
      <c r="Z72" s="7">
        <f t="shared" si="38"/>
        <v>8.7529378758026202E-2</v>
      </c>
    </row>
    <row r="73" spans="1:26" s="24" customFormat="1" hidden="1" outlineLevel="2" x14ac:dyDescent="0.3">
      <c r="A73" s="27"/>
      <c r="B73" s="11" t="str">
        <f>CONCATENATE("          ", "6004", " - ", "STAFF HOURLY")</f>
        <v xml:space="preserve">          6004 - STAFF HOURLY</v>
      </c>
      <c r="C73" s="11"/>
      <c r="D73" s="6">
        <v>4911.74</v>
      </c>
      <c r="E73" s="2"/>
      <c r="F73" s="7">
        <f t="shared" si="31"/>
        <v>0.67398502389672332</v>
      </c>
      <c r="G73" s="2"/>
      <c r="H73" s="6">
        <v>5370.49</v>
      </c>
      <c r="I73" s="2"/>
      <c r="J73" s="7">
        <f t="shared" si="32"/>
        <v>0.83358271273045637</v>
      </c>
      <c r="K73" s="2"/>
      <c r="L73" s="6">
        <f t="shared" si="33"/>
        <v>-458.75</v>
      </c>
      <c r="M73" s="2"/>
      <c r="N73" s="7">
        <f t="shared" si="34"/>
        <v>-8.5420510977583061E-2</v>
      </c>
      <c r="O73" s="11"/>
      <c r="P73" s="6">
        <v>29708.2</v>
      </c>
      <c r="Q73" s="2"/>
      <c r="R73" s="7">
        <f t="shared" si="35"/>
        <v>2.9257639087312378E-2</v>
      </c>
      <c r="S73" s="2"/>
      <c r="T73" s="6">
        <v>32682.01</v>
      </c>
      <c r="U73" s="2"/>
      <c r="V73" s="7">
        <f t="shared" si="36"/>
        <v>3.0202163510001555E-2</v>
      </c>
      <c r="W73" s="2"/>
      <c r="X73" s="6">
        <f t="shared" si="37"/>
        <v>-2973.8099999999977</v>
      </c>
      <c r="Y73" s="2"/>
      <c r="Z73" s="7">
        <f t="shared" si="38"/>
        <v>-9.0992261491872672E-2</v>
      </c>
    </row>
    <row r="74" spans="1:26" s="24" customFormat="1" hidden="1" outlineLevel="2" x14ac:dyDescent="0.3">
      <c r="A74" s="27"/>
      <c r="B74" s="11" t="str">
        <f>CONCATENATE("          ", "6005", " - ", "TEMPORARY WAGES-HOURLY")</f>
        <v xml:space="preserve">          6005 - TEMPORARY WAGES-HOURLY</v>
      </c>
      <c r="C74" s="11"/>
      <c r="D74" s="6">
        <v>2066.79</v>
      </c>
      <c r="E74" s="2"/>
      <c r="F74" s="7">
        <f t="shared" si="31"/>
        <v>0.2836032663657907</v>
      </c>
      <c r="G74" s="2"/>
      <c r="H74" s="6"/>
      <c r="I74" s="2"/>
      <c r="J74" s="7">
        <f t="shared" si="32"/>
        <v>0</v>
      </c>
      <c r="K74" s="2"/>
      <c r="L74" s="6">
        <f t="shared" si="33"/>
        <v>2066.79</v>
      </c>
      <c r="M74" s="2"/>
      <c r="N74" s="7">
        <f t="shared" si="34"/>
        <v>0</v>
      </c>
      <c r="O74" s="11"/>
      <c r="P74" s="6">
        <v>12607.65</v>
      </c>
      <c r="Q74" s="2"/>
      <c r="R74" s="7">
        <f t="shared" si="35"/>
        <v>1.2416439684637706E-2</v>
      </c>
      <c r="S74" s="2"/>
      <c r="T74" s="6">
        <v>12838</v>
      </c>
      <c r="U74" s="2"/>
      <c r="V74" s="7">
        <f t="shared" si="36"/>
        <v>1.1863877868631703E-2</v>
      </c>
      <c r="W74" s="2"/>
      <c r="X74" s="6">
        <f t="shared" si="37"/>
        <v>-230.35000000000036</v>
      </c>
      <c r="Y74" s="2"/>
      <c r="Z74" s="7">
        <f t="shared" si="38"/>
        <v>-1.7942825985356004E-2</v>
      </c>
    </row>
    <row r="75" spans="1:26" s="24" customFormat="1" hidden="1" outlineLevel="2" x14ac:dyDescent="0.3">
      <c r="A75" s="27"/>
      <c r="B75" s="11" t="str">
        <f>CONCATENATE("          ", "6006", " - ", "TEMPORARY PART TIME")</f>
        <v xml:space="preserve">          6006 - TEMPORARY PART TIME</v>
      </c>
      <c r="C75" s="11"/>
      <c r="D75" s="6"/>
      <c r="E75" s="2"/>
      <c r="F75" s="7">
        <f t="shared" si="31"/>
        <v>0</v>
      </c>
      <c r="G75" s="2"/>
      <c r="H75" s="6"/>
      <c r="I75" s="2"/>
      <c r="J75" s="7">
        <f t="shared" si="32"/>
        <v>0</v>
      </c>
      <c r="K75" s="2"/>
      <c r="L75" s="6">
        <f t="shared" si="33"/>
        <v>0</v>
      </c>
      <c r="M75" s="2"/>
      <c r="N75" s="7">
        <f t="shared" si="34"/>
        <v>0</v>
      </c>
      <c r="O75" s="11"/>
      <c r="P75" s="6"/>
      <c r="Q75" s="2"/>
      <c r="R75" s="7">
        <f t="shared" si="35"/>
        <v>0</v>
      </c>
      <c r="S75" s="2"/>
      <c r="T75" s="6">
        <v>502.29</v>
      </c>
      <c r="U75" s="2"/>
      <c r="V75" s="7">
        <f t="shared" si="36"/>
        <v>4.6417722500662235E-4</v>
      </c>
      <c r="W75" s="2"/>
      <c r="X75" s="6">
        <f t="shared" si="37"/>
        <v>-502.29</v>
      </c>
      <c r="Y75" s="2"/>
      <c r="Z75" s="7">
        <f t="shared" si="38"/>
        <v>-1</v>
      </c>
    </row>
    <row r="76" spans="1:26" s="24" customFormat="1" hidden="1" outlineLevel="2" x14ac:dyDescent="0.3">
      <c r="A76" s="27"/>
      <c r="B76" s="11" t="str">
        <f>CONCATENATE("          ", "6007", " - ", "STUDENT HOURLY")</f>
        <v xml:space="preserve">          6007 - STUDENT HOURLY</v>
      </c>
      <c r="C76" s="11"/>
      <c r="D76" s="6">
        <v>1280.8</v>
      </c>
      <c r="E76" s="2"/>
      <c r="F76" s="7">
        <f t="shared" si="31"/>
        <v>0.17575034887981109</v>
      </c>
      <c r="G76" s="2"/>
      <c r="H76" s="6">
        <v>1252.0899999999999</v>
      </c>
      <c r="I76" s="2"/>
      <c r="J76" s="7">
        <f t="shared" si="32"/>
        <v>0.19434364067015805</v>
      </c>
      <c r="K76" s="2"/>
      <c r="L76" s="6">
        <f t="shared" si="33"/>
        <v>28.710000000000036</v>
      </c>
      <c r="M76" s="2"/>
      <c r="N76" s="7">
        <f t="shared" si="34"/>
        <v>2.292966160579514E-2</v>
      </c>
      <c r="O76" s="11"/>
      <c r="P76" s="6">
        <v>17624.75</v>
      </c>
      <c r="Q76" s="2"/>
      <c r="R76" s="7">
        <f t="shared" si="35"/>
        <v>1.7357449273402926E-2</v>
      </c>
      <c r="S76" s="2"/>
      <c r="T76" s="6">
        <v>13212.28</v>
      </c>
      <c r="U76" s="2"/>
      <c r="V76" s="7">
        <f t="shared" si="36"/>
        <v>1.2209758240081421E-2</v>
      </c>
      <c r="W76" s="2"/>
      <c r="X76" s="6">
        <f t="shared" si="37"/>
        <v>4412.4699999999993</v>
      </c>
      <c r="Y76" s="2"/>
      <c r="Z76" s="7">
        <f t="shared" si="38"/>
        <v>0.33396733947509433</v>
      </c>
    </row>
    <row r="77" spans="1:26" s="24" customFormat="1" hidden="1" outlineLevel="2" x14ac:dyDescent="0.3">
      <c r="A77" s="27"/>
      <c r="B77" s="11" t="str">
        <f>CONCATENATE("          ", "6008", " - ", "STUDENT HOURLY-FICA EXEMPT")</f>
        <v xml:space="preserve">          6008 - STUDENT HOURLY-FICA EXEMPT</v>
      </c>
      <c r="C77" s="11"/>
      <c r="D77" s="6"/>
      <c r="E77" s="2"/>
      <c r="F77" s="7">
        <f t="shared" si="31"/>
        <v>0</v>
      </c>
      <c r="G77" s="2"/>
      <c r="H77" s="6"/>
      <c r="I77" s="2"/>
      <c r="J77" s="7">
        <f t="shared" si="32"/>
        <v>0</v>
      </c>
      <c r="K77" s="2"/>
      <c r="L77" s="6">
        <f t="shared" si="33"/>
        <v>0</v>
      </c>
      <c r="M77" s="2"/>
      <c r="N77" s="7">
        <f t="shared" si="34"/>
        <v>0</v>
      </c>
      <c r="O77" s="11"/>
      <c r="P77" s="6">
        <v>3966.48</v>
      </c>
      <c r="Q77" s="2"/>
      <c r="R77" s="7">
        <f t="shared" si="35"/>
        <v>3.9063235163033375E-3</v>
      </c>
      <c r="S77" s="2"/>
      <c r="T77" s="6"/>
      <c r="U77" s="2"/>
      <c r="V77" s="7">
        <f t="shared" si="36"/>
        <v>0</v>
      </c>
      <c r="W77" s="2"/>
      <c r="X77" s="6">
        <f t="shared" si="37"/>
        <v>3966.48</v>
      </c>
      <c r="Y77" s="2"/>
      <c r="Z77" s="7">
        <f t="shared" si="38"/>
        <v>0</v>
      </c>
    </row>
    <row r="78" spans="1:26" s="29" customFormat="1" outlineLevel="1" collapsed="1" x14ac:dyDescent="0.3">
      <c r="A78" s="28"/>
      <c r="B78" s="14" t="str">
        <f>CONCATENATE("     ","Advertising/Promo                                 ")</f>
        <v xml:space="preserve">     Advertising/Promo                                 </v>
      </c>
      <c r="C78" s="14"/>
      <c r="D78" s="1">
        <f>SUM(OSRRefD22_2x_0)</f>
        <v>0.66</v>
      </c>
      <c r="E78" s="1"/>
      <c r="F78" s="5">
        <f t="shared" ref="F78:F95" si="39">IF(D$12=0,0,D78/D$12)</f>
        <v>9.0564670721951377E-5</v>
      </c>
      <c r="G78" s="1"/>
      <c r="H78" s="1">
        <f>SUM(OSRRefH22_2x_0)</f>
        <v>0</v>
      </c>
      <c r="I78" s="1"/>
      <c r="J78" s="5">
        <f t="shared" ref="J78:J95" si="40">IF(H$12=0,0,H78/H$12)</f>
        <v>0</v>
      </c>
      <c r="K78" s="1"/>
      <c r="L78" s="1">
        <f t="shared" ref="L78:L95" si="41">+D78-H78</f>
        <v>0.66</v>
      </c>
      <c r="M78" s="1"/>
      <c r="N78" s="5">
        <f t="shared" ref="N78:N95" si="42">IF(H78=0,0,L78/H78)</f>
        <v>0</v>
      </c>
      <c r="O78" s="14"/>
      <c r="P78" s="1">
        <f>SUM(OSRRefP22_2x_0)</f>
        <v>233.71</v>
      </c>
      <c r="Q78" s="1"/>
      <c r="R78" s="5">
        <f t="shared" ref="R78:R95" si="43">IF(P$12=0,0,P78/P$12)</f>
        <v>2.3016550417378961E-4</v>
      </c>
      <c r="S78" s="1"/>
      <c r="T78" s="1">
        <f>SUM(OSRRefT22_2x_0)</f>
        <v>1359.88</v>
      </c>
      <c r="U78" s="1"/>
      <c r="V78" s="5">
        <f t="shared" ref="V78:V95" si="44">IF(T$12=0,0,T78/T$12)</f>
        <v>1.2566949864460883E-3</v>
      </c>
      <c r="W78" s="1"/>
      <c r="X78" s="1">
        <f t="shared" ref="X78:X95" si="45">+P78-T78</f>
        <v>-1126.17</v>
      </c>
      <c r="Y78" s="1"/>
      <c r="Z78" s="5">
        <f t="shared" ref="Z78:Z95" si="46">IF(T78=0,0,X78/T78)</f>
        <v>-0.82813924758066892</v>
      </c>
    </row>
    <row r="79" spans="1:26" s="24" customFormat="1" hidden="1" outlineLevel="2" x14ac:dyDescent="0.3">
      <c r="A79" s="27"/>
      <c r="B79" s="11" t="str">
        <f>CONCATENATE("          ", "6362", " - ", "ADVERTISING EXPENSE")</f>
        <v xml:space="preserve">          6362 - ADVERTISING EXPENSE</v>
      </c>
      <c r="C79" s="11"/>
      <c r="D79" s="6">
        <v>0.66</v>
      </c>
      <c r="E79" s="2"/>
      <c r="F79" s="7">
        <f t="shared" si="39"/>
        <v>9.0564670721951377E-5</v>
      </c>
      <c r="G79" s="2"/>
      <c r="H79" s="6"/>
      <c r="I79" s="2"/>
      <c r="J79" s="7">
        <f t="shared" si="40"/>
        <v>0</v>
      </c>
      <c r="K79" s="2"/>
      <c r="L79" s="6">
        <f t="shared" si="41"/>
        <v>0.66</v>
      </c>
      <c r="M79" s="2"/>
      <c r="N79" s="7">
        <f t="shared" si="42"/>
        <v>0</v>
      </c>
      <c r="O79" s="11"/>
      <c r="P79" s="6">
        <v>233.71</v>
      </c>
      <c r="Q79" s="2"/>
      <c r="R79" s="7">
        <f t="shared" si="43"/>
        <v>2.3016550417378961E-4</v>
      </c>
      <c r="S79" s="2"/>
      <c r="T79" s="6">
        <v>1359.88</v>
      </c>
      <c r="U79" s="2"/>
      <c r="V79" s="7">
        <f t="shared" si="44"/>
        <v>1.2566949864460883E-3</v>
      </c>
      <c r="W79" s="2"/>
      <c r="X79" s="6">
        <f t="shared" si="45"/>
        <v>-1126.17</v>
      </c>
      <c r="Y79" s="2"/>
      <c r="Z79" s="7">
        <f t="shared" si="46"/>
        <v>-0.82813924758066892</v>
      </c>
    </row>
    <row r="80" spans="1:26" s="29" customFormat="1" outlineLevel="1" collapsed="1" x14ac:dyDescent="0.3">
      <c r="A80" s="28"/>
      <c r="B80" s="14" t="str">
        <f>CONCATENATE("     ","Discounts and Markdowns                           ")</f>
        <v xml:space="preserve">     Discounts and Markdowns                           </v>
      </c>
      <c r="C80" s="14"/>
      <c r="D80" s="1">
        <f>SUM(OSRRefD22_3x_0)</f>
        <v>0</v>
      </c>
      <c r="E80" s="1"/>
      <c r="F80" s="5">
        <f t="shared" si="39"/>
        <v>0</v>
      </c>
      <c r="G80" s="1"/>
      <c r="H80" s="1">
        <f>SUM(OSRRefH22_3x_0)</f>
        <v>0</v>
      </c>
      <c r="I80" s="1"/>
      <c r="J80" s="5">
        <f t="shared" si="40"/>
        <v>0</v>
      </c>
      <c r="K80" s="1"/>
      <c r="L80" s="1">
        <f t="shared" si="41"/>
        <v>0</v>
      </c>
      <c r="M80" s="1"/>
      <c r="N80" s="5">
        <f t="shared" si="42"/>
        <v>0</v>
      </c>
      <c r="O80" s="14"/>
      <c r="P80" s="1">
        <f>SUM(OSRRefP22_3x_0)</f>
        <v>0</v>
      </c>
      <c r="Q80" s="1"/>
      <c r="R80" s="5">
        <f t="shared" si="43"/>
        <v>0</v>
      </c>
      <c r="S80" s="1"/>
      <c r="T80" s="1">
        <f>SUM(OSRRefT22_3x_0)</f>
        <v>0</v>
      </c>
      <c r="U80" s="1"/>
      <c r="V80" s="5">
        <f t="shared" si="44"/>
        <v>0</v>
      </c>
      <c r="W80" s="1"/>
      <c r="X80" s="1">
        <f t="shared" si="45"/>
        <v>0</v>
      </c>
      <c r="Y80" s="1"/>
      <c r="Z80" s="5">
        <f t="shared" si="46"/>
        <v>0</v>
      </c>
    </row>
    <row r="81" spans="1:26" s="24" customFormat="1" hidden="1" outlineLevel="2" x14ac:dyDescent="0.3">
      <c r="A81" s="27"/>
      <c r="B81" s="11" t="str">
        <f>CONCATENATE("          ", "6382", " - ", "DISCOUNTS/MARK DOWNS")</f>
        <v xml:space="preserve">          6382 - DISCOUNTS/MARK DOWNS</v>
      </c>
      <c r="C81" s="11"/>
      <c r="D81" s="6"/>
      <c r="E81" s="2"/>
      <c r="F81" s="7">
        <f t="shared" si="39"/>
        <v>0</v>
      </c>
      <c r="G81" s="2"/>
      <c r="H81" s="6">
        <v>0</v>
      </c>
      <c r="I81" s="2"/>
      <c r="J81" s="7">
        <f t="shared" si="40"/>
        <v>0</v>
      </c>
      <c r="K81" s="2"/>
      <c r="L81" s="6">
        <f t="shared" si="41"/>
        <v>0</v>
      </c>
      <c r="M81" s="2"/>
      <c r="N81" s="7">
        <f t="shared" si="42"/>
        <v>0</v>
      </c>
      <c r="O81" s="11"/>
      <c r="P81" s="6"/>
      <c r="Q81" s="2"/>
      <c r="R81" s="7">
        <f t="shared" si="43"/>
        <v>0</v>
      </c>
      <c r="S81" s="2"/>
      <c r="T81" s="6">
        <v>0</v>
      </c>
      <c r="U81" s="2"/>
      <c r="V81" s="7">
        <f t="shared" si="44"/>
        <v>0</v>
      </c>
      <c r="W81" s="2"/>
      <c r="X81" s="6">
        <f t="shared" si="45"/>
        <v>0</v>
      </c>
      <c r="Y81" s="2"/>
      <c r="Z81" s="7">
        <f t="shared" si="46"/>
        <v>0</v>
      </c>
    </row>
    <row r="82" spans="1:26" s="29" customFormat="1" outlineLevel="1" collapsed="1" x14ac:dyDescent="0.3">
      <c r="A82" s="28"/>
      <c r="B82" s="14" t="str">
        <f>CONCATENATE("     ","Employees' Appreciation                           ")</f>
        <v xml:space="preserve">     Employees' Appreciation                           </v>
      </c>
      <c r="C82" s="14"/>
      <c r="D82" s="1">
        <f>SUM(OSRRefD22_4x_0)</f>
        <v>0</v>
      </c>
      <c r="E82" s="1"/>
      <c r="F82" s="5">
        <f t="shared" si="39"/>
        <v>0</v>
      </c>
      <c r="G82" s="1"/>
      <c r="H82" s="1">
        <f>SUM(OSRRefH22_4x_0)</f>
        <v>0</v>
      </c>
      <c r="I82" s="1"/>
      <c r="J82" s="5">
        <f t="shared" si="40"/>
        <v>0</v>
      </c>
      <c r="K82" s="1"/>
      <c r="L82" s="1">
        <f t="shared" si="41"/>
        <v>0</v>
      </c>
      <c r="M82" s="1"/>
      <c r="N82" s="5">
        <f t="shared" si="42"/>
        <v>0</v>
      </c>
      <c r="O82" s="14"/>
      <c r="P82" s="1">
        <f>SUM(OSRRefP22_4x_0)</f>
        <v>0</v>
      </c>
      <c r="Q82" s="1"/>
      <c r="R82" s="5">
        <f t="shared" si="43"/>
        <v>0</v>
      </c>
      <c r="S82" s="1"/>
      <c r="T82" s="1">
        <f>SUM(OSRRefT22_4x_0)</f>
        <v>107.7</v>
      </c>
      <c r="U82" s="1"/>
      <c r="V82" s="5">
        <f t="shared" si="44"/>
        <v>9.9527936318089615E-5</v>
      </c>
      <c r="W82" s="1"/>
      <c r="X82" s="1">
        <f t="shared" si="45"/>
        <v>-107.7</v>
      </c>
      <c r="Y82" s="1"/>
      <c r="Z82" s="5">
        <f t="shared" si="46"/>
        <v>-1</v>
      </c>
    </row>
    <row r="83" spans="1:26" s="24" customFormat="1" hidden="1" outlineLevel="2" x14ac:dyDescent="0.3">
      <c r="A83" s="27"/>
      <c r="B83" s="11" t="str">
        <f>CONCATENATE("          ", "6277", " - ", "EMPLOYEE APPRECIATION")</f>
        <v xml:space="preserve">          6277 - EMPLOYEE APPRECIATION</v>
      </c>
      <c r="C83" s="11"/>
      <c r="D83" s="6"/>
      <c r="E83" s="2"/>
      <c r="F83" s="7">
        <f t="shared" si="39"/>
        <v>0</v>
      </c>
      <c r="G83" s="2"/>
      <c r="H83" s="6"/>
      <c r="I83" s="2"/>
      <c r="J83" s="7">
        <f t="shared" si="40"/>
        <v>0</v>
      </c>
      <c r="K83" s="2"/>
      <c r="L83" s="6">
        <f t="shared" si="41"/>
        <v>0</v>
      </c>
      <c r="M83" s="2"/>
      <c r="N83" s="7">
        <f t="shared" si="42"/>
        <v>0</v>
      </c>
      <c r="O83" s="11"/>
      <c r="P83" s="6"/>
      <c r="Q83" s="2"/>
      <c r="R83" s="7">
        <f t="shared" si="43"/>
        <v>0</v>
      </c>
      <c r="S83" s="2"/>
      <c r="T83" s="6">
        <v>107.7</v>
      </c>
      <c r="U83" s="2"/>
      <c r="V83" s="7">
        <f t="shared" si="44"/>
        <v>9.9527936318089615E-5</v>
      </c>
      <c r="W83" s="2"/>
      <c r="X83" s="6">
        <f t="shared" si="45"/>
        <v>-107.7</v>
      </c>
      <c r="Y83" s="2"/>
      <c r="Z83" s="7">
        <f t="shared" si="46"/>
        <v>-1</v>
      </c>
    </row>
    <row r="84" spans="1:26" s="29" customFormat="1" outlineLevel="1" collapsed="1" x14ac:dyDescent="0.3">
      <c r="A84" s="28"/>
      <c r="B84" s="14" t="str">
        <f>CONCATENATE("     ","Equipment Rental                                  ")</f>
        <v xml:space="preserve">     Equipment Rental                                  </v>
      </c>
      <c r="C84" s="14"/>
      <c r="D84" s="1">
        <f>SUM(OSRRefD22_5x_0)</f>
        <v>91.26</v>
      </c>
      <c r="E84" s="1"/>
      <c r="F84" s="5">
        <f t="shared" si="39"/>
        <v>1.2522624015280731E-2</v>
      </c>
      <c r="G84" s="1"/>
      <c r="H84" s="1">
        <f>SUM(OSRRefH22_5x_0)</f>
        <v>91.26</v>
      </c>
      <c r="I84" s="1"/>
      <c r="J84" s="5">
        <f t="shared" si="40"/>
        <v>1.4164956710427067E-2</v>
      </c>
      <c r="K84" s="1"/>
      <c r="L84" s="1">
        <f t="shared" si="41"/>
        <v>0</v>
      </c>
      <c r="M84" s="1"/>
      <c r="N84" s="5">
        <f t="shared" si="42"/>
        <v>0</v>
      </c>
      <c r="O84" s="14"/>
      <c r="P84" s="1">
        <f>SUM(OSRRefP22_5x_0)</f>
        <v>456.3</v>
      </c>
      <c r="Q84" s="1"/>
      <c r="R84" s="5">
        <f t="shared" si="43"/>
        <v>4.4937965664498819E-4</v>
      </c>
      <c r="S84" s="1"/>
      <c r="T84" s="1">
        <f>SUM(OSRRefT22_5x_0)</f>
        <v>547.55999999999995</v>
      </c>
      <c r="U84" s="1"/>
      <c r="V84" s="5">
        <f t="shared" si="44"/>
        <v>5.0601222665118981E-4</v>
      </c>
      <c r="W84" s="1"/>
      <c r="X84" s="1">
        <f t="shared" si="45"/>
        <v>-91.259999999999934</v>
      </c>
      <c r="Y84" s="1"/>
      <c r="Z84" s="5">
        <f t="shared" si="46"/>
        <v>-0.16666666666666657</v>
      </c>
    </row>
    <row r="85" spans="1:26" s="24" customFormat="1" hidden="1" outlineLevel="2" x14ac:dyDescent="0.3">
      <c r="A85" s="27"/>
      <c r="B85" s="11" t="str">
        <f>CONCATENATE("          ", "6351", " - ", "EQUIPMENT RENTAL")</f>
        <v xml:space="preserve">          6351 - EQUIPMENT RENTAL</v>
      </c>
      <c r="C85" s="11"/>
      <c r="D85" s="6">
        <v>91.26</v>
      </c>
      <c r="E85" s="2"/>
      <c r="F85" s="7">
        <f t="shared" si="39"/>
        <v>1.2522624015280731E-2</v>
      </c>
      <c r="G85" s="2"/>
      <c r="H85" s="6">
        <v>91.26</v>
      </c>
      <c r="I85" s="2"/>
      <c r="J85" s="7">
        <f t="shared" si="40"/>
        <v>1.4164956710427067E-2</v>
      </c>
      <c r="K85" s="2"/>
      <c r="L85" s="6">
        <f t="shared" si="41"/>
        <v>0</v>
      </c>
      <c r="M85" s="2"/>
      <c r="N85" s="7">
        <f t="shared" si="42"/>
        <v>0</v>
      </c>
      <c r="O85" s="11"/>
      <c r="P85" s="6">
        <v>456.3</v>
      </c>
      <c r="Q85" s="2"/>
      <c r="R85" s="7">
        <f t="shared" si="43"/>
        <v>4.4937965664498819E-4</v>
      </c>
      <c r="S85" s="2"/>
      <c r="T85" s="6">
        <v>547.55999999999995</v>
      </c>
      <c r="U85" s="2"/>
      <c r="V85" s="7">
        <f t="shared" si="44"/>
        <v>5.0601222665118981E-4</v>
      </c>
      <c r="W85" s="2"/>
      <c r="X85" s="6">
        <f t="shared" si="45"/>
        <v>-91.259999999999934</v>
      </c>
      <c r="Y85" s="2"/>
      <c r="Z85" s="7">
        <f t="shared" si="46"/>
        <v>-0.16666666666666657</v>
      </c>
    </row>
    <row r="86" spans="1:26" s="29" customFormat="1" outlineLevel="1" collapsed="1" x14ac:dyDescent="0.3">
      <c r="A86" s="28"/>
      <c r="B86" s="14" t="str">
        <f>CONCATENATE("     ","Freight out/Postage                               ")</f>
        <v xml:space="preserve">     Freight out/Postage                               </v>
      </c>
      <c r="C86" s="14"/>
      <c r="D86" s="1">
        <f>SUM(OSRRefD22_6x_0)</f>
        <v>2119.1</v>
      </c>
      <c r="E86" s="1"/>
      <c r="F86" s="5">
        <f t="shared" si="39"/>
        <v>0.29078120261649565</v>
      </c>
      <c r="G86" s="1"/>
      <c r="H86" s="1">
        <f>SUM(OSRRefH22_6x_0)</f>
        <v>4164.83</v>
      </c>
      <c r="I86" s="1"/>
      <c r="J86" s="5">
        <f t="shared" si="40"/>
        <v>0.6464457227294319</v>
      </c>
      <c r="K86" s="1"/>
      <c r="L86" s="1">
        <f t="shared" si="41"/>
        <v>-2045.73</v>
      </c>
      <c r="M86" s="1"/>
      <c r="N86" s="5">
        <f t="shared" si="42"/>
        <v>-0.49119171730898981</v>
      </c>
      <c r="O86" s="14"/>
      <c r="P86" s="1">
        <f>SUM(OSRRefP22_6x_0)</f>
        <v>2512.85</v>
      </c>
      <c r="Q86" s="1"/>
      <c r="R86" s="5">
        <f t="shared" si="43"/>
        <v>2.4747395796632884E-3</v>
      </c>
      <c r="S86" s="1"/>
      <c r="T86" s="1">
        <f>SUM(OSRRefT22_6x_0)</f>
        <v>4730.83</v>
      </c>
      <c r="U86" s="1"/>
      <c r="V86" s="5">
        <f t="shared" si="44"/>
        <v>4.3718639458840093E-3</v>
      </c>
      <c r="W86" s="1"/>
      <c r="X86" s="1">
        <f t="shared" si="45"/>
        <v>-2217.98</v>
      </c>
      <c r="Y86" s="1"/>
      <c r="Z86" s="5">
        <f t="shared" si="46"/>
        <v>-0.4688352783760989</v>
      </c>
    </row>
    <row r="87" spans="1:26" s="24" customFormat="1" hidden="1" outlineLevel="2" x14ac:dyDescent="0.3">
      <c r="A87" s="27"/>
      <c r="B87" s="11" t="str">
        <f>CONCATENATE("          ", "6305", " - ", "FREIGHT OUT")</f>
        <v xml:space="preserve">          6305 - FREIGHT OUT</v>
      </c>
      <c r="C87" s="11"/>
      <c r="D87" s="6">
        <v>2119.1</v>
      </c>
      <c r="E87" s="2"/>
      <c r="F87" s="7">
        <f t="shared" si="39"/>
        <v>0.29078120261649565</v>
      </c>
      <c r="G87" s="2"/>
      <c r="H87" s="6">
        <v>4164.83</v>
      </c>
      <c r="I87" s="2"/>
      <c r="J87" s="7">
        <f t="shared" si="40"/>
        <v>0.6464457227294319</v>
      </c>
      <c r="K87" s="2"/>
      <c r="L87" s="6">
        <f t="shared" si="41"/>
        <v>-2045.73</v>
      </c>
      <c r="M87" s="2"/>
      <c r="N87" s="7">
        <f t="shared" si="42"/>
        <v>-0.49119171730898981</v>
      </c>
      <c r="O87" s="11"/>
      <c r="P87" s="6">
        <v>2512.85</v>
      </c>
      <c r="Q87" s="2"/>
      <c r="R87" s="7">
        <f t="shared" si="43"/>
        <v>2.4747395796632884E-3</v>
      </c>
      <c r="S87" s="2"/>
      <c r="T87" s="6">
        <v>4730.83</v>
      </c>
      <c r="U87" s="2"/>
      <c r="V87" s="7">
        <f t="shared" si="44"/>
        <v>4.3718639458840093E-3</v>
      </c>
      <c r="W87" s="2"/>
      <c r="X87" s="6">
        <f t="shared" si="45"/>
        <v>-2217.98</v>
      </c>
      <c r="Y87" s="2"/>
      <c r="Z87" s="7">
        <f t="shared" si="46"/>
        <v>-0.4688352783760989</v>
      </c>
    </row>
    <row r="88" spans="1:26" s="29" customFormat="1" outlineLevel="1" collapsed="1" x14ac:dyDescent="0.3">
      <c r="A88" s="28"/>
      <c r="B88" s="14" t="str">
        <f>CONCATENATE("     ","General                                           ")</f>
        <v xml:space="preserve">     General                                           </v>
      </c>
      <c r="C88" s="14"/>
      <c r="D88" s="1">
        <f>SUM(OSRRefD22_7x_0)</f>
        <v>0</v>
      </c>
      <c r="E88" s="1"/>
      <c r="F88" s="5">
        <f t="shared" si="39"/>
        <v>0</v>
      </c>
      <c r="G88" s="1"/>
      <c r="H88" s="1">
        <f>SUM(OSRRefH22_7x_0)</f>
        <v>3792.73</v>
      </c>
      <c r="I88" s="1"/>
      <c r="J88" s="5">
        <f t="shared" si="40"/>
        <v>0.58869007521737937</v>
      </c>
      <c r="K88" s="1"/>
      <c r="L88" s="1">
        <f t="shared" si="41"/>
        <v>-3792.73</v>
      </c>
      <c r="M88" s="1"/>
      <c r="N88" s="5">
        <f t="shared" si="42"/>
        <v>-1</v>
      </c>
      <c r="O88" s="14"/>
      <c r="P88" s="1">
        <f>SUM(OSRRefP22_7x_0)</f>
        <v>0</v>
      </c>
      <c r="Q88" s="1"/>
      <c r="R88" s="5">
        <f t="shared" si="43"/>
        <v>0</v>
      </c>
      <c r="S88" s="1"/>
      <c r="T88" s="1">
        <f>SUM(OSRRefT22_7x_0)</f>
        <v>-1041.46</v>
      </c>
      <c r="U88" s="1"/>
      <c r="V88" s="5">
        <f t="shared" si="44"/>
        <v>-9.6243606831789789E-4</v>
      </c>
      <c r="W88" s="1"/>
      <c r="X88" s="1">
        <f t="shared" si="45"/>
        <v>1041.46</v>
      </c>
      <c r="Y88" s="1"/>
      <c r="Z88" s="5">
        <f t="shared" si="46"/>
        <v>-1</v>
      </c>
    </row>
    <row r="89" spans="1:26" s="24" customFormat="1" hidden="1" outlineLevel="2" x14ac:dyDescent="0.3">
      <c r="A89" s="27"/>
      <c r="B89" s="11" t="str">
        <f>CONCATENATE("          ", "6279", " - ", "GENERAL EXPENSE")</f>
        <v xml:space="preserve">          6279 - GENERAL EXPENSE</v>
      </c>
      <c r="C89" s="11"/>
      <c r="D89" s="6"/>
      <c r="E89" s="2"/>
      <c r="F89" s="7">
        <f t="shared" si="39"/>
        <v>0</v>
      </c>
      <c r="G89" s="2"/>
      <c r="H89" s="6">
        <v>3792.73</v>
      </c>
      <c r="I89" s="2"/>
      <c r="J89" s="7">
        <f t="shared" si="40"/>
        <v>0.58869007521737937</v>
      </c>
      <c r="K89" s="2"/>
      <c r="L89" s="6">
        <f t="shared" si="41"/>
        <v>-3792.73</v>
      </c>
      <c r="M89" s="2"/>
      <c r="N89" s="7">
        <f t="shared" si="42"/>
        <v>-1</v>
      </c>
      <c r="O89" s="11"/>
      <c r="P89" s="6"/>
      <c r="Q89" s="2"/>
      <c r="R89" s="7">
        <f t="shared" si="43"/>
        <v>0</v>
      </c>
      <c r="S89" s="2"/>
      <c r="T89" s="6">
        <v>-1041.46</v>
      </c>
      <c r="U89" s="2"/>
      <c r="V89" s="7">
        <f t="shared" si="44"/>
        <v>-9.6243606831789789E-4</v>
      </c>
      <c r="W89" s="2"/>
      <c r="X89" s="6">
        <f t="shared" si="45"/>
        <v>1041.46</v>
      </c>
      <c r="Y89" s="2"/>
      <c r="Z89" s="7">
        <f t="shared" si="46"/>
        <v>-1</v>
      </c>
    </row>
    <row r="90" spans="1:26" s="29" customFormat="1" outlineLevel="1" collapsed="1" x14ac:dyDescent="0.3">
      <c r="A90" s="28"/>
      <c r="B90" s="14" t="str">
        <f>CONCATENATE("     ","Inventory Adjustment                              ")</f>
        <v xml:space="preserve">     Inventory Adjustment                              </v>
      </c>
      <c r="C90" s="14"/>
      <c r="D90" s="1">
        <f>SUM(OSRRefD22_8x_0)</f>
        <v>1000</v>
      </c>
      <c r="E90" s="1"/>
      <c r="F90" s="5">
        <f t="shared" si="39"/>
        <v>0.13721919806356267</v>
      </c>
      <c r="G90" s="1"/>
      <c r="H90" s="1">
        <f>SUM(OSRRefH22_8x_0)</f>
        <v>1000</v>
      </c>
      <c r="I90" s="1"/>
      <c r="J90" s="5">
        <f t="shared" si="40"/>
        <v>0.1552153924000336</v>
      </c>
      <c r="K90" s="1"/>
      <c r="L90" s="1">
        <f t="shared" si="41"/>
        <v>0</v>
      </c>
      <c r="M90" s="1"/>
      <c r="N90" s="5">
        <f t="shared" si="42"/>
        <v>0</v>
      </c>
      <c r="O90" s="14"/>
      <c r="P90" s="1">
        <f>SUM(OSRRefP22_8x_0)</f>
        <v>5000</v>
      </c>
      <c r="Q90" s="1"/>
      <c r="R90" s="5">
        <f t="shared" si="43"/>
        <v>4.9241689310211287E-3</v>
      </c>
      <c r="S90" s="1"/>
      <c r="T90" s="1">
        <f>SUM(OSRRefT22_8x_0)</f>
        <v>5000</v>
      </c>
      <c r="U90" s="1"/>
      <c r="V90" s="5">
        <f t="shared" si="44"/>
        <v>4.6206098569215228E-3</v>
      </c>
      <c r="W90" s="1"/>
      <c r="X90" s="1">
        <f t="shared" si="45"/>
        <v>0</v>
      </c>
      <c r="Y90" s="1"/>
      <c r="Z90" s="5">
        <f t="shared" si="46"/>
        <v>0</v>
      </c>
    </row>
    <row r="91" spans="1:26" s="24" customFormat="1" hidden="1" outlineLevel="2" x14ac:dyDescent="0.3">
      <c r="A91" s="27"/>
      <c r="B91" s="11" t="str">
        <f>CONCATENATE("          ", "6408", " - ", "INVENTORY ADJUSTMENT")</f>
        <v xml:space="preserve">          6408 - INVENTORY ADJUSTMENT</v>
      </c>
      <c r="C91" s="11"/>
      <c r="D91" s="6">
        <v>1000</v>
      </c>
      <c r="E91" s="2"/>
      <c r="F91" s="7">
        <f t="shared" si="39"/>
        <v>0.13721919806356267</v>
      </c>
      <c r="G91" s="2"/>
      <c r="H91" s="6">
        <v>1000</v>
      </c>
      <c r="I91" s="2"/>
      <c r="J91" s="7">
        <f t="shared" si="40"/>
        <v>0.1552153924000336</v>
      </c>
      <c r="K91" s="2"/>
      <c r="L91" s="6">
        <f t="shared" si="41"/>
        <v>0</v>
      </c>
      <c r="M91" s="2"/>
      <c r="N91" s="7">
        <f t="shared" si="42"/>
        <v>0</v>
      </c>
      <c r="O91" s="11"/>
      <c r="P91" s="6">
        <v>5000</v>
      </c>
      <c r="Q91" s="2"/>
      <c r="R91" s="7">
        <f t="shared" si="43"/>
        <v>4.9241689310211287E-3</v>
      </c>
      <c r="S91" s="2"/>
      <c r="T91" s="6">
        <v>5000</v>
      </c>
      <c r="U91" s="2"/>
      <c r="V91" s="7">
        <f t="shared" si="44"/>
        <v>4.6206098569215228E-3</v>
      </c>
      <c r="W91" s="2"/>
      <c r="X91" s="6">
        <f t="shared" si="45"/>
        <v>0</v>
      </c>
      <c r="Y91" s="2"/>
      <c r="Z91" s="7">
        <f t="shared" si="46"/>
        <v>0</v>
      </c>
    </row>
    <row r="92" spans="1:26" s="29" customFormat="1" outlineLevel="1" collapsed="1" x14ac:dyDescent="0.3">
      <c r="A92" s="28"/>
      <c r="B92" s="14" t="str">
        <f>CONCATENATE("     ","Repair and Maintenance                            ")</f>
        <v xml:space="preserve">     Repair and Maintenance                            </v>
      </c>
      <c r="C92" s="14"/>
      <c r="D92" s="1">
        <f>SUM(OSRRefD22_9x_0)</f>
        <v>21</v>
      </c>
      <c r="E92" s="1"/>
      <c r="F92" s="5">
        <f t="shared" si="39"/>
        <v>2.8816031593348166E-3</v>
      </c>
      <c r="G92" s="1"/>
      <c r="H92" s="1">
        <f>SUM(OSRRefH22_9x_0)</f>
        <v>22.16</v>
      </c>
      <c r="I92" s="1"/>
      <c r="J92" s="5">
        <f t="shared" si="40"/>
        <v>3.4395730955847446E-3</v>
      </c>
      <c r="K92" s="1"/>
      <c r="L92" s="1">
        <f t="shared" si="41"/>
        <v>-1.1600000000000001</v>
      </c>
      <c r="M92" s="1"/>
      <c r="N92" s="5">
        <f t="shared" si="42"/>
        <v>-5.2346570397111922E-2</v>
      </c>
      <c r="O92" s="14"/>
      <c r="P92" s="1">
        <f>SUM(OSRRefP22_9x_0)</f>
        <v>5854.44</v>
      </c>
      <c r="Q92" s="1"/>
      <c r="R92" s="5">
        <f t="shared" si="43"/>
        <v>5.7656503113054673E-3</v>
      </c>
      <c r="S92" s="1"/>
      <c r="T92" s="1">
        <f>SUM(OSRRefT22_9x_0)</f>
        <v>133.63</v>
      </c>
      <c r="U92" s="1"/>
      <c r="V92" s="5">
        <f t="shared" si="44"/>
        <v>1.2349041903608461E-4</v>
      </c>
      <c r="W92" s="1"/>
      <c r="X92" s="1">
        <f t="shared" si="45"/>
        <v>5720.8099999999995</v>
      </c>
      <c r="Y92" s="1"/>
      <c r="Z92" s="5">
        <f t="shared" si="46"/>
        <v>42.810820923445334</v>
      </c>
    </row>
    <row r="93" spans="1:26" s="24" customFormat="1" hidden="1" outlineLevel="2" x14ac:dyDescent="0.3">
      <c r="A93" s="27"/>
      <c r="B93" s="11" t="str">
        <f>CONCATENATE("          ", "6371", " - ", "COMPUTER SOFTWARE MAINTENANCE")</f>
        <v xml:space="preserve">          6371 - COMPUTER SOFTWARE MAINTENANCE</v>
      </c>
      <c r="C93" s="11"/>
      <c r="D93" s="6"/>
      <c r="E93" s="2"/>
      <c r="F93" s="7">
        <f t="shared" si="39"/>
        <v>0</v>
      </c>
      <c r="G93" s="2"/>
      <c r="H93" s="6"/>
      <c r="I93" s="2"/>
      <c r="J93" s="7">
        <f t="shared" si="40"/>
        <v>0</v>
      </c>
      <c r="K93" s="2"/>
      <c r="L93" s="6">
        <f t="shared" si="41"/>
        <v>0</v>
      </c>
      <c r="M93" s="2"/>
      <c r="N93" s="7">
        <f t="shared" si="42"/>
        <v>0</v>
      </c>
      <c r="O93" s="11"/>
      <c r="P93" s="6">
        <v>5775</v>
      </c>
      <c r="Q93" s="2"/>
      <c r="R93" s="7">
        <f t="shared" si="43"/>
        <v>5.6874151153294035E-3</v>
      </c>
      <c r="S93" s="2"/>
      <c r="T93" s="6"/>
      <c r="U93" s="2"/>
      <c r="V93" s="7">
        <f t="shared" si="44"/>
        <v>0</v>
      </c>
      <c r="W93" s="2"/>
      <c r="X93" s="6">
        <f t="shared" si="45"/>
        <v>5775</v>
      </c>
      <c r="Y93" s="2"/>
      <c r="Z93" s="7">
        <f t="shared" si="46"/>
        <v>0</v>
      </c>
    </row>
    <row r="94" spans="1:26" s="24" customFormat="1" hidden="1" outlineLevel="2" x14ac:dyDescent="0.3">
      <c r="A94" s="27"/>
      <c r="B94" s="11" t="str">
        <f>CONCATENATE("          ", "6373", " - ", "MAINTENANCE CONTRACTS")</f>
        <v xml:space="preserve">          6373 - MAINTENANCE CONTRACTS</v>
      </c>
      <c r="C94" s="11"/>
      <c r="D94" s="6">
        <v>21</v>
      </c>
      <c r="E94" s="2"/>
      <c r="F94" s="7">
        <f t="shared" si="39"/>
        <v>2.8816031593348166E-3</v>
      </c>
      <c r="G94" s="2"/>
      <c r="H94" s="6">
        <v>22.16</v>
      </c>
      <c r="I94" s="2"/>
      <c r="J94" s="7">
        <f t="shared" si="40"/>
        <v>3.4395730955847446E-3</v>
      </c>
      <c r="K94" s="2"/>
      <c r="L94" s="6">
        <f t="shared" si="41"/>
        <v>-1.1600000000000001</v>
      </c>
      <c r="M94" s="2"/>
      <c r="N94" s="7">
        <f t="shared" si="42"/>
        <v>-5.2346570397111922E-2</v>
      </c>
      <c r="O94" s="11"/>
      <c r="P94" s="6">
        <v>79.44</v>
      </c>
      <c r="Q94" s="2"/>
      <c r="R94" s="7">
        <f t="shared" si="43"/>
        <v>7.8235195976063691E-5</v>
      </c>
      <c r="S94" s="2"/>
      <c r="T94" s="6">
        <v>108.52</v>
      </c>
      <c r="U94" s="2"/>
      <c r="V94" s="7">
        <f t="shared" si="44"/>
        <v>1.0028571633462473E-4</v>
      </c>
      <c r="W94" s="2"/>
      <c r="X94" s="6">
        <f t="shared" si="45"/>
        <v>-29.08</v>
      </c>
      <c r="Y94" s="2"/>
      <c r="Z94" s="7">
        <f t="shared" si="46"/>
        <v>-0.26796903796535199</v>
      </c>
    </row>
    <row r="95" spans="1:26" s="24" customFormat="1" hidden="1" outlineLevel="2" x14ac:dyDescent="0.3">
      <c r="A95" s="27"/>
      <c r="B95" s="11" t="str">
        <f>CONCATENATE("          ", "6375", " - ", "OUTSIDE REPAIRS &amp; MAINTENANCE")</f>
        <v xml:space="preserve">          6375 - OUTSIDE REPAIRS &amp; MAINTENANCE</v>
      </c>
      <c r="C95" s="11"/>
      <c r="D95" s="6"/>
      <c r="E95" s="2"/>
      <c r="F95" s="7">
        <f t="shared" si="39"/>
        <v>0</v>
      </c>
      <c r="G95" s="2"/>
      <c r="H95" s="6"/>
      <c r="I95" s="2"/>
      <c r="J95" s="7">
        <f t="shared" si="40"/>
        <v>0</v>
      </c>
      <c r="K95" s="2"/>
      <c r="L95" s="6">
        <f t="shared" si="41"/>
        <v>0</v>
      </c>
      <c r="M95" s="2"/>
      <c r="N95" s="7">
        <f t="shared" si="42"/>
        <v>0</v>
      </c>
      <c r="O95" s="11"/>
      <c r="P95" s="6"/>
      <c r="Q95" s="2"/>
      <c r="R95" s="7">
        <f t="shared" si="43"/>
        <v>0</v>
      </c>
      <c r="S95" s="2"/>
      <c r="T95" s="6">
        <v>25.11</v>
      </c>
      <c r="U95" s="2"/>
      <c r="V95" s="7">
        <f t="shared" si="44"/>
        <v>2.3204702701459887E-5</v>
      </c>
      <c r="W95" s="2"/>
      <c r="X95" s="6">
        <f t="shared" si="45"/>
        <v>-25.11</v>
      </c>
      <c r="Y95" s="2"/>
      <c r="Z95" s="7">
        <f t="shared" si="46"/>
        <v>-1</v>
      </c>
    </row>
    <row r="96" spans="1:26" s="29" customFormat="1" outlineLevel="1" collapsed="1" x14ac:dyDescent="0.3">
      <c r="A96" s="28"/>
      <c r="B96" s="14" t="str">
        <f>CONCATENATE("     ","Subscriptions &amp; Dues                              ")</f>
        <v xml:space="preserve">     Subscriptions &amp; Dues                              </v>
      </c>
      <c r="C96" s="14"/>
      <c r="D96" s="1">
        <f>SUM(OSRRefD22_10x_0)</f>
        <v>148.66</v>
      </c>
      <c r="E96" s="1"/>
      <c r="F96" s="5">
        <f t="shared" ref="F96:F100" si="47">IF(D$12=0,0,D96/D$12)</f>
        <v>2.0399005984129227E-2</v>
      </c>
      <c r="G96" s="1"/>
      <c r="H96" s="1">
        <f>SUM(OSRRefH22_10x_0)</f>
        <v>166.92</v>
      </c>
      <c r="I96" s="1"/>
      <c r="J96" s="5">
        <f t="shared" ref="J96:J100" si="48">IF(H$12=0,0,H96/H$12)</f>
        <v>2.5908553299413606E-2</v>
      </c>
      <c r="K96" s="1"/>
      <c r="L96" s="1">
        <f t="shared" ref="L96:L100" si="49">+D96-H96</f>
        <v>-18.259999999999991</v>
      </c>
      <c r="M96" s="1"/>
      <c r="N96" s="5">
        <f t="shared" ref="N96:N100" si="50">IF(H96=0,0,L96/H96)</f>
        <v>-0.1093937215432542</v>
      </c>
      <c r="O96" s="14"/>
      <c r="P96" s="1">
        <f>SUM(OSRRefP22_10x_0)</f>
        <v>1225.5</v>
      </c>
      <c r="Q96" s="1"/>
      <c r="R96" s="5">
        <f t="shared" ref="R96:R100" si="51">IF(P$12=0,0,P96/P$12)</f>
        <v>1.2069138049932786E-3</v>
      </c>
      <c r="S96" s="1"/>
      <c r="T96" s="1">
        <f>SUM(OSRRefT22_10x_0)</f>
        <v>1590.28</v>
      </c>
      <c r="U96" s="1"/>
      <c r="V96" s="5">
        <f t="shared" ref="V96:V100" si="52">IF(T$12=0,0,T96/T$12)</f>
        <v>1.4696126886530319E-3</v>
      </c>
      <c r="W96" s="1"/>
      <c r="X96" s="1">
        <f t="shared" ref="X96:X100" si="53">+P96-T96</f>
        <v>-364.78</v>
      </c>
      <c r="Y96" s="1"/>
      <c r="Z96" s="5">
        <f t="shared" ref="Z96:Z100" si="54">IF(T96=0,0,X96/T96)</f>
        <v>-0.22938098951128102</v>
      </c>
    </row>
    <row r="97" spans="1:26" s="24" customFormat="1" hidden="1" outlineLevel="2" x14ac:dyDescent="0.3">
      <c r="A97" s="27"/>
      <c r="B97" s="11" t="str">
        <f>CONCATENATE("          ", "6258", " - ", "MEMBERSHIP DUES")</f>
        <v xml:space="preserve">          6258 - MEMBERSHIP DUES</v>
      </c>
      <c r="C97" s="11"/>
      <c r="D97" s="6">
        <v>148.66</v>
      </c>
      <c r="E97" s="2"/>
      <c r="F97" s="7">
        <f t="shared" si="47"/>
        <v>2.0399005984129227E-2</v>
      </c>
      <c r="G97" s="2"/>
      <c r="H97" s="6">
        <v>166.92</v>
      </c>
      <c r="I97" s="2"/>
      <c r="J97" s="7">
        <f t="shared" si="48"/>
        <v>2.5908553299413606E-2</v>
      </c>
      <c r="K97" s="2"/>
      <c r="L97" s="6">
        <f t="shared" si="49"/>
        <v>-18.259999999999991</v>
      </c>
      <c r="M97" s="2"/>
      <c r="N97" s="7">
        <f t="shared" si="50"/>
        <v>-0.1093937215432542</v>
      </c>
      <c r="O97" s="11"/>
      <c r="P97" s="6">
        <v>1225.5</v>
      </c>
      <c r="Q97" s="2"/>
      <c r="R97" s="7">
        <f t="shared" si="51"/>
        <v>1.2069138049932786E-3</v>
      </c>
      <c r="S97" s="2"/>
      <c r="T97" s="6">
        <v>1590.28</v>
      </c>
      <c r="U97" s="2"/>
      <c r="V97" s="7">
        <f t="shared" si="52"/>
        <v>1.4696126886530319E-3</v>
      </c>
      <c r="W97" s="2"/>
      <c r="X97" s="6">
        <f t="shared" si="53"/>
        <v>-364.78</v>
      </c>
      <c r="Y97" s="2"/>
      <c r="Z97" s="7">
        <f t="shared" si="54"/>
        <v>-0.22938098951128102</v>
      </c>
    </row>
    <row r="98" spans="1:26" s="29" customFormat="1" outlineLevel="1" collapsed="1" x14ac:dyDescent="0.3">
      <c r="A98" s="28"/>
      <c r="B98" s="14" t="str">
        <f>CONCATENATE("     ","Supplies                                          ")</f>
        <v xml:space="preserve">     Supplies                                          </v>
      </c>
      <c r="C98" s="14"/>
      <c r="D98" s="1">
        <f>SUM(OSRRefD22_11x_0)</f>
        <v>207.4</v>
      </c>
      <c r="E98" s="1"/>
      <c r="F98" s="5">
        <f t="shared" si="47"/>
        <v>2.8459261678382902E-2</v>
      </c>
      <c r="G98" s="1"/>
      <c r="H98" s="1">
        <f>SUM(OSRRefH22_11x_0)</f>
        <v>311.44</v>
      </c>
      <c r="I98" s="1"/>
      <c r="J98" s="5">
        <f t="shared" si="48"/>
        <v>4.8340281809066465E-2</v>
      </c>
      <c r="K98" s="1"/>
      <c r="L98" s="1">
        <f t="shared" si="49"/>
        <v>-104.03999999999999</v>
      </c>
      <c r="M98" s="1"/>
      <c r="N98" s="5">
        <f t="shared" si="50"/>
        <v>-0.33406113537117904</v>
      </c>
      <c r="O98" s="14"/>
      <c r="P98" s="1">
        <f>SUM(OSRRefP22_11x_0)</f>
        <v>944.33</v>
      </c>
      <c r="Q98" s="1"/>
      <c r="R98" s="5">
        <f t="shared" si="51"/>
        <v>9.3000808932623647E-4</v>
      </c>
      <c r="S98" s="1"/>
      <c r="T98" s="1">
        <f>SUM(OSRRefT22_11x_0)</f>
        <v>1546.69</v>
      </c>
      <c r="U98" s="1"/>
      <c r="V98" s="5">
        <f t="shared" si="52"/>
        <v>1.4293302119203902E-3</v>
      </c>
      <c r="W98" s="1"/>
      <c r="X98" s="1">
        <f t="shared" si="53"/>
        <v>-602.36</v>
      </c>
      <c r="Y98" s="1"/>
      <c r="Z98" s="5">
        <f t="shared" si="54"/>
        <v>-0.38945102121304204</v>
      </c>
    </row>
    <row r="99" spans="1:26" s="24" customFormat="1" hidden="1" outlineLevel="2" x14ac:dyDescent="0.3">
      <c r="A99" s="27"/>
      <c r="B99" s="11" t="str">
        <f>CONCATENATE("          ", "6241", " - ", "OFFICE EXPENSE")</f>
        <v xml:space="preserve">          6241 - OFFICE EXPENSE</v>
      </c>
      <c r="C99" s="11"/>
      <c r="D99" s="6">
        <v>207.4</v>
      </c>
      <c r="E99" s="2"/>
      <c r="F99" s="7">
        <f t="shared" si="47"/>
        <v>2.8459261678382902E-2</v>
      </c>
      <c r="G99" s="2"/>
      <c r="H99" s="6">
        <v>311.44</v>
      </c>
      <c r="I99" s="2"/>
      <c r="J99" s="7">
        <f t="shared" si="48"/>
        <v>4.8340281809066465E-2</v>
      </c>
      <c r="K99" s="2"/>
      <c r="L99" s="6">
        <f t="shared" si="49"/>
        <v>-104.03999999999999</v>
      </c>
      <c r="M99" s="2"/>
      <c r="N99" s="7">
        <f t="shared" si="50"/>
        <v>-0.33406113537117904</v>
      </c>
      <c r="O99" s="11"/>
      <c r="P99" s="6">
        <v>944.33</v>
      </c>
      <c r="Q99" s="2"/>
      <c r="R99" s="7">
        <f t="shared" si="51"/>
        <v>9.3000808932623647E-4</v>
      </c>
      <c r="S99" s="2"/>
      <c r="T99" s="6">
        <v>913.59</v>
      </c>
      <c r="U99" s="2"/>
      <c r="V99" s="7">
        <f t="shared" si="52"/>
        <v>8.4426859183698688E-4</v>
      </c>
      <c r="W99" s="2"/>
      <c r="X99" s="6">
        <f t="shared" si="53"/>
        <v>30.740000000000009</v>
      </c>
      <c r="Y99" s="2"/>
      <c r="Z99" s="7">
        <f t="shared" si="54"/>
        <v>3.3647478628268709E-2</v>
      </c>
    </row>
    <row r="100" spans="1:26" s="24" customFormat="1" hidden="1" outlineLevel="2" x14ac:dyDescent="0.3">
      <c r="A100" s="27"/>
      <c r="B100" s="11" t="str">
        <f>CONCATENATE("          ", "6247", " - ", "STORE SUPPLIES")</f>
        <v xml:space="preserve">          6247 - STORE SUPPLIES</v>
      </c>
      <c r="C100" s="11"/>
      <c r="D100" s="6"/>
      <c r="E100" s="2"/>
      <c r="F100" s="7">
        <f t="shared" si="47"/>
        <v>0</v>
      </c>
      <c r="G100" s="2"/>
      <c r="H100" s="6"/>
      <c r="I100" s="2"/>
      <c r="J100" s="7">
        <f t="shared" si="48"/>
        <v>0</v>
      </c>
      <c r="K100" s="2"/>
      <c r="L100" s="6">
        <f t="shared" si="49"/>
        <v>0</v>
      </c>
      <c r="M100" s="2"/>
      <c r="N100" s="7">
        <f t="shared" si="50"/>
        <v>0</v>
      </c>
      <c r="O100" s="11"/>
      <c r="P100" s="6"/>
      <c r="Q100" s="2"/>
      <c r="R100" s="7">
        <f t="shared" si="51"/>
        <v>0</v>
      </c>
      <c r="S100" s="2"/>
      <c r="T100" s="6">
        <v>633.1</v>
      </c>
      <c r="U100" s="2"/>
      <c r="V100" s="7">
        <f t="shared" si="52"/>
        <v>5.8506162008340325E-4</v>
      </c>
      <c r="W100" s="2"/>
      <c r="X100" s="6">
        <f t="shared" si="53"/>
        <v>-633.1</v>
      </c>
      <c r="Y100" s="2"/>
      <c r="Z100" s="7">
        <f t="shared" si="54"/>
        <v>-1</v>
      </c>
    </row>
    <row r="101" spans="1:26" s="29" customFormat="1" outlineLevel="1" collapsed="1" x14ac:dyDescent="0.3">
      <c r="A101" s="28"/>
      <c r="B101" s="14" t="str">
        <f>CONCATENATE("     ","Telephone/Data Lines                              ")</f>
        <v xml:space="preserve">     Telephone/Data Lines                              </v>
      </c>
      <c r="C101" s="14"/>
      <c r="D101" s="1">
        <f>SUM(OSRRefD22_12x_0)</f>
        <v>562.29999999999995</v>
      </c>
      <c r="E101" s="1"/>
      <c r="F101" s="5">
        <f t="shared" ref="F101:F103" si="55">IF(D$12=0,0,D101/D$12)</f>
        <v>7.7158355071141285E-2</v>
      </c>
      <c r="G101" s="1"/>
      <c r="H101" s="1">
        <f>SUM(OSRRefH22_12x_0)</f>
        <v>1346.65</v>
      </c>
      <c r="I101" s="1"/>
      <c r="J101" s="5">
        <f t="shared" ref="J101:J103" si="56">IF(H$12=0,0,H101/H$12)</f>
        <v>0.20902080817550525</v>
      </c>
      <c r="K101" s="1"/>
      <c r="L101" s="1">
        <f t="shared" ref="L101:L103" si="57">+D101-H101</f>
        <v>-784.35000000000014</v>
      </c>
      <c r="M101" s="1"/>
      <c r="N101" s="5">
        <f t="shared" ref="N101:N103" si="58">IF(H101=0,0,L101/H101)</f>
        <v>-0.58244532729365472</v>
      </c>
      <c r="O101" s="14"/>
      <c r="P101" s="1">
        <f>SUM(OSRRefP22_12x_0)</f>
        <v>3017.35</v>
      </c>
      <c r="Q101" s="1"/>
      <c r="R101" s="5">
        <f t="shared" ref="R101:R103" si="59">IF(P$12=0,0,P101/P$12)</f>
        <v>2.9715882248033203E-3</v>
      </c>
      <c r="S101" s="1"/>
      <c r="T101" s="1">
        <f>SUM(OSRRefT22_12x_0)</f>
        <v>4580.5</v>
      </c>
      <c r="U101" s="1"/>
      <c r="V101" s="5">
        <f t="shared" ref="V101:V103" si="60">IF(T$12=0,0,T101/T$12)</f>
        <v>4.2329406899258076E-3</v>
      </c>
      <c r="W101" s="1"/>
      <c r="X101" s="1">
        <f t="shared" ref="X101:X103" si="61">+P101-T101</f>
        <v>-1563.15</v>
      </c>
      <c r="Y101" s="1"/>
      <c r="Z101" s="5">
        <f t="shared" ref="Z101:Z103" si="62">IF(T101=0,0,X101/T101)</f>
        <v>-0.34126187097478444</v>
      </c>
    </row>
    <row r="102" spans="1:26" s="24" customFormat="1" hidden="1" outlineLevel="2" x14ac:dyDescent="0.3">
      <c r="A102" s="27"/>
      <c r="B102" s="11" t="str">
        <f>CONCATENATE("          ", "6303", " - ", "DATA PHONE LINES")</f>
        <v xml:space="preserve">          6303 - DATA PHONE LINES</v>
      </c>
      <c r="C102" s="11"/>
      <c r="D102" s="6"/>
      <c r="E102" s="2"/>
      <c r="F102" s="7">
        <f t="shared" si="55"/>
        <v>0</v>
      </c>
      <c r="G102" s="2"/>
      <c r="H102" s="6">
        <v>885</v>
      </c>
      <c r="I102" s="2"/>
      <c r="J102" s="7">
        <f t="shared" si="56"/>
        <v>0.13736562227402974</v>
      </c>
      <c r="K102" s="2"/>
      <c r="L102" s="6">
        <f t="shared" si="57"/>
        <v>-885</v>
      </c>
      <c r="M102" s="2"/>
      <c r="N102" s="7">
        <f t="shared" si="58"/>
        <v>-1</v>
      </c>
      <c r="O102" s="11"/>
      <c r="P102" s="6">
        <v>295</v>
      </c>
      <c r="Q102" s="2"/>
      <c r="R102" s="7">
        <f t="shared" si="59"/>
        <v>2.9052596693024657E-4</v>
      </c>
      <c r="S102" s="2"/>
      <c r="T102" s="6">
        <v>2065</v>
      </c>
      <c r="U102" s="2"/>
      <c r="V102" s="7">
        <f t="shared" si="60"/>
        <v>1.9083118709085889E-3</v>
      </c>
      <c r="W102" s="2"/>
      <c r="X102" s="6">
        <f t="shared" si="61"/>
        <v>-1770</v>
      </c>
      <c r="Y102" s="2"/>
      <c r="Z102" s="7">
        <f t="shared" si="62"/>
        <v>-0.8571428571428571</v>
      </c>
    </row>
    <row r="103" spans="1:26" s="24" customFormat="1" hidden="1" outlineLevel="2" x14ac:dyDescent="0.3">
      <c r="A103" s="27"/>
      <c r="B103" s="11" t="str">
        <f>CONCATENATE("          ", "6309", " - ", "TELEPHONE")</f>
        <v xml:space="preserve">          6309 - TELEPHONE</v>
      </c>
      <c r="C103" s="11"/>
      <c r="D103" s="6">
        <v>562.29999999999995</v>
      </c>
      <c r="E103" s="2"/>
      <c r="F103" s="7">
        <f t="shared" si="55"/>
        <v>7.7158355071141285E-2</v>
      </c>
      <c r="G103" s="2"/>
      <c r="H103" s="6">
        <v>461.65</v>
      </c>
      <c r="I103" s="2"/>
      <c r="J103" s="7">
        <f t="shared" si="56"/>
        <v>7.1655185901475502E-2</v>
      </c>
      <c r="K103" s="2"/>
      <c r="L103" s="6">
        <f t="shared" si="57"/>
        <v>100.64999999999998</v>
      </c>
      <c r="M103" s="2"/>
      <c r="N103" s="7">
        <f t="shared" si="58"/>
        <v>0.21802231127477523</v>
      </c>
      <c r="O103" s="11"/>
      <c r="P103" s="6">
        <v>2722.35</v>
      </c>
      <c r="Q103" s="2"/>
      <c r="R103" s="7">
        <f t="shared" si="59"/>
        <v>2.6810622578730737E-3</v>
      </c>
      <c r="S103" s="2"/>
      <c r="T103" s="6">
        <v>2515.5</v>
      </c>
      <c r="U103" s="2"/>
      <c r="V103" s="7">
        <f t="shared" si="60"/>
        <v>2.3246288190172182E-3</v>
      </c>
      <c r="W103" s="2"/>
      <c r="X103" s="6">
        <f t="shared" si="61"/>
        <v>206.84999999999991</v>
      </c>
      <c r="Y103" s="2"/>
      <c r="Z103" s="7">
        <f t="shared" si="62"/>
        <v>8.2230172927847317E-2</v>
      </c>
    </row>
    <row r="104" spans="1:26" s="29" customFormat="1" outlineLevel="1" collapsed="1" x14ac:dyDescent="0.3">
      <c r="A104" s="28"/>
      <c r="B104" s="14" t="str">
        <f>CONCATENATE("     ","Travel                                            ")</f>
        <v xml:space="preserve">     Travel                                            </v>
      </c>
      <c r="C104" s="14"/>
      <c r="D104" s="1">
        <f>SUM(OSRRefD22_13x_0)</f>
        <v>0</v>
      </c>
      <c r="E104" s="1"/>
      <c r="F104" s="5">
        <f t="shared" ref="F104:F105" si="63">IF(D$12=0,0,D104/D$12)</f>
        <v>0</v>
      </c>
      <c r="G104" s="1"/>
      <c r="H104" s="1">
        <f>SUM(OSRRefH22_13x_0)</f>
        <v>0</v>
      </c>
      <c r="I104" s="1"/>
      <c r="J104" s="5">
        <f t="shared" ref="J104:J105" si="64">IF(H$12=0,0,H104/H$12)</f>
        <v>0</v>
      </c>
      <c r="K104" s="1"/>
      <c r="L104" s="1">
        <f t="shared" ref="L104:L105" si="65">+D104-H104</f>
        <v>0</v>
      </c>
      <c r="M104" s="1"/>
      <c r="N104" s="5">
        <f t="shared" ref="N104:N105" si="66">IF(H104=0,0,L104/H104)</f>
        <v>0</v>
      </c>
      <c r="O104" s="14"/>
      <c r="P104" s="1">
        <f>SUM(OSRRefP22_13x_0)</f>
        <v>0</v>
      </c>
      <c r="Q104" s="1"/>
      <c r="R104" s="5">
        <f t="shared" ref="R104:R105" si="67">IF(P$12=0,0,P104/P$12)</f>
        <v>0</v>
      </c>
      <c r="S104" s="1"/>
      <c r="T104" s="1">
        <f>SUM(OSRRefT22_13x_0)</f>
        <v>0.16</v>
      </c>
      <c r="U104" s="1"/>
      <c r="V104" s="5">
        <f t="shared" ref="V104:V105" si="68">IF(T$12=0,0,T104/T$12)</f>
        <v>1.4785951542148875E-7</v>
      </c>
      <c r="W104" s="1"/>
      <c r="X104" s="1">
        <f t="shared" ref="X104:X105" si="69">+P104-T104</f>
        <v>-0.16</v>
      </c>
      <c r="Y104" s="1"/>
      <c r="Z104" s="5">
        <f t="shared" ref="Z104:Z105" si="70">IF(T104=0,0,X104/T104)</f>
        <v>-1</v>
      </c>
    </row>
    <row r="105" spans="1:26" s="24" customFormat="1" hidden="1" outlineLevel="2" x14ac:dyDescent="0.3">
      <c r="A105" s="27"/>
      <c r="B105" s="11" t="str">
        <f>CONCATENATE("          ", "6292", " - ", "TRAVEL/CONFERENCE")</f>
        <v xml:space="preserve">          6292 - TRAVEL/CONFERENCE</v>
      </c>
      <c r="C105" s="11"/>
      <c r="D105" s="6"/>
      <c r="E105" s="2"/>
      <c r="F105" s="7">
        <f t="shared" si="63"/>
        <v>0</v>
      </c>
      <c r="G105" s="2"/>
      <c r="H105" s="6"/>
      <c r="I105" s="2"/>
      <c r="J105" s="7">
        <f t="shared" si="64"/>
        <v>0</v>
      </c>
      <c r="K105" s="2"/>
      <c r="L105" s="6">
        <f t="shared" si="65"/>
        <v>0</v>
      </c>
      <c r="M105" s="2"/>
      <c r="N105" s="7">
        <f t="shared" si="66"/>
        <v>0</v>
      </c>
      <c r="O105" s="11"/>
      <c r="P105" s="6"/>
      <c r="Q105" s="2"/>
      <c r="R105" s="7">
        <f t="shared" si="67"/>
        <v>0</v>
      </c>
      <c r="S105" s="2"/>
      <c r="T105" s="6">
        <v>0.16</v>
      </c>
      <c r="U105" s="2"/>
      <c r="V105" s="7">
        <f t="shared" si="68"/>
        <v>1.4785951542148875E-7</v>
      </c>
      <c r="W105" s="2"/>
      <c r="X105" s="6">
        <f t="shared" si="69"/>
        <v>-0.16</v>
      </c>
      <c r="Y105" s="2"/>
      <c r="Z105" s="7">
        <f t="shared" si="70"/>
        <v>-1</v>
      </c>
    </row>
    <row r="106" spans="1:26" s="62" customFormat="1" x14ac:dyDescent="0.3">
      <c r="A106" s="37"/>
      <c r="B106" s="37"/>
      <c r="C106" s="37"/>
      <c r="D106" s="1"/>
      <c r="E106" s="1"/>
      <c r="F106" s="5"/>
      <c r="G106" s="1"/>
      <c r="H106" s="1"/>
      <c r="I106" s="1"/>
      <c r="J106" s="5"/>
      <c r="K106" s="1"/>
      <c r="L106" s="1"/>
      <c r="M106" s="1"/>
      <c r="N106" s="5"/>
      <c r="O106" s="37"/>
      <c r="P106" s="1"/>
      <c r="Q106" s="1"/>
      <c r="R106" s="5"/>
      <c r="S106" s="1"/>
      <c r="T106" s="1"/>
      <c r="U106" s="1"/>
      <c r="V106" s="5"/>
      <c r="W106" s="1"/>
      <c r="X106" s="1"/>
      <c r="Y106" s="1"/>
      <c r="Z106" s="5"/>
    </row>
    <row r="107" spans="1:26" s="23" customFormat="1" collapsed="1" x14ac:dyDescent="0.3">
      <c r="A107" s="10"/>
      <c r="B107" s="26" t="s">
        <v>292</v>
      </c>
      <c r="C107" s="10"/>
      <c r="D107" s="4">
        <f>SUM(OSRRefD25x_0)</f>
        <v>300.14</v>
      </c>
      <c r="E107" s="4"/>
      <c r="F107" s="12">
        <f t="shared" ref="F107:F110" si="71">IF(D$12=0,0,D107/D$12)</f>
        <v>4.1184970106797704E-2</v>
      </c>
      <c r="G107" s="4"/>
      <c r="H107" s="4">
        <f>SUM(OSRRefH25x_0)</f>
        <v>917.38</v>
      </c>
      <c r="I107" s="4"/>
      <c r="J107" s="12">
        <f t="shared" ref="J107:J110" si="72">IF(H$12=0,0,H107/H$12)</f>
        <v>0.14239149667994283</v>
      </c>
      <c r="K107" s="4"/>
      <c r="L107" s="4">
        <f t="shared" ref="L107:L110" si="73">+D107-H107</f>
        <v>-617.24</v>
      </c>
      <c r="M107" s="4"/>
      <c r="N107" s="12">
        <f t="shared" ref="N107:N110" si="74">IF(H107=0,0,L107/H107)</f>
        <v>-0.67282914386622772</v>
      </c>
      <c r="O107" s="10"/>
      <c r="P107" s="4">
        <f>SUM(OSRRefP25x_0)</f>
        <v>189972.03</v>
      </c>
      <c r="Q107" s="4"/>
      <c r="R107" s="12">
        <f t="shared" ref="R107:R110" si="75">IF(P$12=0,0,P107/P$12)</f>
        <v>0.18709087357780277</v>
      </c>
      <c r="S107" s="4"/>
      <c r="T107" s="4">
        <f>SUM(OSRRefT25x_0)</f>
        <v>162085.57000000004</v>
      </c>
      <c r="U107" s="4"/>
      <c r="V107" s="12">
        <f t="shared" ref="V107:V110" si="76">IF(T$12=0,0,T107/T$12)</f>
        <v>0.14978683648134875</v>
      </c>
      <c r="W107" s="4"/>
      <c r="X107" s="4">
        <f t="shared" ref="X107:X110" si="77">+P107-T107</f>
        <v>27886.459999999963</v>
      </c>
      <c r="Y107" s="4"/>
      <c r="Z107" s="12">
        <f t="shared" ref="Z107:Z110" si="78">IF(T107=0,0,X107/T107)</f>
        <v>0.17204776464678476</v>
      </c>
    </row>
    <row r="108" spans="1:26" s="24" customFormat="1" hidden="1" outlineLevel="1" x14ac:dyDescent="0.3">
      <c r="A108" s="44"/>
      <c r="B108" s="11" t="str">
        <f>CONCATENATE("          ", "9150", " - ", "MISC. INCOME")</f>
        <v xml:space="preserve">          9150 - MISC. INCOME</v>
      </c>
      <c r="C108" s="11"/>
      <c r="D108" s="2">
        <f>--300.14</f>
        <v>300.14</v>
      </c>
      <c r="E108" s="2"/>
      <c r="F108" s="19">
        <f t="shared" si="71"/>
        <v>4.1184970106797704E-2</v>
      </c>
      <c r="G108" s="2"/>
      <c r="H108" s="2">
        <f>--662.17</f>
        <v>662.17</v>
      </c>
      <c r="I108" s="2"/>
      <c r="J108" s="19">
        <f t="shared" si="72"/>
        <v>0.10277897638553024</v>
      </c>
      <c r="K108" s="2"/>
      <c r="L108" s="2">
        <f t="shared" si="73"/>
        <v>-362.03</v>
      </c>
      <c r="M108" s="2"/>
      <c r="N108" s="19">
        <f t="shared" si="74"/>
        <v>-0.54673271214340724</v>
      </c>
      <c r="O108" s="11"/>
      <c r="P108" s="2">
        <f>--19313.26</f>
        <v>19313.259999999998</v>
      </c>
      <c r="Q108" s="2"/>
      <c r="R108" s="19">
        <f t="shared" si="75"/>
        <v>1.9020350969746622E-2</v>
      </c>
      <c r="S108" s="2"/>
      <c r="T108" s="2">
        <f>--12193.95</f>
        <v>12193.95</v>
      </c>
      <c r="U108" s="2"/>
      <c r="V108" s="19">
        <f t="shared" si="76"/>
        <v>1.1268697112961641E-2</v>
      </c>
      <c r="W108" s="2"/>
      <c r="X108" s="2">
        <f t="shared" si="77"/>
        <v>7119.3099999999977</v>
      </c>
      <c r="Y108" s="2"/>
      <c r="Z108" s="19">
        <f t="shared" si="78"/>
        <v>0.58383952697854247</v>
      </c>
    </row>
    <row r="109" spans="1:26" s="24" customFormat="1" hidden="1" outlineLevel="1" x14ac:dyDescent="0.3">
      <c r="A109" s="44"/>
      <c r="B109" s="11" t="str">
        <f>CONCATENATE("          ", "9151", " - ", "MISC. INCOME")</f>
        <v xml:space="preserve">          9151 - MISC. INCOME</v>
      </c>
      <c r="C109" s="11"/>
      <c r="D109" s="2">
        <f t="shared" ref="D109:D110" si="79">0</f>
        <v>0</v>
      </c>
      <c r="E109" s="2"/>
      <c r="F109" s="19">
        <f t="shared" si="71"/>
        <v>0</v>
      </c>
      <c r="G109" s="2"/>
      <c r="H109" s="2">
        <f>0</f>
        <v>0</v>
      </c>
      <c r="I109" s="2"/>
      <c r="J109" s="19">
        <f t="shared" si="72"/>
        <v>0</v>
      </c>
      <c r="K109" s="2"/>
      <c r="L109" s="2">
        <f t="shared" si="73"/>
        <v>0</v>
      </c>
      <c r="M109" s="2"/>
      <c r="N109" s="19">
        <f t="shared" si="74"/>
        <v>0</v>
      </c>
      <c r="O109" s="11"/>
      <c r="P109" s="2">
        <f>--168463.36</f>
        <v>168463.35999999999</v>
      </c>
      <c r="Q109" s="2"/>
      <c r="R109" s="19">
        <f t="shared" si="75"/>
        <v>0.16590840866548551</v>
      </c>
      <c r="S109" s="2"/>
      <c r="T109" s="2">
        <f>--147285.39</f>
        <v>147285.39000000001</v>
      </c>
      <c r="U109" s="2"/>
      <c r="V109" s="19">
        <f t="shared" si="76"/>
        <v>0.13610966496290616</v>
      </c>
      <c r="W109" s="2"/>
      <c r="X109" s="2">
        <f t="shared" si="77"/>
        <v>21177.969999999972</v>
      </c>
      <c r="Y109" s="2"/>
      <c r="Z109" s="19">
        <f t="shared" si="78"/>
        <v>0.14378866770152809</v>
      </c>
    </row>
    <row r="110" spans="1:26" s="24" customFormat="1" hidden="1" outlineLevel="1" x14ac:dyDescent="0.3">
      <c r="A110" s="44"/>
      <c r="B110" s="11" t="str">
        <f>CONCATENATE("          ", "9152", " - ", "MISC. INCOME")</f>
        <v xml:space="preserve">          9152 - MISC. INCOME</v>
      </c>
      <c r="C110" s="11"/>
      <c r="D110" s="2">
        <f t="shared" si="79"/>
        <v>0</v>
      </c>
      <c r="E110" s="2"/>
      <c r="F110" s="19">
        <f t="shared" si="71"/>
        <v>0</v>
      </c>
      <c r="G110" s="2"/>
      <c r="H110" s="2">
        <f>--255.21</f>
        <v>255.21</v>
      </c>
      <c r="I110" s="2"/>
      <c r="J110" s="19">
        <f t="shared" si="72"/>
        <v>3.9612520294412576E-2</v>
      </c>
      <c r="K110" s="2"/>
      <c r="L110" s="2">
        <f t="shared" si="73"/>
        <v>-255.21</v>
      </c>
      <c r="M110" s="2"/>
      <c r="N110" s="19">
        <f t="shared" si="74"/>
        <v>-1</v>
      </c>
      <c r="O110" s="11"/>
      <c r="P110" s="2">
        <f>--2195.41</f>
        <v>2195.41</v>
      </c>
      <c r="Q110" s="2"/>
      <c r="R110" s="19">
        <f t="shared" si="75"/>
        <v>2.162113942570619E-3</v>
      </c>
      <c r="S110" s="2"/>
      <c r="T110" s="2">
        <f>--2606.23</f>
        <v>2606.23</v>
      </c>
      <c r="U110" s="2"/>
      <c r="V110" s="19">
        <f t="shared" si="76"/>
        <v>2.4084744054809161E-3</v>
      </c>
      <c r="W110" s="2"/>
      <c r="X110" s="2">
        <f t="shared" si="77"/>
        <v>-410.82000000000016</v>
      </c>
      <c r="Y110" s="2"/>
      <c r="Z110" s="19">
        <f t="shared" si="78"/>
        <v>-0.15762998660901001</v>
      </c>
    </row>
    <row r="111" spans="1:26" x14ac:dyDescent="0.3">
      <c r="A111" s="9"/>
      <c r="B111" s="10"/>
      <c r="C111" s="10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O111" s="10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10"/>
      <c r="B112" s="25" t="s">
        <v>276</v>
      </c>
      <c r="C112" s="25"/>
      <c r="D112" s="21">
        <f>+D57-D59+D107</f>
        <v>-38090.360000000022</v>
      </c>
      <c r="E112" s="13"/>
      <c r="F112" s="22">
        <f>IF(D$12=0,0,D112/D$12)</f>
        <v>-5.2267286531524082</v>
      </c>
      <c r="G112" s="13"/>
      <c r="H112" s="21">
        <f>+H57-H59+H107</f>
        <v>-42002.010000000053</v>
      </c>
      <c r="I112" s="13"/>
      <c r="J112" s="22">
        <f>IF(H$12=0,0,H112/H$12)</f>
        <v>-6.5193584637401436</v>
      </c>
      <c r="K112" s="16"/>
      <c r="L112" s="21">
        <f>+D112-H112</f>
        <v>3911.6500000000306</v>
      </c>
      <c r="M112" s="16"/>
      <c r="N112" s="22">
        <f>IF(H112=0,0,L112/H112)</f>
        <v>-9.3130066870609901E-2</v>
      </c>
      <c r="O112" s="26"/>
      <c r="P112" s="21">
        <f>+P57-P59+P107</f>
        <v>123928.48000000007</v>
      </c>
      <c r="Q112" s="13"/>
      <c r="R112" s="22">
        <f>IF(P$12=0,0,P112/P$12)</f>
        <v>0.12204895417693473</v>
      </c>
      <c r="S112" s="13"/>
      <c r="T112" s="21">
        <f>+T57-T59+T107</f>
        <v>262183.43999999989</v>
      </c>
      <c r="U112" s="13"/>
      <c r="V112" s="22">
        <f>IF(T$12=0,0,T112/T$12)</f>
        <v>0.24228947743711843</v>
      </c>
      <c r="W112" s="16"/>
      <c r="X112" s="21">
        <f>+P112-T112</f>
        <v>-138254.95999999982</v>
      </c>
      <c r="Y112" s="16"/>
      <c r="Z112" s="22">
        <f>IF(T112=0,0,X112/T112)</f>
        <v>-0.52732148147876878</v>
      </c>
    </row>
    <row r="113" spans="1:26" x14ac:dyDescent="0.3">
      <c r="A113" s="9"/>
      <c r="B113" s="10"/>
      <c r="C113" s="9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x14ac:dyDescent="0.3">
      <c r="A114" s="51"/>
      <c r="B114" s="10" t="s">
        <v>127</v>
      </c>
      <c r="C114" s="10"/>
      <c r="D114" s="4">
        <v>4416.59</v>
      </c>
      <c r="E114" s="4"/>
      <c r="F114" s="12">
        <f>IF(D$12=0,0,D114/D$12)</f>
        <v>0.60604093797555036</v>
      </c>
      <c r="G114" s="4"/>
      <c r="H114" s="4">
        <v>-61065.31</v>
      </c>
      <c r="I114" s="4"/>
      <c r="J114" s="12">
        <f>IF(H$12=0,0,H114/H$12)</f>
        <v>-9.4782760536796946</v>
      </c>
      <c r="K114" s="4"/>
      <c r="L114" s="4">
        <f>+D114-H114</f>
        <v>65481.899999999994</v>
      </c>
      <c r="M114" s="4"/>
      <c r="N114" s="12">
        <f>IF(H114=0,0,L114/H114)</f>
        <v>-1.0723256788510531</v>
      </c>
      <c r="O114" s="10"/>
      <c r="P114" s="4">
        <v>120946.03</v>
      </c>
      <c r="Q114" s="4"/>
      <c r="R114" s="12">
        <f>IF(P$12=0,0,P114/P$12)</f>
        <v>0.11911173665126987</v>
      </c>
      <c r="S114" s="4"/>
      <c r="T114" s="4">
        <v>171947.02</v>
      </c>
      <c r="U114" s="4"/>
      <c r="V114" s="12">
        <f>IF(T$12=0,0,T114/T$12)</f>
        <v>0.15890001909605644</v>
      </c>
      <c r="W114" s="4"/>
      <c r="X114" s="4">
        <f>+P114-T114</f>
        <v>-51000.989999999991</v>
      </c>
      <c r="Y114" s="4"/>
      <c r="Z114" s="12">
        <f>IF(T114=0,0,X114/T114)</f>
        <v>-0.29660874611261068</v>
      </c>
    </row>
    <row r="115" spans="1:26" x14ac:dyDescent="0.3">
      <c r="A115" s="9"/>
      <c r="B115" s="10"/>
      <c r="C115" s="10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O115" s="10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s="23" customFormat="1" ht="15" thickBot="1" x14ac:dyDescent="0.35">
      <c r="A116" s="10"/>
      <c r="B116" s="25" t="s">
        <v>125</v>
      </c>
      <c r="C116" s="25"/>
      <c r="D116" s="35">
        <f>+D112-D114</f>
        <v>-42506.950000000026</v>
      </c>
      <c r="E116" s="13"/>
      <c r="F116" s="31">
        <f>IF(D$12=0,0,D116/D$12)</f>
        <v>-5.8327695911279598</v>
      </c>
      <c r="G116" s="13"/>
      <c r="H116" s="35">
        <f>+H112-H114</f>
        <v>19063.299999999945</v>
      </c>
      <c r="I116" s="13"/>
      <c r="J116" s="31">
        <f>IF(H$12=0,0,H116/H$12)</f>
        <v>2.9589175899395519</v>
      </c>
      <c r="K116" s="16"/>
      <c r="L116" s="35">
        <f>D116-H116</f>
        <v>-61570.249999999971</v>
      </c>
      <c r="M116" s="16"/>
      <c r="N116" s="31">
        <f>IF(H116=0,0,L116/H116)</f>
        <v>-3.2297792092659798</v>
      </c>
      <c r="O116" s="26"/>
      <c r="P116" s="35">
        <f>+P112-P114</f>
        <v>2982.4500000000698</v>
      </c>
      <c r="Q116" s="13"/>
      <c r="R116" s="31">
        <f>IF(P$12=0,0,P116/P$12)</f>
        <v>2.9372175256648617E-3</v>
      </c>
      <c r="S116" s="13"/>
      <c r="T116" s="35">
        <f>+T112-T114</f>
        <v>90236.419999999896</v>
      </c>
      <c r="U116" s="13"/>
      <c r="V116" s="31">
        <f>IF(T$12=0,0,T116/T$12)</f>
        <v>8.3389458341061998E-2</v>
      </c>
      <c r="W116" s="16"/>
      <c r="X116" s="35">
        <f>P116-T116</f>
        <v>-87253.969999999827</v>
      </c>
      <c r="Y116" s="16"/>
      <c r="Z116" s="31">
        <f>IF(T116=0,0,X116/T116)</f>
        <v>-0.96694848931285093</v>
      </c>
    </row>
    <row r="117" spans="1:26" ht="15" thickTop="1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x14ac:dyDescent="0.3">
      <c r="A118" s="9"/>
      <c r="B118" s="9"/>
      <c r="C118" s="9"/>
      <c r="D118" s="3"/>
      <c r="E118" s="3"/>
      <c r="F118" s="8"/>
      <c r="G118" s="3"/>
      <c r="H118" s="3"/>
      <c r="I118" s="3"/>
      <c r="J118" s="8"/>
      <c r="K118" s="3"/>
      <c r="L118" s="3"/>
      <c r="M118" s="3"/>
      <c r="N118" s="8"/>
      <c r="P118" s="3"/>
      <c r="Q118" s="3"/>
      <c r="R118" s="8"/>
      <c r="S118" s="3"/>
      <c r="T118" s="3"/>
      <c r="U118" s="3"/>
      <c r="V118" s="8"/>
      <c r="W118" s="3"/>
      <c r="X118" s="3"/>
      <c r="Y118" s="3"/>
      <c r="Z118" s="8"/>
    </row>
    <row r="119" spans="1:26" s="23" customFormat="1" ht="15" thickBot="1" x14ac:dyDescent="0.35">
      <c r="A119" s="10"/>
      <c r="B119" s="25" t="s">
        <v>293</v>
      </c>
      <c r="C119" s="25"/>
      <c r="D119" s="36">
        <f>SUM(D116:D118)</f>
        <v>-42506.950000000026</v>
      </c>
      <c r="E119" s="13"/>
      <c r="F119" s="33">
        <f>IF(D$12=0,0,D119/D$12)</f>
        <v>-5.8327695911279598</v>
      </c>
      <c r="G119" s="13"/>
      <c r="H119" s="36">
        <f>SUM(H116:H118)</f>
        <v>19063.299999999945</v>
      </c>
      <c r="I119" s="13"/>
      <c r="J119" s="33">
        <f>IF(H$12=0,0,H119/H$12)</f>
        <v>2.9589175899395519</v>
      </c>
      <c r="K119" s="16"/>
      <c r="L119" s="36">
        <f>+D119-H119</f>
        <v>-61570.249999999971</v>
      </c>
      <c r="M119" s="16"/>
      <c r="N119" s="33">
        <f>IF(H119=0,0,L119/H119)</f>
        <v>-3.2297792092659798</v>
      </c>
      <c r="O119" s="26"/>
      <c r="P119" s="36">
        <f>SUM(P116:P118)</f>
        <v>2982.4500000000698</v>
      </c>
      <c r="Q119" s="13"/>
      <c r="R119" s="33">
        <f>IF(P$12=0,0,P119/P$12)</f>
        <v>2.9372175256648617E-3</v>
      </c>
      <c r="S119" s="13"/>
      <c r="T119" s="36">
        <f>SUM(T116:T118)</f>
        <v>90236.419999999896</v>
      </c>
      <c r="U119" s="13"/>
      <c r="V119" s="33">
        <f>IF(T$12=0,0,T119/T$12)</f>
        <v>8.3389458341061998E-2</v>
      </c>
      <c r="W119" s="16"/>
      <c r="X119" s="36">
        <f>+P119-T119</f>
        <v>-87253.969999999827</v>
      </c>
      <c r="Y119" s="16"/>
      <c r="Z119" s="33">
        <f>IF(T119=0,0,X119/T119)</f>
        <v>-0.96694848931285093</v>
      </c>
    </row>
    <row r="120" spans="1:26" ht="15" thickTop="1" x14ac:dyDescent="0.3">
      <c r="A120" s="9"/>
      <c r="C120" s="9"/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2">
        <v>44543.765594675926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59" t="s">
        <v>56</v>
      </c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A123" s="9"/>
      <c r="B123" s="61"/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  <row r="124" spans="1:26" x14ac:dyDescent="0.3">
      <c r="D124" s="17"/>
      <c r="E124" s="17"/>
      <c r="G124" s="17"/>
      <c r="H124" s="17"/>
      <c r="I124" s="17"/>
      <c r="J124" s="42"/>
      <c r="K124" s="17"/>
      <c r="L124" s="17"/>
      <c r="M124" s="17"/>
      <c r="P124" s="17"/>
      <c r="Q124" s="17"/>
      <c r="R124" s="42"/>
      <c r="S124" s="17"/>
      <c r="T124" s="17"/>
      <c r="U124" s="17"/>
      <c r="V124" s="42"/>
      <c r="W124" s="17"/>
      <c r="X124" s="17"/>
    </row>
  </sheetData>
  <pageMargins left="0.25" right="0.25" top="0.75" bottom="0.75" header="0.3" footer="0.3"/>
  <pageSetup scale="55" fitToWidth="2" orientation="landscape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","324", " - ", "Textbook Rental")</f>
        <v>Department 324 - Textbook Rental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589.84</v>
      </c>
      <c r="E12" s="4"/>
      <c r="F12" s="12"/>
      <c r="G12" s="4"/>
      <c r="H12" s="4">
        <f>SUM(OSRRefH13x_0)</f>
        <v>2081.4899999999998</v>
      </c>
      <c r="I12" s="4"/>
      <c r="J12" s="12"/>
      <c r="K12" s="4"/>
      <c r="L12" s="4">
        <f t="shared" ref="L12:L16" si="0">+D12-H12</f>
        <v>-1491.6499999999996</v>
      </c>
      <c r="M12" s="4"/>
      <c r="N12" s="12">
        <f t="shared" ref="N12:N16" si="1">IF(H12=0,0,L12/H12)</f>
        <v>-0.71662607074739715</v>
      </c>
      <c r="O12" s="10"/>
      <c r="P12" s="4">
        <f>SUM(OSRRefP13x_0)</f>
        <v>336237.38</v>
      </c>
      <c r="Q12" s="4"/>
      <c r="R12" s="12"/>
      <c r="S12" s="4"/>
      <c r="T12" s="4">
        <f>SUM(OSRRefT13x_0)</f>
        <v>472121.94000000006</v>
      </c>
      <c r="U12" s="4"/>
      <c r="V12" s="12"/>
      <c r="W12" s="4"/>
      <c r="X12" s="4">
        <f t="shared" ref="X12:X16" si="2">+P12-T12</f>
        <v>-135884.56000000006</v>
      </c>
      <c r="Y12" s="4"/>
      <c r="Z12" s="12">
        <f t="shared" ref="Z12:Z16" si="3">IF(T12=0,0,X12/T12)</f>
        <v>-0.28781666024671515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--298.49</f>
        <v>298.49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298.49</v>
      </c>
      <c r="M13" s="2"/>
      <c r="N13" s="19">
        <f t="shared" si="1"/>
        <v>0</v>
      </c>
      <c r="O13" s="11"/>
      <c r="P13" s="2">
        <f>--211357.15</f>
        <v>211357.15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211357.15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"4001", " - ", "TAXABLE SALES-NEW TEXT")</f>
        <v xml:space="preserve">          4001 - TAXABLE SALES-NEW TEXT</v>
      </c>
      <c r="C14" s="11"/>
      <c r="D14" s="2">
        <f t="shared" ref="D14:D15" si="4">0</f>
        <v>0</v>
      </c>
      <c r="E14" s="2"/>
      <c r="F14" s="19"/>
      <c r="G14" s="2"/>
      <c r="H14" s="2">
        <f>--481.05</f>
        <v>481.05</v>
      </c>
      <c r="I14" s="2"/>
      <c r="J14" s="19"/>
      <c r="K14" s="2"/>
      <c r="L14" s="2">
        <f t="shared" si="0"/>
        <v>-481.05</v>
      </c>
      <c r="M14" s="2"/>
      <c r="N14" s="19">
        <f t="shared" si="1"/>
        <v>-1</v>
      </c>
      <c r="O14" s="11"/>
      <c r="P14" s="2">
        <f t="shared" ref="P14:P15" si="5">0</f>
        <v>0</v>
      </c>
      <c r="Q14" s="2"/>
      <c r="R14" s="19"/>
      <c r="S14" s="2"/>
      <c r="T14" s="2">
        <f>--172710.01</f>
        <v>172710.01</v>
      </c>
      <c r="U14" s="2"/>
      <c r="V14" s="19"/>
      <c r="W14" s="2"/>
      <c r="X14" s="2">
        <f t="shared" si="2"/>
        <v>-172710.01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"4002", " - ", "TAXABLE SALES-USED TEXT")</f>
        <v xml:space="preserve">          4002 - TAXABLE SALES-USED TEXT</v>
      </c>
      <c r="C15" s="11"/>
      <c r="D15" s="2">
        <f t="shared" si="4"/>
        <v>0</v>
      </c>
      <c r="E15" s="2"/>
      <c r="F15" s="19"/>
      <c r="G15" s="2"/>
      <c r="H15" s="2">
        <f>--266.83</f>
        <v>266.83</v>
      </c>
      <c r="I15" s="2"/>
      <c r="J15" s="19"/>
      <c r="K15" s="2"/>
      <c r="L15" s="2">
        <f t="shared" si="0"/>
        <v>-266.83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--133598.51</f>
        <v>133598.51</v>
      </c>
      <c r="U15" s="2"/>
      <c r="V15" s="19"/>
      <c r="W15" s="2"/>
      <c r="X15" s="2">
        <f t="shared" si="2"/>
        <v>-133598.51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"4100", " - ", "NON-TAXABLE SALES")</f>
        <v xml:space="preserve">          4100 - NON-TAXABLE SALES</v>
      </c>
      <c r="C16" s="11"/>
      <c r="D16" s="2">
        <f>--291.35</f>
        <v>291.35000000000002</v>
      </c>
      <c r="E16" s="2"/>
      <c r="F16" s="19"/>
      <c r="G16" s="2"/>
      <c r="H16" s="2">
        <f>--1333.61</f>
        <v>1333.61</v>
      </c>
      <c r="I16" s="2"/>
      <c r="J16" s="19"/>
      <c r="K16" s="2"/>
      <c r="L16" s="2">
        <f t="shared" si="0"/>
        <v>-1042.2599999999998</v>
      </c>
      <c r="M16" s="2"/>
      <c r="N16" s="19">
        <f t="shared" si="1"/>
        <v>-0.78153283193737288</v>
      </c>
      <c r="O16" s="11"/>
      <c r="P16" s="2">
        <f>--124880.23</f>
        <v>124880.23</v>
      </c>
      <c r="Q16" s="2"/>
      <c r="R16" s="19"/>
      <c r="S16" s="2"/>
      <c r="T16" s="2">
        <f>--165813.42</f>
        <v>165813.42000000001</v>
      </c>
      <c r="U16" s="2"/>
      <c r="V16" s="19"/>
      <c r="W16" s="2"/>
      <c r="X16" s="2">
        <f t="shared" si="2"/>
        <v>-40933.190000000017</v>
      </c>
      <c r="Y16" s="2"/>
      <c r="Z16" s="19">
        <f t="shared" si="3"/>
        <v>-0.24686294993493296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320.27999999999997</v>
      </c>
      <c r="E18" s="4"/>
      <c r="F18" s="12">
        <f t="shared" ref="F18:F21" si="6">IF(D$12=0,0,D18/D$12)</f>
        <v>0.54299471042994707</v>
      </c>
      <c r="G18" s="4"/>
      <c r="H18" s="4">
        <f>SUM(OSRRefH16x_0)</f>
        <v>375.49</v>
      </c>
      <c r="I18" s="4"/>
      <c r="J18" s="12">
        <f t="shared" ref="J18:J21" si="7">IF(H$12=0,0,H18/H$12)</f>
        <v>0.18039481333083515</v>
      </c>
      <c r="K18" s="4"/>
      <c r="L18" s="4">
        <f t="shared" ref="L18:L21" si="8">+D18-H18</f>
        <v>-55.210000000000036</v>
      </c>
      <c r="M18" s="4"/>
      <c r="N18" s="12">
        <f t="shared" ref="N18:N21" si="9">IF(H18=0,0,L18/H18)</f>
        <v>-0.14703454153239776</v>
      </c>
      <c r="O18" s="10"/>
      <c r="P18" s="4">
        <f>SUM(OSRRefP16x_0)</f>
        <v>253738.37</v>
      </c>
      <c r="Q18" s="4"/>
      <c r="R18" s="12">
        <f t="shared" ref="R18:R21" si="10">IF(P$12=0,0,P18/P$12)</f>
        <v>0.75464057565521114</v>
      </c>
      <c r="S18" s="4"/>
      <c r="T18" s="4">
        <f>SUM(OSRRefT16x_0)</f>
        <v>344161.83</v>
      </c>
      <c r="U18" s="4"/>
      <c r="V18" s="12">
        <f t="shared" ref="V18:V21" si="11">IF(T$12=0,0,T18/T$12)</f>
        <v>0.72896809243815264</v>
      </c>
      <c r="W18" s="4"/>
      <c r="X18" s="4">
        <f t="shared" ref="X18:X21" si="12">+P18-T18</f>
        <v>-90423.460000000021</v>
      </c>
      <c r="Y18" s="4"/>
      <c r="Z18" s="12">
        <f t="shared" ref="Z18:Z21" si="13">IF(T18=0,0,X18/T18)</f>
        <v>-0.26273529519528654</v>
      </c>
    </row>
    <row r="19" spans="1:26" s="24" customFormat="1" hidden="1" outlineLevel="1" x14ac:dyDescent="0.3">
      <c r="A19" s="44"/>
      <c r="B19" s="11" t="str">
        <f>CONCATENATE("          ", "5000", " - ", "PURCHASES @ COST")</f>
        <v xml:space="preserve">          5000 - PURCHASES @ COST</v>
      </c>
      <c r="C19" s="11"/>
      <c r="D19" s="2">
        <v>320.27999999999997</v>
      </c>
      <c r="E19" s="2"/>
      <c r="F19" s="19">
        <f t="shared" si="6"/>
        <v>0.54299471042994707</v>
      </c>
      <c r="G19" s="2"/>
      <c r="H19" s="2"/>
      <c r="I19" s="2"/>
      <c r="J19" s="19">
        <f t="shared" si="7"/>
        <v>0</v>
      </c>
      <c r="K19" s="2"/>
      <c r="L19" s="2">
        <f t="shared" si="8"/>
        <v>320.27999999999997</v>
      </c>
      <c r="M19" s="2"/>
      <c r="N19" s="19">
        <f t="shared" si="9"/>
        <v>0</v>
      </c>
      <c r="O19" s="11"/>
      <c r="P19" s="2">
        <v>253738.37</v>
      </c>
      <c r="Q19" s="2"/>
      <c r="R19" s="19">
        <f t="shared" si="10"/>
        <v>0.75464057565521114</v>
      </c>
      <c r="S19" s="2"/>
      <c r="T19" s="2"/>
      <c r="U19" s="2"/>
      <c r="V19" s="19">
        <f t="shared" si="11"/>
        <v>0</v>
      </c>
      <c r="W19" s="2"/>
      <c r="X19" s="2">
        <f t="shared" si="12"/>
        <v>253738.37</v>
      </c>
      <c r="Y19" s="2"/>
      <c r="Z19" s="19">
        <f t="shared" si="13"/>
        <v>0</v>
      </c>
    </row>
    <row r="20" spans="1:26" s="24" customFormat="1" hidden="1" outlineLevel="1" x14ac:dyDescent="0.3">
      <c r="A20" s="44"/>
      <c r="B20" s="11" t="str">
        <f>CONCATENATE("          ", "5001", " - ", "PURCHASES @ COST-NEW TEXT")</f>
        <v xml:space="preserve">          5001 - PURCHASES @ COST-NEW TEXT</v>
      </c>
      <c r="C20" s="11"/>
      <c r="D20" s="2"/>
      <c r="E20" s="2"/>
      <c r="F20" s="19">
        <f t="shared" si="6"/>
        <v>0</v>
      </c>
      <c r="G20" s="2"/>
      <c r="H20" s="2">
        <v>-71.819999999999993</v>
      </c>
      <c r="I20" s="2"/>
      <c r="J20" s="19">
        <f t="shared" si="7"/>
        <v>-3.4504129253563554E-2</v>
      </c>
      <c r="K20" s="2"/>
      <c r="L20" s="2">
        <f t="shared" si="8"/>
        <v>71.819999999999993</v>
      </c>
      <c r="M20" s="2"/>
      <c r="N20" s="19">
        <f t="shared" si="9"/>
        <v>-1</v>
      </c>
      <c r="O20" s="11"/>
      <c r="P20" s="2"/>
      <c r="Q20" s="2"/>
      <c r="R20" s="19">
        <f t="shared" si="10"/>
        <v>0</v>
      </c>
      <c r="S20" s="2"/>
      <c r="T20" s="2">
        <v>204380.04</v>
      </c>
      <c r="U20" s="2"/>
      <c r="V20" s="19">
        <f t="shared" si="11"/>
        <v>0.43289672155460512</v>
      </c>
      <c r="W20" s="2"/>
      <c r="X20" s="2">
        <f t="shared" si="12"/>
        <v>-204380.04</v>
      </c>
      <c r="Y20" s="2"/>
      <c r="Z20" s="19">
        <f t="shared" si="13"/>
        <v>-1</v>
      </c>
    </row>
    <row r="21" spans="1:26" s="24" customFormat="1" hidden="1" outlineLevel="1" x14ac:dyDescent="0.3">
      <c r="A21" s="44"/>
      <c r="B21" s="11" t="str">
        <f>CONCATENATE("          ", "5002", " - ", "PURCHASES @ COST-USED TEXT")</f>
        <v xml:space="preserve">          5002 - PURCHASES @ COST-USED TEXT</v>
      </c>
      <c r="C21" s="11"/>
      <c r="D21" s="2"/>
      <c r="E21" s="2"/>
      <c r="F21" s="19">
        <f t="shared" si="6"/>
        <v>0</v>
      </c>
      <c r="G21" s="2"/>
      <c r="H21" s="2">
        <v>447.31</v>
      </c>
      <c r="I21" s="2"/>
      <c r="J21" s="19">
        <f t="shared" si="7"/>
        <v>0.21489894258439871</v>
      </c>
      <c r="K21" s="2"/>
      <c r="L21" s="2">
        <f t="shared" si="8"/>
        <v>-447.31</v>
      </c>
      <c r="M21" s="2"/>
      <c r="N21" s="19">
        <f t="shared" si="9"/>
        <v>-1</v>
      </c>
      <c r="O21" s="11"/>
      <c r="P21" s="2"/>
      <c r="Q21" s="2"/>
      <c r="R21" s="19">
        <f t="shared" si="10"/>
        <v>0</v>
      </c>
      <c r="S21" s="2"/>
      <c r="T21" s="2">
        <v>139781.79</v>
      </c>
      <c r="U21" s="2"/>
      <c r="V21" s="19">
        <f t="shared" si="11"/>
        <v>0.29607137088354757</v>
      </c>
      <c r="W21" s="2"/>
      <c r="X21" s="2">
        <f t="shared" si="12"/>
        <v>-139781.79</v>
      </c>
      <c r="Y21" s="2"/>
      <c r="Z21" s="19">
        <f t="shared" si="13"/>
        <v>-1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5" t="s">
        <v>107</v>
      </c>
      <c r="C23" s="25"/>
      <c r="D23" s="21">
        <f>D12-D18</f>
        <v>269.56000000000006</v>
      </c>
      <c r="E23" s="13"/>
      <c r="F23" s="22">
        <f>IF(D$12=0,0,D23/D$12)</f>
        <v>0.45700528957005299</v>
      </c>
      <c r="G23" s="13"/>
      <c r="H23" s="21">
        <f>H12-H18</f>
        <v>1705.9999999999998</v>
      </c>
      <c r="I23" s="13"/>
      <c r="J23" s="22">
        <f>IF(H$12=0,0,H23/H$12)</f>
        <v>0.81960518666916482</v>
      </c>
      <c r="K23" s="16"/>
      <c r="L23" s="21">
        <f>+D23-H23</f>
        <v>-1436.4399999999996</v>
      </c>
      <c r="M23" s="16"/>
      <c r="N23" s="22">
        <f>IF(H23=0,0,L23/H23)</f>
        <v>-0.84199296600234452</v>
      </c>
      <c r="O23" s="26"/>
      <c r="P23" s="21">
        <f>P12-P18</f>
        <v>82499.010000000009</v>
      </c>
      <c r="Q23" s="13"/>
      <c r="R23" s="22">
        <f>IF(P$12=0,0,P23/P$12)</f>
        <v>0.24535942434478883</v>
      </c>
      <c r="S23" s="13"/>
      <c r="T23" s="21">
        <f>T12-T18</f>
        <v>127960.11000000004</v>
      </c>
      <c r="U23" s="13"/>
      <c r="V23" s="22">
        <f>IF(T$12=0,0,T23/T$12)</f>
        <v>0.27103190756184731</v>
      </c>
      <c r="W23" s="16"/>
      <c r="X23" s="21">
        <f>+P23-T23</f>
        <v>-45461.100000000035</v>
      </c>
      <c r="Y23" s="16"/>
      <c r="Z23" s="22">
        <f>IF(T23=0,0,X23/T23)</f>
        <v>-0.3552755620482041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0">
        <f>SUM(0)</f>
        <v>0</v>
      </c>
      <c r="E25" s="20"/>
      <c r="F25" s="32">
        <f>IF(D$12=0,0,D25/D$12)</f>
        <v>0</v>
      </c>
      <c r="G25" s="20"/>
      <c r="H25" s="20">
        <f>SUM(0)</f>
        <v>0</v>
      </c>
      <c r="I25" s="20"/>
      <c r="J25" s="32">
        <f>IF(H$12=0,0,H25/H$12)</f>
        <v>0</v>
      </c>
      <c r="K25" s="4"/>
      <c r="L25" s="20">
        <f>+D25-H25</f>
        <v>0</v>
      </c>
      <c r="M25" s="4"/>
      <c r="N25" s="32">
        <f>IF(H25=0,0,L25/H25)</f>
        <v>0</v>
      </c>
      <c r="O25" s="10"/>
      <c r="P25" s="20">
        <f>SUM(0)</f>
        <v>0</v>
      </c>
      <c r="Q25" s="20"/>
      <c r="R25" s="32">
        <f>IF(P$12=0,0,P25/P$12)</f>
        <v>0</v>
      </c>
      <c r="S25" s="20"/>
      <c r="T25" s="20">
        <f>SUM(0)</f>
        <v>0</v>
      </c>
      <c r="U25" s="20"/>
      <c r="V25" s="32">
        <f>IF(T$12=0,0,T25/T$12)</f>
        <v>0</v>
      </c>
      <c r="W25" s="4"/>
      <c r="X25" s="20">
        <f>+P25-T25</f>
        <v>0</v>
      </c>
      <c r="Y25" s="4"/>
      <c r="Z25" s="32">
        <f>IF(T25=0,0,X25/T25)</f>
        <v>0</v>
      </c>
    </row>
    <row r="26" spans="1:26" s="62" customFormat="1" x14ac:dyDescent="0.3">
      <c r="A26" s="37"/>
      <c r="B26" s="37"/>
      <c r="C26" s="37"/>
      <c r="D26" s="1"/>
      <c r="E26" s="1"/>
      <c r="F26" s="5"/>
      <c r="G26" s="1"/>
      <c r="H26" s="1"/>
      <c r="I26" s="1"/>
      <c r="J26" s="5"/>
      <c r="K26" s="1"/>
      <c r="L26" s="1"/>
      <c r="M26" s="1"/>
      <c r="N26" s="5"/>
      <c r="O26" s="37"/>
      <c r="P26" s="1"/>
      <c r="Q26" s="1"/>
      <c r="R26" s="5"/>
      <c r="S26" s="1"/>
      <c r="T26" s="1"/>
      <c r="U26" s="1"/>
      <c r="V26" s="5"/>
      <c r="W26" s="1"/>
      <c r="X26" s="1"/>
      <c r="Y26" s="1"/>
      <c r="Z26" s="5"/>
    </row>
    <row r="27" spans="1:26" s="23" customFormat="1" x14ac:dyDescent="0.3">
      <c r="A27" s="10"/>
      <c r="B27" s="26" t="s">
        <v>292</v>
      </c>
      <c r="C27" s="10"/>
      <c r="D27" s="4">
        <f>SUM(0)</f>
        <v>0</v>
      </c>
      <c r="E27" s="4"/>
      <c r="F27" s="12">
        <f>IF(D$12=0,0,D27/D$12)</f>
        <v>0</v>
      </c>
      <c r="G27" s="4"/>
      <c r="H27" s="4">
        <f>SUM(0)</f>
        <v>0</v>
      </c>
      <c r="I27" s="4"/>
      <c r="J27" s="12">
        <f>IF(H$12=0,0,H27/H$12)</f>
        <v>0</v>
      </c>
      <c r="K27" s="4"/>
      <c r="L27" s="4">
        <f>+D27-H27</f>
        <v>0</v>
      </c>
      <c r="M27" s="4"/>
      <c r="N27" s="12">
        <f>IF(H27=0,0,L27/H27)</f>
        <v>0</v>
      </c>
      <c r="O27" s="10"/>
      <c r="P27" s="4">
        <f>SUM(0)</f>
        <v>0</v>
      </c>
      <c r="Q27" s="4"/>
      <c r="R27" s="12">
        <f>IF(P$12=0,0,P27/P$12)</f>
        <v>0</v>
      </c>
      <c r="S27" s="4"/>
      <c r="T27" s="4">
        <f>SUM(0)</f>
        <v>0</v>
      </c>
      <c r="U27" s="4"/>
      <c r="V27" s="12">
        <f>IF(T$12=0,0,T27/T$12)</f>
        <v>0</v>
      </c>
      <c r="W27" s="4"/>
      <c r="X27" s="4">
        <f>+P27-T27</f>
        <v>0</v>
      </c>
      <c r="Y27" s="4"/>
      <c r="Z27" s="12">
        <f>IF(T27=0,0,X27/T27)</f>
        <v>0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10"/>
      <c r="B29" s="25" t="s">
        <v>276</v>
      </c>
      <c r="C29" s="25"/>
      <c r="D29" s="21">
        <f>+D23-D25+D27</f>
        <v>269.56000000000006</v>
      </c>
      <c r="E29" s="13"/>
      <c r="F29" s="22">
        <f>IF(D$12=0,0,D29/D$12)</f>
        <v>0.45700528957005299</v>
      </c>
      <c r="G29" s="13"/>
      <c r="H29" s="21">
        <f>+H23-H25+H27</f>
        <v>1705.9999999999998</v>
      </c>
      <c r="I29" s="13"/>
      <c r="J29" s="22">
        <f>IF(H$12=0,0,H29/H$12)</f>
        <v>0.81960518666916482</v>
      </c>
      <c r="K29" s="16"/>
      <c r="L29" s="21">
        <f>+D29-H29</f>
        <v>-1436.4399999999996</v>
      </c>
      <c r="M29" s="16"/>
      <c r="N29" s="22">
        <f>IF(H29=0,0,L29/H29)</f>
        <v>-0.84199296600234452</v>
      </c>
      <c r="O29" s="26"/>
      <c r="P29" s="21">
        <f>+P23-P25+P27</f>
        <v>82499.010000000009</v>
      </c>
      <c r="Q29" s="13"/>
      <c r="R29" s="22">
        <f>IF(P$12=0,0,P29/P$12)</f>
        <v>0.24535942434478883</v>
      </c>
      <c r="S29" s="13"/>
      <c r="T29" s="21">
        <f>+T23-T25+T27</f>
        <v>127960.11000000004</v>
      </c>
      <c r="U29" s="13"/>
      <c r="V29" s="22">
        <f>IF(T$12=0,0,T29/T$12)</f>
        <v>0.27103190756184731</v>
      </c>
      <c r="W29" s="16"/>
      <c r="X29" s="21">
        <f>+P29-T29</f>
        <v>-45461.100000000035</v>
      </c>
      <c r="Y29" s="16"/>
      <c r="Z29" s="22">
        <f>IF(T29=0,0,X29/T29)</f>
        <v>-0.3552755620482041</v>
      </c>
    </row>
    <row r="30" spans="1:26" x14ac:dyDescent="0.3">
      <c r="A30" s="9"/>
      <c r="B30" s="10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51"/>
      <c r="B31" s="10" t="s">
        <v>127</v>
      </c>
      <c r="C31" s="10"/>
      <c r="D31" s="4">
        <v>1251.74</v>
      </c>
      <c r="E31" s="4"/>
      <c r="F31" s="12">
        <f>IF(D$12=0,0,D31/D$12)</f>
        <v>2.1221687237216873</v>
      </c>
      <c r="G31" s="4"/>
      <c r="H31" s="4">
        <v>-26807.040000000001</v>
      </c>
      <c r="I31" s="4"/>
      <c r="J31" s="12">
        <f>IF(H$12=0,0,H31/H$12)</f>
        <v>-12.878774339535623</v>
      </c>
      <c r="K31" s="4"/>
      <c r="L31" s="4">
        <f>+D31-H31</f>
        <v>28058.780000000002</v>
      </c>
      <c r="M31" s="4"/>
      <c r="N31" s="12">
        <f>IF(H31=0,0,L31/H31)</f>
        <v>-1.046694450413026</v>
      </c>
      <c r="O31" s="10"/>
      <c r="P31" s="4">
        <v>40049.82</v>
      </c>
      <c r="Q31" s="4"/>
      <c r="R31" s="12">
        <f>IF(P$12=0,0,P31/P$12)</f>
        <v>0.11911174182953721</v>
      </c>
      <c r="S31" s="4"/>
      <c r="T31" s="4">
        <v>75013.84</v>
      </c>
      <c r="U31" s="4"/>
      <c r="V31" s="12">
        <f>IF(T$12=0,0,T31/T$12)</f>
        <v>0.15888657917486315</v>
      </c>
      <c r="W31" s="4"/>
      <c r="X31" s="4">
        <f>+P31-T31</f>
        <v>-34964.019999999997</v>
      </c>
      <c r="Y31" s="4"/>
      <c r="Z31" s="12">
        <f>IF(T31=0,0,X31/T31)</f>
        <v>-0.46610092217649435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ht="15" thickBot="1" x14ac:dyDescent="0.35">
      <c r="A33" s="10"/>
      <c r="B33" s="25" t="s">
        <v>125</v>
      </c>
      <c r="C33" s="25"/>
      <c r="D33" s="35">
        <f>+D29-D31</f>
        <v>-982.18</v>
      </c>
      <c r="E33" s="13"/>
      <c r="F33" s="31">
        <f>IF(D$12=0,0,D33/D$12)</f>
        <v>-1.6651634341516341</v>
      </c>
      <c r="G33" s="13"/>
      <c r="H33" s="35">
        <f>+H29-H31</f>
        <v>28513.040000000001</v>
      </c>
      <c r="I33" s="13"/>
      <c r="J33" s="31">
        <f>IF(H$12=0,0,H33/H$12)</f>
        <v>13.698379526204787</v>
      </c>
      <c r="K33" s="16"/>
      <c r="L33" s="35">
        <f>D33-H33</f>
        <v>-29495.22</v>
      </c>
      <c r="M33" s="16"/>
      <c r="N33" s="31">
        <f>IF(H33=0,0,L33/H33)</f>
        <v>-1.0344466952664466</v>
      </c>
      <c r="O33" s="26"/>
      <c r="P33" s="35">
        <f>+P29-P31</f>
        <v>42449.19000000001</v>
      </c>
      <c r="Q33" s="13"/>
      <c r="R33" s="31">
        <f>IF(P$12=0,0,P33/P$12)</f>
        <v>0.12624768251525159</v>
      </c>
      <c r="S33" s="13"/>
      <c r="T33" s="35">
        <f>+T29-T31</f>
        <v>52946.270000000048</v>
      </c>
      <c r="U33" s="13"/>
      <c r="V33" s="31">
        <f>IF(T$12=0,0,T33/T$12)</f>
        <v>0.11214532838698418</v>
      </c>
      <c r="W33" s="16"/>
      <c r="X33" s="35">
        <f>P33-T33</f>
        <v>-10497.080000000038</v>
      </c>
      <c r="Y33" s="16"/>
      <c r="Z33" s="31">
        <f>IF(T33=0,0,X33/T33)</f>
        <v>-0.19825910304918606</v>
      </c>
    </row>
    <row r="34" spans="1:26" ht="15" thickTop="1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>
        <f>SUM(D33:D35)</f>
        <v>-982.18</v>
      </c>
      <c r="E36" s="13"/>
      <c r="F36" s="33">
        <f>IF(D$12=0,0,D36/D$12)</f>
        <v>-1.6651634341516341</v>
      </c>
      <c r="G36" s="13"/>
      <c r="H36" s="36">
        <f>SUM(H33:H35)</f>
        <v>28513.040000000001</v>
      </c>
      <c r="I36" s="13"/>
      <c r="J36" s="33">
        <f>IF(H$12=0,0,H36/H$12)</f>
        <v>13.698379526204787</v>
      </c>
      <c r="K36" s="16"/>
      <c r="L36" s="36">
        <f>+D36-H36</f>
        <v>-29495.22</v>
      </c>
      <c r="M36" s="16"/>
      <c r="N36" s="33">
        <f>IF(H36=0,0,L36/H36)</f>
        <v>-1.0344466952664466</v>
      </c>
      <c r="O36" s="26"/>
      <c r="P36" s="36">
        <f>SUM(P33:P35)</f>
        <v>42449.19000000001</v>
      </c>
      <c r="Q36" s="13"/>
      <c r="R36" s="33">
        <f>IF(P$12=0,0,P36/P$12)</f>
        <v>0.12624768251525159</v>
      </c>
      <c r="S36" s="13"/>
      <c r="T36" s="36">
        <f>SUM(T33:T35)</f>
        <v>52946.270000000048</v>
      </c>
      <c r="U36" s="13"/>
      <c r="V36" s="33">
        <f>IF(T$12=0,0,T36/T$12)</f>
        <v>0.11214532838698418</v>
      </c>
      <c r="W36" s="16"/>
      <c r="X36" s="36">
        <f>+P36-T36</f>
        <v>-10497.080000000038</v>
      </c>
      <c r="Y36" s="16"/>
      <c r="Z36" s="33">
        <f>IF(T36=0,0,X36/T36)</f>
        <v>-0.19825910304918606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>
        <v>44543.765594675926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s">
        <v>56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FFFF00"/>
    <outlinePr summaryBelow="0" summaryRight="0"/>
  </sheetPr>
  <dimension ref="A2:Z167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265288.17000000004</v>
      </c>
      <c r="E12" s="4"/>
      <c r="F12" s="12"/>
      <c r="G12" s="4"/>
      <c r="H12" s="4">
        <f>SUM(OSRRefH13x_0)</f>
        <v>100850.61000000003</v>
      </c>
      <c r="I12" s="4"/>
      <c r="J12" s="12"/>
      <c r="K12" s="4"/>
      <c r="L12" s="4">
        <f t="shared" ref="L12:L54" si="0">+D12-H12</f>
        <v>164437.56</v>
      </c>
      <c r="M12" s="4"/>
      <c r="N12" s="12">
        <f t="shared" ref="N12:N54" si="1">IF(H12=0,0,L12/H12)</f>
        <v>1.630506349936802</v>
      </c>
      <c r="O12" s="10"/>
      <c r="P12" s="4">
        <f>SUM(OSRRefP13x_0)</f>
        <v>1637734.3300000003</v>
      </c>
      <c r="Q12" s="4"/>
      <c r="R12" s="12"/>
      <c r="S12" s="4"/>
      <c r="T12" s="4">
        <f>SUM(OSRRefT13x_0)</f>
        <v>815867.91000000015</v>
      </c>
      <c r="U12" s="4"/>
      <c r="V12" s="12"/>
      <c r="W12" s="4"/>
      <c r="X12" s="4">
        <f t="shared" ref="X12:X54" si="2">+P12-T12</f>
        <v>821866.42000000016</v>
      </c>
      <c r="Y12" s="4"/>
      <c r="Z12" s="12">
        <f t="shared" ref="Z12:Z54" si="3">IF(T12=0,0,X12/T12)</f>
        <v>1.0073523053505071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--242978.9</f>
        <v>242978.9</v>
      </c>
      <c r="E13" s="2"/>
      <c r="F13" s="19"/>
      <c r="G13" s="2"/>
      <c r="H13" s="2">
        <f>-9309.28</f>
        <v>-9309.2800000000007</v>
      </c>
      <c r="I13" s="2"/>
      <c r="J13" s="19"/>
      <c r="K13" s="2"/>
      <c r="L13" s="2">
        <f t="shared" si="0"/>
        <v>252288.18</v>
      </c>
      <c r="M13" s="2"/>
      <c r="N13" s="19">
        <f t="shared" si="1"/>
        <v>-27.100718852585803</v>
      </c>
      <c r="O13" s="11"/>
      <c r="P13" s="2">
        <f>--1509632.31</f>
        <v>1509632.31</v>
      </c>
      <c r="Q13" s="2"/>
      <c r="R13" s="19"/>
      <c r="S13" s="2"/>
      <c r="T13" s="2">
        <f>-49293.69</f>
        <v>-49293.69</v>
      </c>
      <c r="U13" s="2"/>
      <c r="V13" s="19"/>
      <c r="W13" s="2"/>
      <c r="X13" s="2">
        <f t="shared" si="2"/>
        <v>1558926</v>
      </c>
      <c r="Y13" s="2"/>
      <c r="Z13" s="19">
        <f t="shared" si="3"/>
        <v>-31.62526481584154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--18.37</f>
        <v>18.37</v>
      </c>
      <c r="I14" s="2"/>
      <c r="J14" s="19"/>
      <c r="K14" s="2"/>
      <c r="L14" s="2">
        <f t="shared" si="0"/>
        <v>-18.37</v>
      </c>
      <c r="M14" s="2"/>
      <c r="N14" s="19">
        <f t="shared" si="1"/>
        <v>-1</v>
      </c>
      <c r="O14" s="11"/>
      <c r="P14" s="2">
        <f t="shared" ref="P14:P24" si="5">0</f>
        <v>0</v>
      </c>
      <c r="Q14" s="2"/>
      <c r="R14" s="19"/>
      <c r="S14" s="2"/>
      <c r="T14" s="2">
        <f>--279.69</f>
        <v>279.69</v>
      </c>
      <c r="U14" s="2"/>
      <c r="V14" s="19"/>
      <c r="W14" s="2"/>
      <c r="X14" s="2">
        <f t="shared" si="2"/>
        <v>-279.69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--1716.97</f>
        <v>1716.97</v>
      </c>
      <c r="I15" s="2"/>
      <c r="J15" s="19"/>
      <c r="K15" s="2"/>
      <c r="L15" s="2">
        <f t="shared" si="0"/>
        <v>-1716.97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--28730.15</f>
        <v>28730.15</v>
      </c>
      <c r="U15" s="2"/>
      <c r="V15" s="19"/>
      <c r="W15" s="2"/>
      <c r="X15" s="2">
        <f t="shared" si="2"/>
        <v>-28730.15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--1730.73</f>
        <v>1730.73</v>
      </c>
      <c r="I16" s="2"/>
      <c r="J16" s="19"/>
      <c r="K16" s="2"/>
      <c r="L16" s="2">
        <f t="shared" si="0"/>
        <v>-1730.73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--3520.53</f>
        <v>3520.53</v>
      </c>
      <c r="U16" s="2"/>
      <c r="V16" s="19"/>
      <c r="W16" s="2"/>
      <c r="X16" s="2">
        <f t="shared" si="2"/>
        <v>-3520.53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--194.65</f>
        <v>194.65</v>
      </c>
      <c r="I17" s="2"/>
      <c r="J17" s="19"/>
      <c r="K17" s="2"/>
      <c r="L17" s="2">
        <f t="shared" si="0"/>
        <v>-194.65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--1488.06</f>
        <v>1488.06</v>
      </c>
      <c r="U17" s="2"/>
      <c r="V17" s="19"/>
      <c r="W17" s="2"/>
      <c r="X17" s="2">
        <f t="shared" si="2"/>
        <v>-1488.06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--40927.79</f>
        <v>40927.79</v>
      </c>
      <c r="I19" s="2"/>
      <c r="J19" s="19"/>
      <c r="K19" s="2"/>
      <c r="L19" s="2">
        <f t="shared" si="0"/>
        <v>-40927.79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--423732.7</f>
        <v>423732.7</v>
      </c>
      <c r="U19" s="2"/>
      <c r="V19" s="19"/>
      <c r="W19" s="2"/>
      <c r="X19" s="2">
        <f t="shared" si="2"/>
        <v>-423732.7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--11990.22</f>
        <v>11990.22</v>
      </c>
      <c r="I20" s="2"/>
      <c r="J20" s="19"/>
      <c r="K20" s="2"/>
      <c r="L20" s="2">
        <f t="shared" si="0"/>
        <v>-11990.22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--104708.12</f>
        <v>104708.12</v>
      </c>
      <c r="U20" s="2"/>
      <c r="V20" s="19"/>
      <c r="W20" s="2"/>
      <c r="X20" s="2">
        <f t="shared" si="2"/>
        <v>-104708.12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--1693.2</f>
        <v>1693.2</v>
      </c>
      <c r="I21" s="2"/>
      <c r="J21" s="19"/>
      <c r="K21" s="2"/>
      <c r="L21" s="2">
        <f t="shared" si="0"/>
        <v>-1693.2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--44989.3</f>
        <v>44989.3</v>
      </c>
      <c r="U21" s="2"/>
      <c r="V21" s="19"/>
      <c r="W21" s="2"/>
      <c r="X21" s="2">
        <f t="shared" si="2"/>
        <v>-44989.3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--16932.18</f>
        <v>16932.18</v>
      </c>
      <c r="I22" s="2"/>
      <c r="J22" s="19"/>
      <c r="K22" s="2"/>
      <c r="L22" s="2">
        <f t="shared" si="0"/>
        <v>-16932.18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--57170.24</f>
        <v>57170.239999999998</v>
      </c>
      <c r="U22" s="2"/>
      <c r="V22" s="19"/>
      <c r="W22" s="2"/>
      <c r="X22" s="2">
        <f t="shared" si="2"/>
        <v>-57170.239999999998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--2517.35</f>
        <v>2517.35</v>
      </c>
      <c r="I23" s="2"/>
      <c r="J23" s="19"/>
      <c r="K23" s="2"/>
      <c r="L23" s="2">
        <f t="shared" si="0"/>
        <v>-2517.35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--15006.51</f>
        <v>15006.51</v>
      </c>
      <c r="U23" s="2"/>
      <c r="V23" s="19"/>
      <c r="W23" s="2"/>
      <c r="X23" s="2">
        <f t="shared" si="2"/>
        <v>-15006.51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--11255.56</f>
        <v>11255.56</v>
      </c>
      <c r="I24" s="2"/>
      <c r="J24" s="19"/>
      <c r="K24" s="2"/>
      <c r="L24" s="2">
        <f t="shared" si="0"/>
        <v>-11255.56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--108212.17</f>
        <v>108212.17</v>
      </c>
      <c r="U24" s="2"/>
      <c r="V24" s="19"/>
      <c r="W24" s="2"/>
      <c r="X24" s="2">
        <f t="shared" si="2"/>
        <v>-108212.17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--38149.55</f>
        <v>38149.550000000003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38149.550000000003</v>
      </c>
      <c r="M25" s="2"/>
      <c r="N25" s="19">
        <f t="shared" si="1"/>
        <v>0</v>
      </c>
      <c r="O25" s="11"/>
      <c r="P25" s="2">
        <f>--184542.39</f>
        <v>184542.39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184542.39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--114.89</f>
        <v>114.89</v>
      </c>
      <c r="I27" s="2"/>
      <c r="J27" s="19"/>
      <c r="K27" s="2"/>
      <c r="L27" s="2">
        <f t="shared" si="0"/>
        <v>-114.89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--2946.58</f>
        <v>2946.58</v>
      </c>
      <c r="U27" s="2"/>
      <c r="V27" s="19"/>
      <c r="W27" s="2"/>
      <c r="X27" s="2">
        <f t="shared" si="2"/>
        <v>-2946.58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--24.78</f>
        <v>24.78</v>
      </c>
      <c r="I28" s="2"/>
      <c r="J28" s="19"/>
      <c r="K28" s="2"/>
      <c r="L28" s="2">
        <f t="shared" si="0"/>
        <v>-24.78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--24.78</f>
        <v>24.78</v>
      </c>
      <c r="U28" s="2"/>
      <c r="V28" s="19"/>
      <c r="W28" s="2"/>
      <c r="X28" s="2">
        <f t="shared" si="2"/>
        <v>-24.78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--983.89</f>
        <v>983.89</v>
      </c>
      <c r="I29" s="2"/>
      <c r="J29" s="19"/>
      <c r="K29" s="2"/>
      <c r="L29" s="2">
        <f t="shared" si="0"/>
        <v>-983.89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--4662.17</f>
        <v>4662.17</v>
      </c>
      <c r="U29" s="2"/>
      <c r="V29" s="19"/>
      <c r="W29" s="2"/>
      <c r="X29" s="2">
        <f t="shared" si="2"/>
        <v>-4662.17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--68.25</f>
        <v>68.25</v>
      </c>
      <c r="U33" s="2"/>
      <c r="V33" s="19"/>
      <c r="W33" s="2"/>
      <c r="X33" s="2">
        <f t="shared" si="2"/>
        <v>-68.25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--19704.79</f>
        <v>19704.79</v>
      </c>
      <c r="I34" s="2"/>
      <c r="J34" s="19"/>
      <c r="K34" s="2"/>
      <c r="L34" s="2">
        <f t="shared" si="0"/>
        <v>-19704.79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--50320.27</f>
        <v>50320.27</v>
      </c>
      <c r="U34" s="2"/>
      <c r="V34" s="19"/>
      <c r="W34" s="2"/>
      <c r="X34" s="2">
        <f t="shared" si="2"/>
        <v>-50320.27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--806.32</f>
        <v>806.32</v>
      </c>
      <c r="I35" s="2"/>
      <c r="J35" s="19"/>
      <c r="K35" s="2"/>
      <c r="L35" s="2">
        <f t="shared" si="0"/>
        <v>-806.32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--3677.52</f>
        <v>3677.52</v>
      </c>
      <c r="U35" s="2"/>
      <c r="V35" s="19"/>
      <c r="W35" s="2"/>
      <c r="X35" s="2">
        <f t="shared" si="2"/>
        <v>-3677.52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--28.17</f>
        <v>28.17</v>
      </c>
      <c r="I36" s="2"/>
      <c r="J36" s="19"/>
      <c r="K36" s="2"/>
      <c r="L36" s="2">
        <f t="shared" si="0"/>
        <v>-28.17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--1097.6</f>
        <v>1097.5999999999999</v>
      </c>
      <c r="U36" s="2"/>
      <c r="V36" s="19"/>
      <c r="W36" s="2"/>
      <c r="X36" s="2">
        <f t="shared" si="2"/>
        <v>-1097.5999999999999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--9.99</f>
        <v>9.99</v>
      </c>
      <c r="I37" s="2"/>
      <c r="J37" s="19"/>
      <c r="K37" s="2"/>
      <c r="L37" s="2">
        <f t="shared" si="0"/>
        <v>-9.99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--39.96</f>
        <v>39.96</v>
      </c>
      <c r="U37" s="2"/>
      <c r="V37" s="19"/>
      <c r="W37" s="2"/>
      <c r="X37" s="2">
        <f t="shared" si="2"/>
        <v>-39.96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--19.95</f>
        <v>19.95</v>
      </c>
      <c r="I38" s="2"/>
      <c r="J38" s="19"/>
      <c r="K38" s="2"/>
      <c r="L38" s="2">
        <f t="shared" si="0"/>
        <v>-19.95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--389.7</f>
        <v>389.7</v>
      </c>
      <c r="U38" s="2"/>
      <c r="V38" s="19"/>
      <c r="W38" s="2"/>
      <c r="X38" s="2">
        <f t="shared" si="2"/>
        <v>-389.7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--2800</f>
        <v>2800</v>
      </c>
      <c r="I39" s="2"/>
      <c r="J39" s="19"/>
      <c r="K39" s="2"/>
      <c r="L39" s="2">
        <f t="shared" si="0"/>
        <v>-2800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--38646</f>
        <v>38646</v>
      </c>
      <c r="U39" s="2"/>
      <c r="V39" s="19"/>
      <c r="W39" s="2"/>
      <c r="X39" s="2">
        <f t="shared" si="2"/>
        <v>-38646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-9395.35</f>
        <v>-9395.35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-9395.35</v>
      </c>
      <c r="M40" s="2"/>
      <c r="N40" s="19">
        <f t="shared" si="1"/>
        <v>0</v>
      </c>
      <c r="O40" s="11"/>
      <c r="P40" s="2">
        <f>-42176.9</f>
        <v>-42176.9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-42176.9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-34.23</f>
        <v>-34.229999999999997</v>
      </c>
      <c r="U41" s="2"/>
      <c r="V41" s="19"/>
      <c r="W41" s="2"/>
      <c r="X41" s="2">
        <f t="shared" si="2"/>
        <v>34.229999999999997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-31.98</f>
        <v>-31.98</v>
      </c>
      <c r="I42" s="2"/>
      <c r="J42" s="19"/>
      <c r="K42" s="2"/>
      <c r="L42" s="2">
        <f t="shared" si="0"/>
        <v>31.98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-450.67</f>
        <v>-450.67</v>
      </c>
      <c r="U42" s="2"/>
      <c r="V42" s="19"/>
      <c r="W42" s="2"/>
      <c r="X42" s="2">
        <f t="shared" si="2"/>
        <v>450.67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-32.49</f>
        <v>-32.49</v>
      </c>
      <c r="I43" s="2"/>
      <c r="J43" s="19"/>
      <c r="K43" s="2"/>
      <c r="L43" s="2">
        <f t="shared" si="0"/>
        <v>32.49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-32.49</f>
        <v>-32.49</v>
      </c>
      <c r="U43" s="2"/>
      <c r="V43" s="19"/>
      <c r="W43" s="2"/>
      <c r="X43" s="2">
        <f t="shared" si="2"/>
        <v>32.49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-1729.15</f>
        <v>-1729.15</v>
      </c>
      <c r="I44" s="2"/>
      <c r="J44" s="19"/>
      <c r="K44" s="2"/>
      <c r="L44" s="2">
        <f t="shared" si="0"/>
        <v>1729.15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-15578.67</f>
        <v>-15578.67</v>
      </c>
      <c r="U44" s="2"/>
      <c r="V44" s="19"/>
      <c r="W44" s="2"/>
      <c r="X44" s="2">
        <f t="shared" si="2"/>
        <v>15578.67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-94.79</f>
        <v>-94.79</v>
      </c>
      <c r="I45" s="2"/>
      <c r="J45" s="19"/>
      <c r="K45" s="2"/>
      <c r="L45" s="2">
        <f t="shared" si="0"/>
        <v>94.79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-1974.65</f>
        <v>-1974.65</v>
      </c>
      <c r="U45" s="2"/>
      <c r="V45" s="19"/>
      <c r="W45" s="2"/>
      <c r="X45" s="2">
        <f t="shared" si="2"/>
        <v>1974.65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-7.48</f>
        <v>-7.48</v>
      </c>
      <c r="I46" s="2"/>
      <c r="J46" s="19"/>
      <c r="K46" s="2"/>
      <c r="L46" s="2">
        <f t="shared" si="0"/>
        <v>7.48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-1328.99</f>
        <v>-1328.99</v>
      </c>
      <c r="U46" s="2"/>
      <c r="V46" s="19"/>
      <c r="W46" s="2"/>
      <c r="X46" s="2">
        <f t="shared" si="2"/>
        <v>1328.99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-829.54</f>
        <v>-829.54</v>
      </c>
      <c r="I47" s="2"/>
      <c r="J47" s="19"/>
      <c r="K47" s="2"/>
      <c r="L47" s="2">
        <f t="shared" si="0"/>
        <v>829.54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-1812.46</f>
        <v>-1812.46</v>
      </c>
      <c r="U47" s="2"/>
      <c r="V47" s="19"/>
      <c r="W47" s="2"/>
      <c r="X47" s="2">
        <f t="shared" si="2"/>
        <v>1812.46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-179.95</f>
        <v>-179.95</v>
      </c>
      <c r="I48" s="2"/>
      <c r="J48" s="19"/>
      <c r="K48" s="2"/>
      <c r="L48" s="2">
        <f t="shared" si="0"/>
        <v>179.95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-590.94</f>
        <v>-590.94000000000005</v>
      </c>
      <c r="U48" s="2"/>
      <c r="V48" s="19"/>
      <c r="W48" s="2"/>
      <c r="X48" s="2">
        <f t="shared" si="2"/>
        <v>590.94000000000005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>-45.89</f>
        <v>-45.89</v>
      </c>
      <c r="I49" s="2"/>
      <c r="J49" s="19"/>
      <c r="K49" s="2"/>
      <c r="L49" s="2">
        <f t="shared" si="0"/>
        <v>45.89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-1592.82</f>
        <v>-1592.82</v>
      </c>
      <c r="U49" s="2"/>
      <c r="V49" s="19"/>
      <c r="W49" s="2"/>
      <c r="X49" s="2">
        <f t="shared" si="2"/>
        <v>1592.82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-213.1</f>
        <v>-213.1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-213.1</v>
      </c>
      <c r="M50" s="2"/>
      <c r="N50" s="19">
        <f t="shared" si="1"/>
        <v>0</v>
      </c>
      <c r="O50" s="11"/>
      <c r="P50" s="2">
        <f>-1107.41</f>
        <v>-1107.4100000000001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-1107.4100000000001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3">0</f>
        <v>0</v>
      </c>
      <c r="E51" s="2"/>
      <c r="F51" s="19"/>
      <c r="G51" s="2"/>
      <c r="H51" s="2">
        <f>-203.75</f>
        <v>-203.75</v>
      </c>
      <c r="I51" s="2"/>
      <c r="J51" s="19"/>
      <c r="K51" s="2"/>
      <c r="L51" s="2">
        <f t="shared" si="0"/>
        <v>203.75</v>
      </c>
      <c r="M51" s="2"/>
      <c r="N51" s="19">
        <f t="shared" si="1"/>
        <v>-1</v>
      </c>
      <c r="O51" s="11"/>
      <c r="P51" s="2">
        <f t="shared" ref="P51:P53" si="14">0</f>
        <v>0</v>
      </c>
      <c r="Q51" s="2"/>
      <c r="R51" s="19"/>
      <c r="S51" s="2"/>
      <c r="T51" s="2">
        <f>-940.48</f>
        <v>-940.48</v>
      </c>
      <c r="U51" s="2"/>
      <c r="V51" s="19"/>
      <c r="W51" s="2"/>
      <c r="X51" s="2">
        <f t="shared" si="2"/>
        <v>940.48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3"/>
        <v>0</v>
      </c>
      <c r="E52" s="2"/>
      <c r="F52" s="19"/>
      <c r="G52" s="2"/>
      <c r="H52" s="2">
        <f>-154.89</f>
        <v>-154.88999999999999</v>
      </c>
      <c r="I52" s="2"/>
      <c r="J52" s="19"/>
      <c r="K52" s="2"/>
      <c r="L52" s="2">
        <f t="shared" si="0"/>
        <v>154.88999999999999</v>
      </c>
      <c r="M52" s="2"/>
      <c r="N52" s="19">
        <f t="shared" si="1"/>
        <v>-1</v>
      </c>
      <c r="O52" s="11"/>
      <c r="P52" s="2">
        <f t="shared" si="14"/>
        <v>0</v>
      </c>
      <c r="Q52" s="2"/>
      <c r="R52" s="19"/>
      <c r="S52" s="2"/>
      <c r="T52" s="2">
        <f>-301.79</f>
        <v>-301.79000000000002</v>
      </c>
      <c r="U52" s="2"/>
      <c r="V52" s="19"/>
      <c r="W52" s="2"/>
      <c r="X52" s="2">
        <f t="shared" si="2"/>
        <v>301.79000000000002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3"/>
        <v>0</v>
      </c>
      <c r="E53" s="2"/>
      <c r="F53" s="19"/>
      <c r="G53" s="2"/>
      <c r="H53" s="2">
        <f t="shared" ref="H53:H54" si="15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4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-6231.83</f>
        <v>-6231.83</v>
      </c>
      <c r="E54" s="2"/>
      <c r="F54" s="19"/>
      <c r="G54" s="2"/>
      <c r="H54" s="2">
        <f t="shared" si="15"/>
        <v>0</v>
      </c>
      <c r="I54" s="2"/>
      <c r="J54" s="19"/>
      <c r="K54" s="2"/>
      <c r="L54" s="2">
        <f t="shared" si="0"/>
        <v>-6231.83</v>
      </c>
      <c r="M54" s="2"/>
      <c r="N54" s="19">
        <f t="shared" si="1"/>
        <v>0</v>
      </c>
      <c r="O54" s="11"/>
      <c r="P54" s="2">
        <f>-13156.06</f>
        <v>-13156.06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-13156.06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6" t="s">
        <v>256</v>
      </c>
      <c r="C56" s="10"/>
      <c r="D56" s="4">
        <f>SUM(OSRRefD16x_0)</f>
        <v>124439.65</v>
      </c>
      <c r="E56" s="4"/>
      <c r="F56" s="12">
        <f t="shared" ref="F56:F80" si="16">IF(D$12=0,0,D56/D$12)</f>
        <v>0.46907349845264479</v>
      </c>
      <c r="G56" s="4"/>
      <c r="H56" s="4">
        <f>SUM(OSRRefH16x_0)</f>
        <v>54804</v>
      </c>
      <c r="I56" s="4"/>
      <c r="J56" s="12">
        <f t="shared" ref="J56:J80" si="17">IF(H$12=0,0,H56/H$12)</f>
        <v>0.5434176352527762</v>
      </c>
      <c r="K56" s="4"/>
      <c r="L56" s="4">
        <f t="shared" ref="L56:L80" si="18">+D56-H56</f>
        <v>69635.649999999994</v>
      </c>
      <c r="M56" s="4"/>
      <c r="N56" s="12">
        <f t="shared" ref="N56:N80" si="19">IF(H56=0,0,L56/H56)</f>
        <v>1.2706307933727463</v>
      </c>
      <c r="O56" s="10"/>
      <c r="P56" s="4">
        <f>SUM(OSRRefP16x_0)</f>
        <v>805053.13</v>
      </c>
      <c r="Q56" s="4"/>
      <c r="R56" s="12">
        <f t="shared" ref="R56:R80" si="20">IF(P$12=0,0,P56/P$12)</f>
        <v>0.49156515513721927</v>
      </c>
      <c r="S56" s="4"/>
      <c r="T56" s="4">
        <f>SUM(OSRRefT16x_0)</f>
        <v>474333.54</v>
      </c>
      <c r="U56" s="4"/>
      <c r="V56" s="12">
        <f t="shared" ref="V56:V80" si="21">IF(T$12=0,0,T56/T$12)</f>
        <v>0.58138521467280146</v>
      </c>
      <c r="W56" s="4"/>
      <c r="X56" s="4">
        <f t="shared" ref="X56:X80" si="22">+P56-T56</f>
        <v>330719.59000000003</v>
      </c>
      <c r="Y56" s="4"/>
      <c r="Z56" s="12">
        <f t="shared" ref="Z56:Z80" si="23">IF(T56=0,0,X56/T56)</f>
        <v>0.69723003353294399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109123.35</v>
      </c>
      <c r="E57" s="2"/>
      <c r="F57" s="19">
        <f t="shared" si="16"/>
        <v>0.41133892250076581</v>
      </c>
      <c r="G57" s="2"/>
      <c r="H57" s="2"/>
      <c r="I57" s="2"/>
      <c r="J57" s="19">
        <f t="shared" si="17"/>
        <v>0</v>
      </c>
      <c r="K57" s="2"/>
      <c r="L57" s="2">
        <f t="shared" si="18"/>
        <v>109123.35</v>
      </c>
      <c r="M57" s="2"/>
      <c r="N57" s="19">
        <f t="shared" si="19"/>
        <v>0</v>
      </c>
      <c r="O57" s="11"/>
      <c r="P57" s="2">
        <v>834058.82</v>
      </c>
      <c r="Q57" s="2"/>
      <c r="R57" s="19">
        <f t="shared" si="20"/>
        <v>0.50927601914530285</v>
      </c>
      <c r="S57" s="2"/>
      <c r="T57" s="2"/>
      <c r="U57" s="2"/>
      <c r="V57" s="19">
        <f t="shared" si="21"/>
        <v>0</v>
      </c>
      <c r="W57" s="2"/>
      <c r="X57" s="2">
        <f t="shared" si="22"/>
        <v>834058.82</v>
      </c>
      <c r="Y57" s="2"/>
      <c r="Z57" s="19">
        <f t="shared" si="23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6"/>
        <v>0</v>
      </c>
      <c r="G58" s="2"/>
      <c r="H58" s="2"/>
      <c r="I58" s="2"/>
      <c r="J58" s="19">
        <f t="shared" si="17"/>
        <v>0</v>
      </c>
      <c r="K58" s="2"/>
      <c r="L58" s="2">
        <f t="shared" si="18"/>
        <v>0</v>
      </c>
      <c r="M58" s="2"/>
      <c r="N58" s="19">
        <f t="shared" si="19"/>
        <v>0</v>
      </c>
      <c r="O58" s="11"/>
      <c r="P58" s="2"/>
      <c r="Q58" s="2"/>
      <c r="R58" s="19">
        <f t="shared" si="20"/>
        <v>0</v>
      </c>
      <c r="S58" s="2"/>
      <c r="T58" s="2">
        <v>599.29</v>
      </c>
      <c r="U58" s="2"/>
      <c r="V58" s="19">
        <f t="shared" si="21"/>
        <v>7.3454292374362394E-4</v>
      </c>
      <c r="W58" s="2"/>
      <c r="X58" s="2">
        <f t="shared" si="22"/>
        <v>-599.29</v>
      </c>
      <c r="Y58" s="2"/>
      <c r="Z58" s="19">
        <f t="shared" si="23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/>
      <c r="Q59" s="2"/>
      <c r="R59" s="19">
        <f t="shared" si="20"/>
        <v>0</v>
      </c>
      <c r="S59" s="2"/>
      <c r="T59" s="2">
        <v>10</v>
      </c>
      <c r="U59" s="2"/>
      <c r="V59" s="19">
        <f t="shared" si="21"/>
        <v>1.2256886044212719E-5</v>
      </c>
      <c r="W59" s="2"/>
      <c r="X59" s="2">
        <f t="shared" si="22"/>
        <v>-10</v>
      </c>
      <c r="Y59" s="2"/>
      <c r="Z59" s="19">
        <f t="shared" si="23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6"/>
        <v>0</v>
      </c>
      <c r="G60" s="2"/>
      <c r="H60" s="2"/>
      <c r="I60" s="2"/>
      <c r="J60" s="19">
        <f t="shared" si="17"/>
        <v>0</v>
      </c>
      <c r="K60" s="2"/>
      <c r="L60" s="2">
        <f t="shared" si="18"/>
        <v>0</v>
      </c>
      <c r="M60" s="2"/>
      <c r="N60" s="19">
        <f t="shared" si="19"/>
        <v>0</v>
      </c>
      <c r="O60" s="11"/>
      <c r="P60" s="2">
        <v>0</v>
      </c>
      <c r="Q60" s="2"/>
      <c r="R60" s="19">
        <f t="shared" si="20"/>
        <v>0</v>
      </c>
      <c r="S60" s="2"/>
      <c r="T60" s="2">
        <v>18175.88</v>
      </c>
      <c r="U60" s="2"/>
      <c r="V60" s="19">
        <f t="shared" si="21"/>
        <v>2.2277968991328508E-2</v>
      </c>
      <c r="W60" s="2"/>
      <c r="X60" s="2">
        <f t="shared" si="22"/>
        <v>-18175.88</v>
      </c>
      <c r="Y60" s="2"/>
      <c r="Z60" s="19">
        <f t="shared" si="23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6"/>
        <v>0</v>
      </c>
      <c r="G61" s="2"/>
      <c r="H61" s="2"/>
      <c r="I61" s="2"/>
      <c r="J61" s="19">
        <f t="shared" si="17"/>
        <v>0</v>
      </c>
      <c r="K61" s="2"/>
      <c r="L61" s="2">
        <f t="shared" si="18"/>
        <v>0</v>
      </c>
      <c r="M61" s="2"/>
      <c r="N61" s="19">
        <f t="shared" si="19"/>
        <v>0</v>
      </c>
      <c r="O61" s="11"/>
      <c r="P61" s="2">
        <v>0</v>
      </c>
      <c r="Q61" s="2"/>
      <c r="R61" s="19">
        <f t="shared" si="20"/>
        <v>0</v>
      </c>
      <c r="S61" s="2"/>
      <c r="T61" s="2">
        <v>-83.4</v>
      </c>
      <c r="U61" s="2"/>
      <c r="V61" s="19">
        <f t="shared" si="21"/>
        <v>-1.0222242960873408E-4</v>
      </c>
      <c r="W61" s="2"/>
      <c r="X61" s="2">
        <f t="shared" si="22"/>
        <v>83.4</v>
      </c>
      <c r="Y61" s="2"/>
      <c r="Z61" s="19">
        <f t="shared" si="23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6"/>
        <v>0</v>
      </c>
      <c r="G62" s="2"/>
      <c r="H62" s="2"/>
      <c r="I62" s="2"/>
      <c r="J62" s="19">
        <f t="shared" si="17"/>
        <v>0</v>
      </c>
      <c r="K62" s="2"/>
      <c r="L62" s="2">
        <f t="shared" si="18"/>
        <v>0</v>
      </c>
      <c r="M62" s="2"/>
      <c r="N62" s="19">
        <f t="shared" si="19"/>
        <v>0</v>
      </c>
      <c r="O62" s="11"/>
      <c r="P62" s="2">
        <v>0</v>
      </c>
      <c r="Q62" s="2"/>
      <c r="R62" s="19">
        <f t="shared" si="20"/>
        <v>0</v>
      </c>
      <c r="S62" s="2"/>
      <c r="T62" s="2">
        <v>5605.43</v>
      </c>
      <c r="U62" s="2"/>
      <c r="V62" s="19">
        <f t="shared" si="21"/>
        <v>6.8705116738811299E-3</v>
      </c>
      <c r="W62" s="2"/>
      <c r="X62" s="2">
        <f t="shared" si="22"/>
        <v>-5605.43</v>
      </c>
      <c r="Y62" s="2"/>
      <c r="Z62" s="19">
        <f t="shared" si="23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6"/>
        <v>0</v>
      </c>
      <c r="G63" s="2"/>
      <c r="H63" s="2">
        <v>55124.33</v>
      </c>
      <c r="I63" s="2"/>
      <c r="J63" s="19">
        <f t="shared" si="17"/>
        <v>0.5465939174785357</v>
      </c>
      <c r="K63" s="2"/>
      <c r="L63" s="2">
        <f t="shared" si="18"/>
        <v>-55124.33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94295.28</v>
      </c>
      <c r="U63" s="2"/>
      <c r="V63" s="19">
        <f t="shared" si="21"/>
        <v>0.11557665014671306</v>
      </c>
      <c r="W63" s="2"/>
      <c r="X63" s="2">
        <f t="shared" si="22"/>
        <v>-94295.28</v>
      </c>
      <c r="Y63" s="2"/>
      <c r="Z63" s="19">
        <f t="shared" si="23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6"/>
        <v>0</v>
      </c>
      <c r="G64" s="2"/>
      <c r="H64" s="2">
        <v>9354.43</v>
      </c>
      <c r="I64" s="2"/>
      <c r="J64" s="19">
        <f t="shared" si="17"/>
        <v>9.275531402338566E-2</v>
      </c>
      <c r="K64" s="2"/>
      <c r="L64" s="2">
        <f t="shared" si="18"/>
        <v>-9354.43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26641.77</v>
      </c>
      <c r="U64" s="2"/>
      <c r="V64" s="19">
        <f t="shared" si="21"/>
        <v>3.265451389061251E-2</v>
      </c>
      <c r="W64" s="2"/>
      <c r="X64" s="2">
        <f t="shared" si="22"/>
        <v>-26641.77</v>
      </c>
      <c r="Y64" s="2"/>
      <c r="Z64" s="19">
        <f t="shared" si="23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6"/>
        <v>0</v>
      </c>
      <c r="G65" s="2"/>
      <c r="H65" s="2"/>
      <c r="I65" s="2"/>
      <c r="J65" s="19">
        <f t="shared" si="17"/>
        <v>0</v>
      </c>
      <c r="K65" s="2"/>
      <c r="L65" s="2">
        <f t="shared" si="18"/>
        <v>0</v>
      </c>
      <c r="M65" s="2"/>
      <c r="N65" s="19">
        <f t="shared" si="19"/>
        <v>0</v>
      </c>
      <c r="O65" s="11"/>
      <c r="P65" s="2">
        <v>0</v>
      </c>
      <c r="Q65" s="2"/>
      <c r="R65" s="19">
        <f t="shared" si="20"/>
        <v>0</v>
      </c>
      <c r="S65" s="2"/>
      <c r="T65" s="2">
        <v>10912.68</v>
      </c>
      <c r="U65" s="2"/>
      <c r="V65" s="19">
        <f t="shared" si="21"/>
        <v>1.3375547519695925E-2</v>
      </c>
      <c r="W65" s="2"/>
      <c r="X65" s="2">
        <f t="shared" si="22"/>
        <v>-10912.68</v>
      </c>
      <c r="Y65" s="2"/>
      <c r="Z65" s="19">
        <f t="shared" si="23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6"/>
        <v>0</v>
      </c>
      <c r="G66" s="2"/>
      <c r="H66" s="2">
        <v>38530.230000000003</v>
      </c>
      <c r="I66" s="2"/>
      <c r="J66" s="19">
        <f t="shared" si="17"/>
        <v>0.38205252303382192</v>
      </c>
      <c r="K66" s="2"/>
      <c r="L66" s="2">
        <f t="shared" si="18"/>
        <v>-38530.230000000003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44173.23</v>
      </c>
      <c r="U66" s="2"/>
      <c r="V66" s="19">
        <f t="shared" si="21"/>
        <v>5.4142624631479862E-2</v>
      </c>
      <c r="W66" s="2"/>
      <c r="X66" s="2">
        <f t="shared" si="22"/>
        <v>-44173.23</v>
      </c>
      <c r="Y66" s="2"/>
      <c r="Z66" s="19">
        <f t="shared" si="23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6"/>
        <v>0</v>
      </c>
      <c r="G67" s="2"/>
      <c r="H67" s="2">
        <v>282.33</v>
      </c>
      <c r="I67" s="2"/>
      <c r="J67" s="19">
        <f t="shared" si="17"/>
        <v>2.7994872812370686E-3</v>
      </c>
      <c r="K67" s="2"/>
      <c r="L67" s="2">
        <f t="shared" si="18"/>
        <v>-282.33</v>
      </c>
      <c r="M67" s="2"/>
      <c r="N67" s="19">
        <f t="shared" si="19"/>
        <v>-1</v>
      </c>
      <c r="O67" s="11"/>
      <c r="P67" s="2">
        <v>0</v>
      </c>
      <c r="Q67" s="2"/>
      <c r="R67" s="19">
        <f t="shared" si="20"/>
        <v>0</v>
      </c>
      <c r="S67" s="2"/>
      <c r="T67" s="2">
        <v>282.33</v>
      </c>
      <c r="U67" s="2"/>
      <c r="V67" s="19">
        <f t="shared" si="21"/>
        <v>3.4604866368625765E-4</v>
      </c>
      <c r="W67" s="2"/>
      <c r="X67" s="2">
        <f t="shared" si="22"/>
        <v>-282.33</v>
      </c>
      <c r="Y67" s="2"/>
      <c r="Z67" s="19">
        <f t="shared" si="23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6"/>
        <v>0</v>
      </c>
      <c r="G68" s="2"/>
      <c r="H68" s="2">
        <v>5678</v>
      </c>
      <c r="I68" s="2"/>
      <c r="J68" s="19">
        <f t="shared" si="17"/>
        <v>5.6301097236794086E-2</v>
      </c>
      <c r="K68" s="2"/>
      <c r="L68" s="2">
        <f t="shared" si="18"/>
        <v>-5678</v>
      </c>
      <c r="M68" s="2"/>
      <c r="N68" s="19">
        <f t="shared" si="19"/>
        <v>-1</v>
      </c>
      <c r="O68" s="11"/>
      <c r="P68" s="2">
        <v>0</v>
      </c>
      <c r="Q68" s="2"/>
      <c r="R68" s="19">
        <f t="shared" si="20"/>
        <v>0</v>
      </c>
      <c r="S68" s="2"/>
      <c r="T68" s="2">
        <v>76932.52</v>
      </c>
      <c r="U68" s="2"/>
      <c r="V68" s="19">
        <f t="shared" si="21"/>
        <v>9.4295313073411588E-2</v>
      </c>
      <c r="W68" s="2"/>
      <c r="X68" s="2">
        <f t="shared" si="22"/>
        <v>-76932.52</v>
      </c>
      <c r="Y68" s="2"/>
      <c r="Z68" s="19">
        <f t="shared" si="23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-119795.1</v>
      </c>
      <c r="E69" s="2"/>
      <c r="F69" s="19">
        <f t="shared" si="16"/>
        <v>-0.45156593300032938</v>
      </c>
      <c r="G69" s="2"/>
      <c r="H69" s="2">
        <v>-116985.24</v>
      </c>
      <c r="I69" s="2"/>
      <c r="J69" s="19">
        <f t="shared" si="17"/>
        <v>-1.1599854477826159</v>
      </c>
      <c r="K69" s="2"/>
      <c r="L69" s="2">
        <f t="shared" si="18"/>
        <v>-2809.8600000000006</v>
      </c>
      <c r="M69" s="2"/>
      <c r="N69" s="19">
        <f t="shared" si="19"/>
        <v>2.401892751598407E-2</v>
      </c>
      <c r="O69" s="11"/>
      <c r="P69" s="2">
        <v>-857476.25</v>
      </c>
      <c r="Q69" s="2"/>
      <c r="R69" s="19">
        <f t="shared" si="20"/>
        <v>-0.52357469358293285</v>
      </c>
      <c r="S69" s="2"/>
      <c r="T69" s="2">
        <v>-290304.62</v>
      </c>
      <c r="U69" s="2"/>
      <c r="V69" s="19">
        <f t="shared" si="21"/>
        <v>-0.35582306454484763</v>
      </c>
      <c r="W69" s="2"/>
      <c r="X69" s="2">
        <f t="shared" si="22"/>
        <v>-567171.63</v>
      </c>
      <c r="Y69" s="2"/>
      <c r="Z69" s="19">
        <f t="shared" si="23"/>
        <v>1.9537120353096689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124439.65</v>
      </c>
      <c r="E70" s="2"/>
      <c r="F70" s="19">
        <f t="shared" si="16"/>
        <v>0.46907349845264479</v>
      </c>
      <c r="G70" s="2"/>
      <c r="H70" s="2">
        <v>54804</v>
      </c>
      <c r="I70" s="2"/>
      <c r="J70" s="19">
        <f t="shared" si="17"/>
        <v>0.5434176352527762</v>
      </c>
      <c r="K70" s="2"/>
      <c r="L70" s="2">
        <f t="shared" si="18"/>
        <v>69635.649999999994</v>
      </c>
      <c r="M70" s="2"/>
      <c r="N70" s="19">
        <f t="shared" si="19"/>
        <v>1.2706307933727463</v>
      </c>
      <c r="O70" s="11"/>
      <c r="P70" s="2">
        <v>805053.13</v>
      </c>
      <c r="Q70" s="2"/>
      <c r="R70" s="19">
        <f t="shared" si="20"/>
        <v>0.49156515513721927</v>
      </c>
      <c r="S70" s="2"/>
      <c r="T70" s="2">
        <v>473417</v>
      </c>
      <c r="U70" s="2"/>
      <c r="V70" s="19">
        <f t="shared" si="21"/>
        <v>0.58026182203930521</v>
      </c>
      <c r="W70" s="2"/>
      <c r="X70" s="2">
        <f t="shared" si="22"/>
        <v>331636.13</v>
      </c>
      <c r="Y70" s="2"/>
      <c r="Z70" s="19">
        <f t="shared" si="23"/>
        <v>0.70051588768464168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10671.75</v>
      </c>
      <c r="E71" s="2"/>
      <c r="F71" s="19">
        <f t="shared" si="16"/>
        <v>4.0227010499563544E-2</v>
      </c>
      <c r="G71" s="2"/>
      <c r="H71" s="2"/>
      <c r="I71" s="2"/>
      <c r="J71" s="19">
        <f t="shared" si="17"/>
        <v>0</v>
      </c>
      <c r="K71" s="2"/>
      <c r="L71" s="2">
        <f t="shared" si="18"/>
        <v>10671.75</v>
      </c>
      <c r="M71" s="2"/>
      <c r="N71" s="19">
        <f t="shared" si="19"/>
        <v>0</v>
      </c>
      <c r="O71" s="11"/>
      <c r="P71" s="2">
        <v>23417.43</v>
      </c>
      <c r="Q71" s="2"/>
      <c r="R71" s="19">
        <f t="shared" si="20"/>
        <v>1.429867443762994E-2</v>
      </c>
      <c r="S71" s="2"/>
      <c r="T71" s="2"/>
      <c r="U71" s="2"/>
      <c r="V71" s="19">
        <f t="shared" si="21"/>
        <v>0</v>
      </c>
      <c r="W71" s="2"/>
      <c r="X71" s="2">
        <f t="shared" si="22"/>
        <v>23417.43</v>
      </c>
      <c r="Y71" s="2"/>
      <c r="Z71" s="19">
        <f t="shared" si="23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6"/>
        <v>0</v>
      </c>
      <c r="G72" s="2"/>
      <c r="H72" s="2"/>
      <c r="I72" s="2"/>
      <c r="J72" s="19">
        <f t="shared" si="17"/>
        <v>0</v>
      </c>
      <c r="K72" s="2"/>
      <c r="L72" s="2">
        <f t="shared" si="18"/>
        <v>0</v>
      </c>
      <c r="M72" s="2"/>
      <c r="N72" s="19">
        <f t="shared" si="19"/>
        <v>0</v>
      </c>
      <c r="O72" s="11"/>
      <c r="P72" s="2"/>
      <c r="Q72" s="2"/>
      <c r="R72" s="19">
        <f t="shared" si="20"/>
        <v>0</v>
      </c>
      <c r="S72" s="2"/>
      <c r="T72" s="2">
        <v>48.14</v>
      </c>
      <c r="U72" s="2"/>
      <c r="V72" s="19">
        <f t="shared" si="21"/>
        <v>5.9004649416840026E-5</v>
      </c>
      <c r="W72" s="2"/>
      <c r="X72" s="2">
        <f t="shared" si="22"/>
        <v>-48.14</v>
      </c>
      <c r="Y72" s="2"/>
      <c r="Z72" s="19">
        <f t="shared" si="23"/>
        <v>-1</v>
      </c>
    </row>
    <row r="73" spans="1:26" s="24" customFormat="1" hidden="1" outlineLevel="1" x14ac:dyDescent="0.3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/>
      <c r="E73" s="2"/>
      <c r="F73" s="19">
        <f t="shared" si="16"/>
        <v>0</v>
      </c>
      <c r="G73" s="2"/>
      <c r="H73" s="2"/>
      <c r="I73" s="2"/>
      <c r="J73" s="19">
        <f t="shared" si="17"/>
        <v>0</v>
      </c>
      <c r="K73" s="2"/>
      <c r="L73" s="2">
        <f t="shared" si="18"/>
        <v>0</v>
      </c>
      <c r="M73" s="2"/>
      <c r="N73" s="19">
        <f t="shared" si="19"/>
        <v>0</v>
      </c>
      <c r="O73" s="11"/>
      <c r="P73" s="2">
        <v>0</v>
      </c>
      <c r="Q73" s="2"/>
      <c r="R73" s="19">
        <f t="shared" si="20"/>
        <v>0</v>
      </c>
      <c r="S73" s="2"/>
      <c r="T73" s="2">
        <v>56</v>
      </c>
      <c r="U73" s="2"/>
      <c r="V73" s="19">
        <f t="shared" si="21"/>
        <v>6.8638561847591227E-5</v>
      </c>
      <c r="W73" s="2"/>
      <c r="X73" s="2">
        <f t="shared" si="22"/>
        <v>-56</v>
      </c>
      <c r="Y73" s="2"/>
      <c r="Z73" s="19">
        <f t="shared" si="23"/>
        <v>-1</v>
      </c>
    </row>
    <row r="74" spans="1:26" s="24" customFormat="1" hidden="1" outlineLevel="1" x14ac:dyDescent="0.3">
      <c r="A74" s="44"/>
      <c r="B74" s="11" t="str">
        <f>CONCATENATE("          ", "5528", " - ", "FREIGHT-IN-ART/TECH")</f>
        <v xml:space="preserve">          5528 - FREIGHT-IN-ART/TECH</v>
      </c>
      <c r="C74" s="11"/>
      <c r="D74" s="2"/>
      <c r="E74" s="2"/>
      <c r="F74" s="19">
        <f t="shared" si="16"/>
        <v>0</v>
      </c>
      <c r="G74" s="2"/>
      <c r="H74" s="2"/>
      <c r="I74" s="2"/>
      <c r="J74" s="19">
        <f t="shared" si="17"/>
        <v>0</v>
      </c>
      <c r="K74" s="2"/>
      <c r="L74" s="2">
        <f t="shared" si="18"/>
        <v>0</v>
      </c>
      <c r="M74" s="2"/>
      <c r="N74" s="19">
        <f t="shared" si="19"/>
        <v>0</v>
      </c>
      <c r="O74" s="11"/>
      <c r="P74" s="2"/>
      <c r="Q74" s="2"/>
      <c r="R74" s="19">
        <f t="shared" si="20"/>
        <v>0</v>
      </c>
      <c r="S74" s="2"/>
      <c r="T74" s="2">
        <v>3.94</v>
      </c>
      <c r="U74" s="2"/>
      <c r="V74" s="19">
        <f t="shared" si="21"/>
        <v>4.829213101419811E-6</v>
      </c>
      <c r="W74" s="2"/>
      <c r="X74" s="2">
        <f t="shared" si="22"/>
        <v>-3.94</v>
      </c>
      <c r="Y74" s="2"/>
      <c r="Z74" s="19">
        <f t="shared" si="23"/>
        <v>-1</v>
      </c>
    </row>
    <row r="75" spans="1:26" s="24" customFormat="1" hidden="1" outlineLevel="1" x14ac:dyDescent="0.3">
      <c r="A75" s="44"/>
      <c r="B75" s="11" t="str">
        <f>CONCATENATE("          ", "5540", " - ", "FREIGHT-IN-LOGO CLOTHING")</f>
        <v xml:space="preserve">          5540 - FREIGHT-IN-LOGO CLOTHING</v>
      </c>
      <c r="C75" s="11"/>
      <c r="D75" s="2"/>
      <c r="E75" s="2"/>
      <c r="F75" s="19">
        <f t="shared" si="16"/>
        <v>0</v>
      </c>
      <c r="G75" s="2"/>
      <c r="H75" s="2">
        <v>1333.15</v>
      </c>
      <c r="I75" s="2"/>
      <c r="J75" s="19">
        <f t="shared" si="17"/>
        <v>1.3219057376053549E-2</v>
      </c>
      <c r="K75" s="2"/>
      <c r="L75" s="2">
        <f t="shared" si="18"/>
        <v>-1333.15</v>
      </c>
      <c r="M75" s="2"/>
      <c r="N75" s="19">
        <f t="shared" si="19"/>
        <v>-1</v>
      </c>
      <c r="O75" s="11"/>
      <c r="P75" s="2">
        <v>0</v>
      </c>
      <c r="Q75" s="2"/>
      <c r="R75" s="19">
        <f t="shared" si="20"/>
        <v>0</v>
      </c>
      <c r="S75" s="2"/>
      <c r="T75" s="2">
        <v>4535.4799999999996</v>
      </c>
      <c r="U75" s="2"/>
      <c r="V75" s="19">
        <f t="shared" si="21"/>
        <v>5.5590861515805896E-3</v>
      </c>
      <c r="W75" s="2"/>
      <c r="X75" s="2">
        <f t="shared" si="22"/>
        <v>-4535.4799999999996</v>
      </c>
      <c r="Y75" s="2"/>
      <c r="Z75" s="19">
        <f t="shared" si="23"/>
        <v>-1</v>
      </c>
    </row>
    <row r="76" spans="1:26" s="24" customFormat="1" hidden="1" outlineLevel="1" x14ac:dyDescent="0.3">
      <c r="A76" s="44"/>
      <c r="B76" s="11" t="str">
        <f>CONCATENATE("          ", "5541", " - ", "FREIGHT-IN-LOGO GIFTS")</f>
        <v xml:space="preserve">          5541 - FREIGHT-IN-LOGO GIFTS</v>
      </c>
      <c r="C76" s="11"/>
      <c r="D76" s="2"/>
      <c r="E76" s="2"/>
      <c r="F76" s="19">
        <f t="shared" si="16"/>
        <v>0</v>
      </c>
      <c r="G76" s="2"/>
      <c r="H76" s="2">
        <v>301.06</v>
      </c>
      <c r="I76" s="2"/>
      <c r="J76" s="19">
        <f t="shared" si="17"/>
        <v>2.9852075262608714E-3</v>
      </c>
      <c r="K76" s="2"/>
      <c r="L76" s="2">
        <f t="shared" si="18"/>
        <v>-301.06</v>
      </c>
      <c r="M76" s="2"/>
      <c r="N76" s="19">
        <f t="shared" si="19"/>
        <v>-1</v>
      </c>
      <c r="O76" s="11"/>
      <c r="P76" s="2">
        <v>0</v>
      </c>
      <c r="Q76" s="2"/>
      <c r="R76" s="19">
        <f t="shared" si="20"/>
        <v>0</v>
      </c>
      <c r="S76" s="2"/>
      <c r="T76" s="2">
        <v>1435.87</v>
      </c>
      <c r="U76" s="2"/>
      <c r="V76" s="19">
        <f t="shared" si="21"/>
        <v>1.7599294964303716E-3</v>
      </c>
      <c r="W76" s="2"/>
      <c r="X76" s="2">
        <f t="shared" si="22"/>
        <v>-1435.87</v>
      </c>
      <c r="Y76" s="2"/>
      <c r="Z76" s="19">
        <f t="shared" si="23"/>
        <v>-1</v>
      </c>
    </row>
    <row r="77" spans="1:26" s="24" customFormat="1" hidden="1" outlineLevel="1" x14ac:dyDescent="0.3">
      <c r="A77" s="44"/>
      <c r="B77" s="11" t="str">
        <f>CONCATENATE("          ", "5542", " - ", "FREIGHT-IN-EVERYDAY GIFTS")</f>
        <v xml:space="preserve">          5542 - FREIGHT-IN-EVERYDAY GIFTS</v>
      </c>
      <c r="C77" s="11"/>
      <c r="D77" s="2"/>
      <c r="E77" s="2"/>
      <c r="F77" s="19">
        <f t="shared" si="16"/>
        <v>0</v>
      </c>
      <c r="G77" s="2"/>
      <c r="H77" s="2">
        <v>21</v>
      </c>
      <c r="I77" s="2"/>
      <c r="J77" s="19">
        <f t="shared" si="17"/>
        <v>2.0822878513079886E-4</v>
      </c>
      <c r="K77" s="2"/>
      <c r="L77" s="2">
        <f t="shared" si="18"/>
        <v>-21</v>
      </c>
      <c r="M77" s="2"/>
      <c r="N77" s="19">
        <f t="shared" si="19"/>
        <v>-1</v>
      </c>
      <c r="O77" s="11"/>
      <c r="P77" s="2">
        <v>0</v>
      </c>
      <c r="Q77" s="2"/>
      <c r="R77" s="19">
        <f t="shared" si="20"/>
        <v>0</v>
      </c>
      <c r="S77" s="2"/>
      <c r="T77" s="2">
        <v>196.55</v>
      </c>
      <c r="U77" s="2"/>
      <c r="V77" s="19">
        <f t="shared" si="21"/>
        <v>2.4090909519900101E-4</v>
      </c>
      <c r="W77" s="2"/>
      <c r="X77" s="2">
        <f t="shared" si="22"/>
        <v>-196.55</v>
      </c>
      <c r="Y77" s="2"/>
      <c r="Z77" s="19">
        <f t="shared" si="23"/>
        <v>-1</v>
      </c>
    </row>
    <row r="78" spans="1:26" s="24" customFormat="1" hidden="1" outlineLevel="1" x14ac:dyDescent="0.3">
      <c r="A78" s="44"/>
      <c r="B78" s="11" t="str">
        <f>CONCATENATE("          ", "5543", " - ", "FREIGHT-IN-CARDS")</f>
        <v xml:space="preserve">          5543 - FREIGHT-IN-CARDS</v>
      </c>
      <c r="C78" s="11"/>
      <c r="D78" s="2"/>
      <c r="E78" s="2"/>
      <c r="F78" s="19">
        <f t="shared" si="16"/>
        <v>0</v>
      </c>
      <c r="G78" s="2"/>
      <c r="H78" s="2">
        <v>6323.12</v>
      </c>
      <c r="I78" s="2"/>
      <c r="J78" s="19">
        <f t="shared" si="17"/>
        <v>6.2697885516012228E-2</v>
      </c>
      <c r="K78" s="2"/>
      <c r="L78" s="2">
        <f t="shared" si="18"/>
        <v>-6323.12</v>
      </c>
      <c r="M78" s="2"/>
      <c r="N78" s="19">
        <f t="shared" si="19"/>
        <v>-1</v>
      </c>
      <c r="O78" s="11"/>
      <c r="P78" s="2"/>
      <c r="Q78" s="2"/>
      <c r="R78" s="19">
        <f t="shared" si="20"/>
        <v>0</v>
      </c>
      <c r="S78" s="2"/>
      <c r="T78" s="2">
        <v>6512.31</v>
      </c>
      <c r="U78" s="2"/>
      <c r="V78" s="19">
        <f t="shared" si="21"/>
        <v>7.9820641554586933E-3</v>
      </c>
      <c r="W78" s="2"/>
      <c r="X78" s="2">
        <f t="shared" si="22"/>
        <v>-6512.31</v>
      </c>
      <c r="Y78" s="2"/>
      <c r="Z78" s="19">
        <f t="shared" si="23"/>
        <v>-1</v>
      </c>
    </row>
    <row r="79" spans="1:26" s="24" customFormat="1" hidden="1" outlineLevel="1" x14ac:dyDescent="0.3">
      <c r="A79" s="44"/>
      <c r="B79" s="11" t="str">
        <f>CONCATENATE("          ", "5544", " - ", "FREIGHT-IN-ACCESSORIES")</f>
        <v xml:space="preserve">          5544 - FREIGHT-IN-ACCESSORIES</v>
      </c>
      <c r="C79" s="11"/>
      <c r="D79" s="2"/>
      <c r="E79" s="2"/>
      <c r="F79" s="19">
        <f t="shared" si="16"/>
        <v>0</v>
      </c>
      <c r="G79" s="2"/>
      <c r="H79" s="2"/>
      <c r="I79" s="2"/>
      <c r="J79" s="19">
        <f t="shared" si="17"/>
        <v>0</v>
      </c>
      <c r="K79" s="2"/>
      <c r="L79" s="2">
        <f t="shared" si="18"/>
        <v>0</v>
      </c>
      <c r="M79" s="2"/>
      <c r="N79" s="19">
        <f t="shared" si="19"/>
        <v>0</v>
      </c>
      <c r="O79" s="11"/>
      <c r="P79" s="2">
        <v>0</v>
      </c>
      <c r="Q79" s="2"/>
      <c r="R79" s="19">
        <f t="shared" si="20"/>
        <v>0</v>
      </c>
      <c r="S79" s="2"/>
      <c r="T79" s="2"/>
      <c r="U79" s="2"/>
      <c r="V79" s="19">
        <f t="shared" si="21"/>
        <v>0</v>
      </c>
      <c r="W79" s="2"/>
      <c r="X79" s="2">
        <f t="shared" si="22"/>
        <v>0</v>
      </c>
      <c r="Y79" s="2"/>
      <c r="Z79" s="19">
        <f t="shared" si="23"/>
        <v>0</v>
      </c>
    </row>
    <row r="80" spans="1:26" s="24" customFormat="1" hidden="1" outlineLevel="1" x14ac:dyDescent="0.3">
      <c r="A80" s="44"/>
      <c r="B80" s="11" t="str">
        <f>CONCATENATE("          ", "5545", " - ", "FREIGHT-IN-SPECIAL ORDERS")</f>
        <v xml:space="preserve">          5545 - FREIGHT-IN-SPECIAL ORDERS</v>
      </c>
      <c r="C80" s="11"/>
      <c r="D80" s="2"/>
      <c r="E80" s="2"/>
      <c r="F80" s="19">
        <f t="shared" si="16"/>
        <v>0</v>
      </c>
      <c r="G80" s="2"/>
      <c r="H80" s="2">
        <v>37.590000000000003</v>
      </c>
      <c r="I80" s="2"/>
      <c r="J80" s="19">
        <f t="shared" si="17"/>
        <v>3.7272952538413E-4</v>
      </c>
      <c r="K80" s="2"/>
      <c r="L80" s="2">
        <f t="shared" si="18"/>
        <v>-37.590000000000003</v>
      </c>
      <c r="M80" s="2"/>
      <c r="N80" s="19">
        <f t="shared" si="19"/>
        <v>-1</v>
      </c>
      <c r="O80" s="11"/>
      <c r="P80" s="2">
        <v>0</v>
      </c>
      <c r="Q80" s="2"/>
      <c r="R80" s="19">
        <f t="shared" si="20"/>
        <v>0</v>
      </c>
      <c r="S80" s="2"/>
      <c r="T80" s="2">
        <v>887.86</v>
      </c>
      <c r="U80" s="2"/>
      <c r="V80" s="19">
        <f t="shared" si="21"/>
        <v>1.0882398843214704E-3</v>
      </c>
      <c r="W80" s="2"/>
      <c r="X80" s="2">
        <f t="shared" si="22"/>
        <v>-887.86</v>
      </c>
      <c r="Y80" s="2"/>
      <c r="Z80" s="19">
        <f t="shared" si="23"/>
        <v>-1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10"/>
      <c r="B82" s="25" t="s">
        <v>107</v>
      </c>
      <c r="C82" s="25"/>
      <c r="D82" s="21">
        <f>D12-D56</f>
        <v>140848.52000000005</v>
      </c>
      <c r="E82" s="13"/>
      <c r="F82" s="22">
        <f>IF(D$12=0,0,D82/D$12)</f>
        <v>0.53092650154735521</v>
      </c>
      <c r="G82" s="13"/>
      <c r="H82" s="21">
        <f>H12-H56</f>
        <v>46046.61000000003</v>
      </c>
      <c r="I82" s="13"/>
      <c r="J82" s="22">
        <f>IF(H$12=0,0,H82/H$12)</f>
        <v>0.4565823647472238</v>
      </c>
      <c r="K82" s="16"/>
      <c r="L82" s="21">
        <f>+D82-H82</f>
        <v>94801.910000000018</v>
      </c>
      <c r="M82" s="16"/>
      <c r="N82" s="22">
        <f>IF(H82=0,0,L82/H82)</f>
        <v>2.0588249601870792</v>
      </c>
      <c r="O82" s="26"/>
      <c r="P82" s="21">
        <f>P12-P56</f>
        <v>832681.2000000003</v>
      </c>
      <c r="Q82" s="13"/>
      <c r="R82" s="22">
        <f>IF(P$12=0,0,P82/P$12)</f>
        <v>0.50843484486278079</v>
      </c>
      <c r="S82" s="13"/>
      <c r="T82" s="21">
        <f>T12-T56</f>
        <v>341534.37000000017</v>
      </c>
      <c r="U82" s="13"/>
      <c r="V82" s="22">
        <f>IF(T$12=0,0,T82/T$12)</f>
        <v>0.41861478532719848</v>
      </c>
      <c r="W82" s="16"/>
      <c r="X82" s="21">
        <f>+P82-T82</f>
        <v>491146.83000000013</v>
      </c>
      <c r="Y82" s="16"/>
      <c r="Z82" s="22">
        <f>IF(T82=0,0,X82/T82)</f>
        <v>1.4380597478373842</v>
      </c>
    </row>
    <row r="83" spans="1:26" x14ac:dyDescent="0.3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6" t="s">
        <v>294</v>
      </c>
      <c r="C84" s="10"/>
      <c r="D84" s="20">
        <f>SUM(OSRRefD22x_0)</f>
        <v>80856.09</v>
      </c>
      <c r="E84" s="20"/>
      <c r="F84" s="32">
        <f t="shared" ref="F84:F93" si="24">IF(D$12=0,0,D84/D$12)</f>
        <v>0.30478588623081077</v>
      </c>
      <c r="G84" s="20"/>
      <c r="H84" s="20">
        <f>SUM(OSRRefH22x_0)</f>
        <v>56326.299999999988</v>
      </c>
      <c r="I84" s="20"/>
      <c r="J84" s="32">
        <f t="shared" ref="J84:J93" si="25">IF(H$12=0,0,H84/H$12)</f>
        <v>0.55851223904347203</v>
      </c>
      <c r="K84" s="4"/>
      <c r="L84" s="20">
        <f t="shared" ref="L84:L93" si="26">+D84-H84</f>
        <v>24529.790000000008</v>
      </c>
      <c r="M84" s="4"/>
      <c r="N84" s="32">
        <f t="shared" ref="N84:N93" si="27">IF(H84=0,0,L84/H84)</f>
        <v>0.43549443155328882</v>
      </c>
      <c r="O84" s="10"/>
      <c r="P84" s="20">
        <f>SUM(OSRRefP22x_0)</f>
        <v>466721.05999999994</v>
      </c>
      <c r="Q84" s="20"/>
      <c r="R84" s="32">
        <f t="shared" ref="R84:R93" si="28">IF(P$12=0,0,P84/P$12)</f>
        <v>0.28497971340687461</v>
      </c>
      <c r="S84" s="20"/>
      <c r="T84" s="20">
        <f>SUM(OSRRefT22x_0)</f>
        <v>342135.62</v>
      </c>
      <c r="U84" s="20"/>
      <c r="V84" s="32">
        <f t="shared" ref="V84:V93" si="29">IF(T$12=0,0,T84/T$12)</f>
        <v>0.4193517306006066</v>
      </c>
      <c r="W84" s="4"/>
      <c r="X84" s="20">
        <f t="shared" ref="X84:X93" si="30">+P84-T84</f>
        <v>124585.43999999994</v>
      </c>
      <c r="Y84" s="4"/>
      <c r="Z84" s="32">
        <f t="shared" ref="Z84:Z93" si="31">IF(T84=0,0,X84/T84)</f>
        <v>0.36414051246695667</v>
      </c>
    </row>
    <row r="85" spans="1:26" s="29" customFormat="1" outlineLevel="1" collapsed="1" x14ac:dyDescent="0.3">
      <c r="A85" s="28"/>
      <c r="B85" s="14" t="str">
        <f>CONCATENATE("     ","*Benefits                                         ")</f>
        <v xml:space="preserve">     *Benefits                                         </v>
      </c>
      <c r="C85" s="14"/>
      <c r="D85" s="1">
        <f>SUM(OSRRefD22_0x_0)</f>
        <v>13383.269999999999</v>
      </c>
      <c r="E85" s="1"/>
      <c r="F85" s="5">
        <f t="shared" si="24"/>
        <v>5.0448046741021269E-2</v>
      </c>
      <c r="G85" s="1"/>
      <c r="H85" s="1">
        <f>SUM(OSRRefH22_0x_0)</f>
        <v>14931.480000000001</v>
      </c>
      <c r="I85" s="1"/>
      <c r="J85" s="5">
        <f t="shared" si="25"/>
        <v>0.14805542574308669</v>
      </c>
      <c r="K85" s="1"/>
      <c r="L85" s="1">
        <f t="shared" si="26"/>
        <v>-1548.2100000000028</v>
      </c>
      <c r="M85" s="1"/>
      <c r="N85" s="5">
        <f t="shared" si="27"/>
        <v>-0.10368764516310523</v>
      </c>
      <c r="O85" s="14"/>
      <c r="P85" s="1">
        <f>SUM(OSRRefP22_0x_0)</f>
        <v>72766.34</v>
      </c>
      <c r="Q85" s="1"/>
      <c r="R85" s="5">
        <f t="shared" si="28"/>
        <v>4.4431101349630978E-2</v>
      </c>
      <c r="S85" s="1"/>
      <c r="T85" s="1">
        <f>SUM(OSRRefT22_0x_0)</f>
        <v>78372.51999999999</v>
      </c>
      <c r="U85" s="1"/>
      <c r="V85" s="5">
        <f t="shared" si="29"/>
        <v>9.6060304663778198E-2</v>
      </c>
      <c r="W85" s="1"/>
      <c r="X85" s="1">
        <f t="shared" si="30"/>
        <v>-5606.179999999993</v>
      </c>
      <c r="Y85" s="1"/>
      <c r="Z85" s="5">
        <f t="shared" si="31"/>
        <v>-7.1532470820129215E-2</v>
      </c>
    </row>
    <row r="86" spans="1:26" s="24" customFormat="1" hidden="1" outlineLevel="2" x14ac:dyDescent="0.3">
      <c r="A86" s="27"/>
      <c r="B86" s="11" t="str">
        <f>CONCATENATE("          ", "6111", " - ", "F.I.C.A.")</f>
        <v xml:space="preserve">          6111 - F.I.C.A.</v>
      </c>
      <c r="C86" s="11"/>
      <c r="D86" s="6">
        <v>2225.58</v>
      </c>
      <c r="E86" s="2"/>
      <c r="F86" s="7">
        <f t="shared" si="24"/>
        <v>8.3892922929808735E-3</v>
      </c>
      <c r="G86" s="2"/>
      <c r="H86" s="6">
        <v>2310.3200000000002</v>
      </c>
      <c r="I86" s="2"/>
      <c r="J86" s="7">
        <f t="shared" si="25"/>
        <v>2.2908339374447011E-2</v>
      </c>
      <c r="K86" s="2"/>
      <c r="L86" s="6">
        <f t="shared" si="26"/>
        <v>-84.740000000000236</v>
      </c>
      <c r="M86" s="2"/>
      <c r="N86" s="7">
        <f t="shared" si="27"/>
        <v>-3.6678901624017553E-2</v>
      </c>
      <c r="O86" s="11"/>
      <c r="P86" s="6">
        <v>15184.81</v>
      </c>
      <c r="Q86" s="2"/>
      <c r="R86" s="7">
        <f t="shared" si="28"/>
        <v>9.2718395907350846E-3</v>
      </c>
      <c r="S86" s="2"/>
      <c r="T86" s="6">
        <v>16508.07</v>
      </c>
      <c r="U86" s="2"/>
      <c r="V86" s="7">
        <f t="shared" si="29"/>
        <v>2.0233753279988664E-2</v>
      </c>
      <c r="W86" s="2"/>
      <c r="X86" s="6">
        <f t="shared" si="30"/>
        <v>-1323.2600000000002</v>
      </c>
      <c r="Y86" s="2"/>
      <c r="Z86" s="7">
        <f t="shared" si="31"/>
        <v>-8.0158371027018921E-2</v>
      </c>
    </row>
    <row r="87" spans="1:26" s="24" customFormat="1" hidden="1" outlineLevel="2" x14ac:dyDescent="0.3">
      <c r="A87" s="27"/>
      <c r="B87" s="11" t="str">
        <f>CONCATENATE("          ", "6112", " - ", "COMPENSATION INSURANCE")</f>
        <v xml:space="preserve">          6112 - COMPENSATION INSURANCE</v>
      </c>
      <c r="C87" s="11"/>
      <c r="D87" s="6">
        <v>815.52</v>
      </c>
      <c r="E87" s="2"/>
      <c r="F87" s="7">
        <f t="shared" si="24"/>
        <v>3.0740910912084767E-3</v>
      </c>
      <c r="G87" s="2"/>
      <c r="H87" s="6">
        <v>1236.27</v>
      </c>
      <c r="I87" s="2"/>
      <c r="J87" s="7">
        <f t="shared" si="25"/>
        <v>1.2258428580650129E-2</v>
      </c>
      <c r="K87" s="2"/>
      <c r="L87" s="6">
        <f t="shared" si="26"/>
        <v>-420.75</v>
      </c>
      <c r="M87" s="2"/>
      <c r="N87" s="7">
        <f t="shared" si="27"/>
        <v>-0.34033827561940355</v>
      </c>
      <c r="O87" s="11"/>
      <c r="P87" s="6">
        <v>4598.12</v>
      </c>
      <c r="Q87" s="2"/>
      <c r="R87" s="7">
        <f t="shared" si="28"/>
        <v>2.8076104382571006E-3</v>
      </c>
      <c r="S87" s="2"/>
      <c r="T87" s="6">
        <v>6238.51</v>
      </c>
      <c r="U87" s="2"/>
      <c r="V87" s="7">
        <f t="shared" si="29"/>
        <v>7.6464706155681492E-3</v>
      </c>
      <c r="W87" s="2"/>
      <c r="X87" s="6">
        <f t="shared" si="30"/>
        <v>-1640.3900000000003</v>
      </c>
      <c r="Y87" s="2"/>
      <c r="Z87" s="7">
        <f t="shared" si="31"/>
        <v>-0.26294579955790731</v>
      </c>
    </row>
    <row r="88" spans="1:26" s="24" customFormat="1" hidden="1" outlineLevel="2" x14ac:dyDescent="0.3">
      <c r="A88" s="27"/>
      <c r="B88" s="11" t="str">
        <f>CONCATENATE("          ", "6113", " - ", "GROUP INSURANCE")</f>
        <v xml:space="preserve">          6113 - GROUP INSURANCE</v>
      </c>
      <c r="C88" s="11"/>
      <c r="D88" s="6">
        <v>4811.13</v>
      </c>
      <c r="E88" s="2"/>
      <c r="F88" s="7">
        <f t="shared" si="24"/>
        <v>1.8135486403332644E-2</v>
      </c>
      <c r="G88" s="2"/>
      <c r="H88" s="6">
        <v>5541.11</v>
      </c>
      <c r="I88" s="2"/>
      <c r="J88" s="7">
        <f t="shared" si="25"/>
        <v>5.4943743027434322E-2</v>
      </c>
      <c r="K88" s="2"/>
      <c r="L88" s="6">
        <f t="shared" si="26"/>
        <v>-729.97999999999956</v>
      </c>
      <c r="M88" s="2"/>
      <c r="N88" s="7">
        <f t="shared" si="27"/>
        <v>-0.13173894761157956</v>
      </c>
      <c r="O88" s="11"/>
      <c r="P88" s="6">
        <v>24089.4</v>
      </c>
      <c r="Q88" s="2"/>
      <c r="R88" s="7">
        <f t="shared" si="28"/>
        <v>1.4708979080874488E-2</v>
      </c>
      <c r="S88" s="2"/>
      <c r="T88" s="6">
        <v>27839.26</v>
      </c>
      <c r="U88" s="2"/>
      <c r="V88" s="7">
        <f t="shared" si="29"/>
        <v>3.4122263737520933E-2</v>
      </c>
      <c r="W88" s="2"/>
      <c r="X88" s="6">
        <f t="shared" si="30"/>
        <v>-3749.8599999999969</v>
      </c>
      <c r="Y88" s="2"/>
      <c r="Z88" s="7">
        <f t="shared" si="31"/>
        <v>-0.13469682743003936</v>
      </c>
    </row>
    <row r="89" spans="1:26" s="24" customFormat="1" hidden="1" outlineLevel="2" x14ac:dyDescent="0.3">
      <c r="A89" s="27"/>
      <c r="B89" s="11" t="str">
        <f>CONCATENATE("          ", "6114", " - ", "STATE UNEMPLOYMENT INSURANCE")</f>
        <v xml:space="preserve">          6114 - STATE UNEMPLOYMENT INSURANCE</v>
      </c>
      <c r="C89" s="11"/>
      <c r="D89" s="6">
        <v>143.27000000000001</v>
      </c>
      <c r="E89" s="2"/>
      <c r="F89" s="7">
        <f t="shared" si="24"/>
        <v>5.4005423611614486E-4</v>
      </c>
      <c r="G89" s="2"/>
      <c r="H89" s="6">
        <v>173.75</v>
      </c>
      <c r="I89" s="2"/>
      <c r="J89" s="7">
        <f t="shared" si="25"/>
        <v>1.7228453055464904E-3</v>
      </c>
      <c r="K89" s="2"/>
      <c r="L89" s="6">
        <f t="shared" si="26"/>
        <v>-30.47999999999999</v>
      </c>
      <c r="M89" s="2"/>
      <c r="N89" s="7">
        <f t="shared" si="27"/>
        <v>-0.17542446043165461</v>
      </c>
      <c r="O89" s="11"/>
      <c r="P89" s="6">
        <v>807.77</v>
      </c>
      <c r="Q89" s="2"/>
      <c r="R89" s="7">
        <f t="shared" si="28"/>
        <v>4.9322407499389706E-4</v>
      </c>
      <c r="S89" s="2"/>
      <c r="T89" s="6">
        <v>676.65</v>
      </c>
      <c r="U89" s="2"/>
      <c r="V89" s="7">
        <f t="shared" si="29"/>
        <v>8.2936219418165355E-4</v>
      </c>
      <c r="W89" s="2"/>
      <c r="X89" s="6">
        <f t="shared" si="30"/>
        <v>131.12</v>
      </c>
      <c r="Y89" s="2"/>
      <c r="Z89" s="7">
        <f t="shared" si="31"/>
        <v>0.19377817187615459</v>
      </c>
    </row>
    <row r="90" spans="1:26" s="24" customFormat="1" hidden="1" outlineLevel="2" x14ac:dyDescent="0.3">
      <c r="A90" s="27"/>
      <c r="B90" s="11" t="str">
        <f>CONCATENATE("          ", "6115", " - ", "P.E.R.S.")</f>
        <v xml:space="preserve">          6115 - P.E.R.S.</v>
      </c>
      <c r="C90" s="11"/>
      <c r="D90" s="6">
        <v>1642.66</v>
      </c>
      <c r="E90" s="2"/>
      <c r="F90" s="7">
        <f t="shared" si="24"/>
        <v>6.1919836078631017E-3</v>
      </c>
      <c r="G90" s="2"/>
      <c r="H90" s="6">
        <v>2305.04</v>
      </c>
      <c r="I90" s="2"/>
      <c r="J90" s="7">
        <f t="shared" si="25"/>
        <v>2.2855984708471267E-2</v>
      </c>
      <c r="K90" s="2"/>
      <c r="L90" s="6">
        <f t="shared" si="26"/>
        <v>-662.37999999999988</v>
      </c>
      <c r="M90" s="2"/>
      <c r="N90" s="7">
        <f t="shared" si="27"/>
        <v>-0.28736160760767704</v>
      </c>
      <c r="O90" s="11"/>
      <c r="P90" s="6">
        <v>8750.33</v>
      </c>
      <c r="Q90" s="2"/>
      <c r="R90" s="7">
        <f t="shared" si="28"/>
        <v>5.3429483889490172E-3</v>
      </c>
      <c r="S90" s="2"/>
      <c r="T90" s="6">
        <v>9643.2999999999993</v>
      </c>
      <c r="U90" s="2"/>
      <c r="V90" s="7">
        <f t="shared" si="29"/>
        <v>1.181968291901565E-2</v>
      </c>
      <c r="W90" s="2"/>
      <c r="X90" s="6">
        <f t="shared" si="30"/>
        <v>-892.96999999999935</v>
      </c>
      <c r="Y90" s="2"/>
      <c r="Z90" s="7">
        <f t="shared" si="31"/>
        <v>-9.2600043553555264E-2</v>
      </c>
    </row>
    <row r="91" spans="1:26" s="24" customFormat="1" hidden="1" outlineLevel="2" x14ac:dyDescent="0.3">
      <c r="A91" s="27"/>
      <c r="B91" s="11" t="str">
        <f>CONCATENATE("          ", "6118", " - ", "VACATION")</f>
        <v xml:space="preserve">          6118 - VACATION</v>
      </c>
      <c r="C91" s="11"/>
      <c r="D91" s="6">
        <v>1780</v>
      </c>
      <c r="E91" s="2"/>
      <c r="F91" s="7">
        <f t="shared" si="24"/>
        <v>6.7096847929555238E-3</v>
      </c>
      <c r="G91" s="2"/>
      <c r="H91" s="6">
        <v>1659.26</v>
      </c>
      <c r="I91" s="2"/>
      <c r="J91" s="7">
        <f t="shared" si="25"/>
        <v>1.6452652096006156E-2</v>
      </c>
      <c r="K91" s="2"/>
      <c r="L91" s="6">
        <f t="shared" si="26"/>
        <v>120.74000000000001</v>
      </c>
      <c r="M91" s="2"/>
      <c r="N91" s="7">
        <f t="shared" si="27"/>
        <v>7.2767378228849017E-2</v>
      </c>
      <c r="O91" s="11"/>
      <c r="P91" s="6">
        <v>9350.69</v>
      </c>
      <c r="Q91" s="2"/>
      <c r="R91" s="7">
        <f t="shared" si="28"/>
        <v>5.7095279916370796E-3</v>
      </c>
      <c r="S91" s="2"/>
      <c r="T91" s="6">
        <v>8477.42</v>
      </c>
      <c r="U91" s="2"/>
      <c r="V91" s="7">
        <f t="shared" si="29"/>
        <v>1.0390677088892979E-2</v>
      </c>
      <c r="W91" s="2"/>
      <c r="X91" s="6">
        <f t="shared" si="30"/>
        <v>873.27000000000044</v>
      </c>
      <c r="Y91" s="2"/>
      <c r="Z91" s="7">
        <f t="shared" si="31"/>
        <v>0.10301129353034301</v>
      </c>
    </row>
    <row r="92" spans="1:26" s="24" customFormat="1" hidden="1" outlineLevel="2" x14ac:dyDescent="0.3">
      <c r="A92" s="27"/>
      <c r="B92" s="11" t="str">
        <f>CONCATENATE("          ", "6119", " - ", "SICK LEAVE")</f>
        <v xml:space="preserve">          6119 - SICK LEAVE</v>
      </c>
      <c r="C92" s="11"/>
      <c r="D92" s="6">
        <v>1165.22</v>
      </c>
      <c r="E92" s="2"/>
      <c r="F92" s="7">
        <f t="shared" si="24"/>
        <v>4.3922802890155252E-3</v>
      </c>
      <c r="G92" s="2"/>
      <c r="H92" s="6">
        <v>1232.0899999999999</v>
      </c>
      <c r="I92" s="2"/>
      <c r="J92" s="7">
        <f t="shared" si="25"/>
        <v>1.2216981136752663E-2</v>
      </c>
      <c r="K92" s="2"/>
      <c r="L92" s="6">
        <f t="shared" si="26"/>
        <v>-66.869999999999891</v>
      </c>
      <c r="M92" s="2"/>
      <c r="N92" s="7">
        <f t="shared" si="27"/>
        <v>-5.4273632608007445E-2</v>
      </c>
      <c r="O92" s="11"/>
      <c r="P92" s="6">
        <v>6207.11</v>
      </c>
      <c r="Q92" s="2"/>
      <c r="R92" s="7">
        <f t="shared" si="28"/>
        <v>3.7900591605721538E-3</v>
      </c>
      <c r="S92" s="2"/>
      <c r="T92" s="6">
        <v>6468.23</v>
      </c>
      <c r="U92" s="2"/>
      <c r="V92" s="7">
        <f t="shared" si="29"/>
        <v>7.9280358017758019E-3</v>
      </c>
      <c r="W92" s="2"/>
      <c r="X92" s="6">
        <f t="shared" si="30"/>
        <v>-261.11999999999989</v>
      </c>
      <c r="Y92" s="2"/>
      <c r="Z92" s="7">
        <f t="shared" si="31"/>
        <v>-4.0369621983139113E-2</v>
      </c>
    </row>
    <row r="93" spans="1:26" s="24" customFormat="1" hidden="1" outlineLevel="2" x14ac:dyDescent="0.3">
      <c r="A93" s="27"/>
      <c r="B93" s="11" t="str">
        <f>CONCATENATE("          ", "6156", " - ", "EMPLOYEE MEALS")</f>
        <v xml:space="preserve">          6156 - EMPLOYEE MEALS</v>
      </c>
      <c r="C93" s="11"/>
      <c r="D93" s="6">
        <v>799.89</v>
      </c>
      <c r="E93" s="2"/>
      <c r="F93" s="7">
        <f t="shared" si="24"/>
        <v>3.015174027548985E-3</v>
      </c>
      <c r="G93" s="2"/>
      <c r="H93" s="6">
        <v>473.64</v>
      </c>
      <c r="I93" s="2"/>
      <c r="J93" s="7">
        <f t="shared" si="25"/>
        <v>4.6964515137786463E-3</v>
      </c>
      <c r="K93" s="2"/>
      <c r="L93" s="6">
        <f t="shared" si="26"/>
        <v>326.25</v>
      </c>
      <c r="M93" s="2"/>
      <c r="N93" s="7">
        <f t="shared" si="27"/>
        <v>0.68881428933367117</v>
      </c>
      <c r="O93" s="11"/>
      <c r="P93" s="6">
        <v>3778.11</v>
      </c>
      <c r="Q93" s="2"/>
      <c r="R93" s="7">
        <f t="shared" si="28"/>
        <v>2.3069126236121579E-3</v>
      </c>
      <c r="S93" s="2"/>
      <c r="T93" s="6">
        <v>2521.08</v>
      </c>
      <c r="U93" s="2"/>
      <c r="V93" s="7">
        <f t="shared" si="29"/>
        <v>3.0900590268343798E-3</v>
      </c>
      <c r="W93" s="2"/>
      <c r="X93" s="6">
        <f t="shared" si="30"/>
        <v>1257.0300000000002</v>
      </c>
      <c r="Y93" s="2"/>
      <c r="Z93" s="7">
        <f t="shared" si="31"/>
        <v>0.49860773954019716</v>
      </c>
    </row>
    <row r="94" spans="1:26" s="29" customFormat="1" outlineLevel="1" collapsed="1" x14ac:dyDescent="0.3">
      <c r="A94" s="28"/>
      <c r="B94" s="14" t="str">
        <f>CONCATENATE("     ","*Payroll                                          ")</f>
        <v xml:space="preserve">     *Payroll                                          </v>
      </c>
      <c r="C94" s="14"/>
      <c r="D94" s="1">
        <f>SUM(OSRRefD22_1x_0)</f>
        <v>53645.79</v>
      </c>
      <c r="E94" s="1"/>
      <c r="F94" s="5">
        <f t="shared" ref="F94:F99" si="32">IF(D$12=0,0,D94/D$12)</f>
        <v>0.20221704571296939</v>
      </c>
      <c r="G94" s="1"/>
      <c r="H94" s="1">
        <f>SUM(OSRRefH22_1x_0)</f>
        <v>31832.15</v>
      </c>
      <c r="I94" s="1"/>
      <c r="J94" s="5">
        <f t="shared" ref="J94:J99" si="33">IF(H$12=0,0,H94/H$12)</f>
        <v>0.31563666298101711</v>
      </c>
      <c r="K94" s="1"/>
      <c r="L94" s="1">
        <f t="shared" ref="L94:L99" si="34">+D94-H94</f>
        <v>21813.64</v>
      </c>
      <c r="M94" s="1"/>
      <c r="N94" s="5">
        <f t="shared" ref="N94:N99" si="35">IF(H94=0,0,L94/H94)</f>
        <v>0.68527070901588483</v>
      </c>
      <c r="O94" s="14"/>
      <c r="P94" s="1">
        <f>SUM(OSRRefP22_1x_0)</f>
        <v>303931.37</v>
      </c>
      <c r="Q94" s="1"/>
      <c r="R94" s="5">
        <f t="shared" ref="R94:R99" si="36">IF(P$12=0,0,P94/P$12)</f>
        <v>0.18558038653314421</v>
      </c>
      <c r="S94" s="1"/>
      <c r="T94" s="1">
        <f>SUM(OSRRefT22_1x_0)</f>
        <v>183659.50000000003</v>
      </c>
      <c r="U94" s="1"/>
      <c r="V94" s="5">
        <f t="shared" ref="V94:V99" si="37">IF(T$12=0,0,T94/T$12)</f>
        <v>0.22510935624370862</v>
      </c>
      <c r="W94" s="1"/>
      <c r="X94" s="1">
        <f t="shared" ref="X94:X99" si="38">+P94-T94</f>
        <v>120271.86999999997</v>
      </c>
      <c r="Y94" s="1"/>
      <c r="Z94" s="5">
        <f t="shared" ref="Z94:Z99" si="39">IF(T94=0,0,X94/T94)</f>
        <v>0.65486332043809303</v>
      </c>
    </row>
    <row r="95" spans="1:26" s="24" customFormat="1" hidden="1" outlineLevel="2" x14ac:dyDescent="0.3">
      <c r="A95" s="27"/>
      <c r="B95" s="11" t="str">
        <f>CONCATENATE("          ", "6002", " - ", "STAFF SALARIES")</f>
        <v xml:space="preserve">          6002 - STAFF SALARIES</v>
      </c>
      <c r="C95" s="11"/>
      <c r="D95" s="6">
        <v>15374.72</v>
      </c>
      <c r="E95" s="2"/>
      <c r="F95" s="7">
        <f t="shared" si="32"/>
        <v>5.7954789314578169E-2</v>
      </c>
      <c r="G95" s="2"/>
      <c r="H95" s="6">
        <v>14465.94</v>
      </c>
      <c r="I95" s="2"/>
      <c r="J95" s="7">
        <f t="shared" si="33"/>
        <v>0.14343929104642991</v>
      </c>
      <c r="K95" s="2"/>
      <c r="L95" s="6">
        <f t="shared" si="34"/>
        <v>908.77999999999884</v>
      </c>
      <c r="M95" s="2"/>
      <c r="N95" s="7">
        <f t="shared" si="35"/>
        <v>6.2822049586822484E-2</v>
      </c>
      <c r="O95" s="11"/>
      <c r="P95" s="6">
        <v>83282.75</v>
      </c>
      <c r="Q95" s="2"/>
      <c r="R95" s="7">
        <f t="shared" si="36"/>
        <v>5.0852417559079918E-2</v>
      </c>
      <c r="S95" s="2"/>
      <c r="T95" s="6">
        <v>84753.16</v>
      </c>
      <c r="U95" s="2"/>
      <c r="V95" s="7">
        <f t="shared" si="37"/>
        <v>0.10388098240069277</v>
      </c>
      <c r="W95" s="2"/>
      <c r="X95" s="6">
        <f t="shared" si="38"/>
        <v>-1470.4100000000035</v>
      </c>
      <c r="Y95" s="2"/>
      <c r="Z95" s="7">
        <f t="shared" si="39"/>
        <v>-1.7349323612240574E-2</v>
      </c>
    </row>
    <row r="96" spans="1:26" s="24" customFormat="1" hidden="1" outlineLevel="2" x14ac:dyDescent="0.3">
      <c r="A96" s="27"/>
      <c r="B96" s="11" t="str">
        <f>CONCATENATE("          ", "6004", " - ", "STAFF HOURLY")</f>
        <v xml:space="preserve">          6004 - STAFF HOURLY</v>
      </c>
      <c r="C96" s="11"/>
      <c r="D96" s="6">
        <v>8117.76</v>
      </c>
      <c r="E96" s="2"/>
      <c r="F96" s="7">
        <f t="shared" si="32"/>
        <v>3.0599781362282377E-2</v>
      </c>
      <c r="G96" s="2"/>
      <c r="H96" s="6">
        <v>5238.05</v>
      </c>
      <c r="I96" s="2"/>
      <c r="J96" s="7">
        <f t="shared" si="33"/>
        <v>5.1938704188303854E-2</v>
      </c>
      <c r="K96" s="2"/>
      <c r="L96" s="6">
        <f t="shared" si="34"/>
        <v>2879.71</v>
      </c>
      <c r="M96" s="2"/>
      <c r="N96" s="7">
        <f t="shared" si="35"/>
        <v>0.54976756617443512</v>
      </c>
      <c r="O96" s="11"/>
      <c r="P96" s="6">
        <v>45791.519999999997</v>
      </c>
      <c r="Q96" s="2"/>
      <c r="R96" s="7">
        <f t="shared" si="36"/>
        <v>2.7960285841965582E-2</v>
      </c>
      <c r="S96" s="2"/>
      <c r="T96" s="6">
        <v>38037.5</v>
      </c>
      <c r="U96" s="2"/>
      <c r="V96" s="7">
        <f t="shared" si="37"/>
        <v>4.6622130290674128E-2</v>
      </c>
      <c r="W96" s="2"/>
      <c r="X96" s="6">
        <f t="shared" si="38"/>
        <v>7754.0199999999968</v>
      </c>
      <c r="Y96" s="2"/>
      <c r="Z96" s="7">
        <f t="shared" si="39"/>
        <v>0.20385198816956943</v>
      </c>
    </row>
    <row r="97" spans="1:26" s="24" customFormat="1" hidden="1" outlineLevel="2" x14ac:dyDescent="0.3">
      <c r="A97" s="27"/>
      <c r="B97" s="11" t="str">
        <f>CONCATENATE("          ", "6005", " - ", "TEMPORARY WAGES-HOURLY")</f>
        <v xml:space="preserve">          6005 - TEMPORARY WAGES-HOURLY</v>
      </c>
      <c r="C97" s="11"/>
      <c r="D97" s="6">
        <v>3232.62</v>
      </c>
      <c r="E97" s="2"/>
      <c r="F97" s="7">
        <f t="shared" si="32"/>
        <v>1.2185315312024653E-2</v>
      </c>
      <c r="G97" s="2"/>
      <c r="H97" s="6">
        <v>5186.8599999999997</v>
      </c>
      <c r="I97" s="2"/>
      <c r="J97" s="7">
        <f t="shared" si="33"/>
        <v>5.143112173540644E-2</v>
      </c>
      <c r="K97" s="2"/>
      <c r="L97" s="6">
        <f t="shared" si="34"/>
        <v>-1954.2399999999998</v>
      </c>
      <c r="M97" s="2"/>
      <c r="N97" s="7">
        <f t="shared" si="35"/>
        <v>-0.37676744697177095</v>
      </c>
      <c r="O97" s="11"/>
      <c r="P97" s="6">
        <v>17847.91</v>
      </c>
      <c r="Q97" s="2"/>
      <c r="R97" s="7">
        <f t="shared" si="36"/>
        <v>1.0897927504517778E-2</v>
      </c>
      <c r="S97" s="2"/>
      <c r="T97" s="6">
        <v>25886.94</v>
      </c>
      <c r="U97" s="2"/>
      <c r="V97" s="7">
        <f t="shared" si="37"/>
        <v>3.1729327361337198E-2</v>
      </c>
      <c r="W97" s="2"/>
      <c r="X97" s="6">
        <f t="shared" si="38"/>
        <v>-8039.0299999999988</v>
      </c>
      <c r="Y97" s="2"/>
      <c r="Z97" s="7">
        <f t="shared" si="39"/>
        <v>-0.31054384952412295</v>
      </c>
    </row>
    <row r="98" spans="1:26" s="24" customFormat="1" hidden="1" outlineLevel="2" x14ac:dyDescent="0.3">
      <c r="A98" s="27"/>
      <c r="B98" s="11" t="str">
        <f>CONCATENATE("          ", "6007", " - ", "STUDENT HOURLY")</f>
        <v xml:space="preserve">          6007 - STUDENT HOURLY</v>
      </c>
      <c r="C98" s="11"/>
      <c r="D98" s="6">
        <v>21401.58</v>
      </c>
      <c r="E98" s="2"/>
      <c r="F98" s="7">
        <f t="shared" si="32"/>
        <v>8.067295273664106E-2</v>
      </c>
      <c r="G98" s="2"/>
      <c r="H98" s="6">
        <v>6058.73</v>
      </c>
      <c r="I98" s="2"/>
      <c r="J98" s="7">
        <f t="shared" si="33"/>
        <v>6.0076285111215467E-2</v>
      </c>
      <c r="K98" s="2"/>
      <c r="L98" s="6">
        <f t="shared" si="34"/>
        <v>15342.850000000002</v>
      </c>
      <c r="M98" s="2"/>
      <c r="N98" s="7">
        <f t="shared" si="35"/>
        <v>2.5323541402241068</v>
      </c>
      <c r="O98" s="11"/>
      <c r="P98" s="6">
        <v>121963.62</v>
      </c>
      <c r="Q98" s="2"/>
      <c r="R98" s="7">
        <f t="shared" si="36"/>
        <v>7.4470943037507176E-2</v>
      </c>
      <c r="S98" s="2"/>
      <c r="T98" s="6">
        <v>31134.61</v>
      </c>
      <c r="U98" s="2"/>
      <c r="V98" s="7">
        <f t="shared" si="37"/>
        <v>3.8161336680100577E-2</v>
      </c>
      <c r="W98" s="2"/>
      <c r="X98" s="6">
        <f t="shared" si="38"/>
        <v>90829.01</v>
      </c>
      <c r="Y98" s="2"/>
      <c r="Z98" s="7">
        <f t="shared" si="39"/>
        <v>2.9173003933564607</v>
      </c>
    </row>
    <row r="99" spans="1:26" s="24" customFormat="1" hidden="1" outlineLevel="2" x14ac:dyDescent="0.3">
      <c r="A99" s="27"/>
      <c r="B99" s="11" t="str">
        <f>CONCATENATE("          ", "6008", " - ", "STUDENT HOURLY-FICA EXEMPT")</f>
        <v xml:space="preserve">          6008 - STUDENT HOURLY-FICA EXEMPT</v>
      </c>
      <c r="C99" s="11"/>
      <c r="D99" s="6">
        <v>5519.11</v>
      </c>
      <c r="E99" s="2"/>
      <c r="F99" s="7">
        <f t="shared" si="32"/>
        <v>2.0804206987443122E-2</v>
      </c>
      <c r="G99" s="2"/>
      <c r="H99" s="6">
        <v>882.57</v>
      </c>
      <c r="I99" s="2"/>
      <c r="J99" s="7">
        <f t="shared" si="33"/>
        <v>8.7512608996613873E-3</v>
      </c>
      <c r="K99" s="2"/>
      <c r="L99" s="6">
        <f t="shared" si="34"/>
        <v>4636.54</v>
      </c>
      <c r="M99" s="2"/>
      <c r="N99" s="7">
        <f t="shared" si="35"/>
        <v>5.2534529838992938</v>
      </c>
      <c r="O99" s="11"/>
      <c r="P99" s="6">
        <v>35045.57</v>
      </c>
      <c r="Q99" s="2"/>
      <c r="R99" s="7">
        <f t="shared" si="36"/>
        <v>2.1398812590073747E-2</v>
      </c>
      <c r="S99" s="2"/>
      <c r="T99" s="6">
        <v>3847.29</v>
      </c>
      <c r="U99" s="2"/>
      <c r="V99" s="7">
        <f t="shared" si="37"/>
        <v>4.7155795109039148E-3</v>
      </c>
      <c r="W99" s="2"/>
      <c r="X99" s="6">
        <f t="shared" si="38"/>
        <v>31198.28</v>
      </c>
      <c r="Y99" s="2"/>
      <c r="Z99" s="7">
        <f t="shared" si="39"/>
        <v>8.1091573549173575</v>
      </c>
    </row>
    <row r="100" spans="1:26" s="29" customFormat="1" outlineLevel="1" collapsed="1" x14ac:dyDescent="0.3">
      <c r="A100" s="28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662.42</v>
      </c>
      <c r="E100" s="1"/>
      <c r="F100" s="5">
        <f t="shared" ref="F100:F108" si="40">IF(D$12=0,0,D100/D$12)</f>
        <v>2.4969828092975266E-3</v>
      </c>
      <c r="G100" s="1"/>
      <c r="H100" s="1">
        <f>SUM(OSRRefH22_2x_0)</f>
        <v>548.78</v>
      </c>
      <c r="I100" s="1"/>
      <c r="J100" s="5">
        <f t="shared" ref="J100:J108" si="41">IF(H$12=0,0,H100/H$12)</f>
        <v>5.441513938289514E-3</v>
      </c>
      <c r="K100" s="1"/>
      <c r="L100" s="1">
        <f t="shared" ref="L100:L108" si="42">+D100-H100</f>
        <v>113.63999999999999</v>
      </c>
      <c r="M100" s="1"/>
      <c r="N100" s="5">
        <f t="shared" ref="N100:N108" si="43">IF(H100=0,0,L100/H100)</f>
        <v>0.20707751740223768</v>
      </c>
      <c r="O100" s="14"/>
      <c r="P100" s="1">
        <f>SUM(OSRRefP22_2x_0)</f>
        <v>3152.8</v>
      </c>
      <c r="Q100" s="1"/>
      <c r="R100" s="5">
        <f t="shared" ref="R100:R108" si="44">IF(P$12=0,0,P100/P$12)</f>
        <v>1.925098559788998E-3</v>
      </c>
      <c r="S100" s="1"/>
      <c r="T100" s="1">
        <f>SUM(OSRRefT22_2x_0)</f>
        <v>12773.93</v>
      </c>
      <c r="U100" s="1"/>
      <c r="V100" s="5">
        <f t="shared" ref="V100:V108" si="45">IF(T$12=0,0,T100/T$12)</f>
        <v>1.5656860434675016E-2</v>
      </c>
      <c r="W100" s="1"/>
      <c r="X100" s="1">
        <f t="shared" ref="X100:X108" si="46">+P100-T100</f>
        <v>-9621.130000000001</v>
      </c>
      <c r="Y100" s="1"/>
      <c r="Z100" s="5">
        <f t="shared" ref="Z100:Z108" si="47">IF(T100=0,0,X100/T100)</f>
        <v>-0.75318480686836398</v>
      </c>
    </row>
    <row r="101" spans="1:26" s="24" customFormat="1" hidden="1" outlineLevel="2" x14ac:dyDescent="0.3">
      <c r="A101" s="27"/>
      <c r="B101" s="11" t="str">
        <f>CONCATENATE("          ", "6362", " - ", "ADVERTISING EXPENSE")</f>
        <v xml:space="preserve">          6362 - ADVERTISING EXPENSE</v>
      </c>
      <c r="C101" s="11"/>
      <c r="D101" s="6">
        <v>662.42</v>
      </c>
      <c r="E101" s="2"/>
      <c r="F101" s="7">
        <f t="shared" si="40"/>
        <v>2.4969828092975266E-3</v>
      </c>
      <c r="G101" s="2"/>
      <c r="H101" s="6">
        <v>548.78</v>
      </c>
      <c r="I101" s="2"/>
      <c r="J101" s="7">
        <f t="shared" si="41"/>
        <v>5.441513938289514E-3</v>
      </c>
      <c r="K101" s="2"/>
      <c r="L101" s="6">
        <f t="shared" si="42"/>
        <v>113.63999999999999</v>
      </c>
      <c r="M101" s="2"/>
      <c r="N101" s="7">
        <f t="shared" si="43"/>
        <v>0.20707751740223768</v>
      </c>
      <c r="O101" s="11"/>
      <c r="P101" s="6">
        <v>3152.8</v>
      </c>
      <c r="Q101" s="2"/>
      <c r="R101" s="7">
        <f t="shared" si="44"/>
        <v>1.925098559788998E-3</v>
      </c>
      <c r="S101" s="2"/>
      <c r="T101" s="6">
        <v>12773.93</v>
      </c>
      <c r="U101" s="2"/>
      <c r="V101" s="7">
        <f t="shared" si="45"/>
        <v>1.5656860434675016E-2</v>
      </c>
      <c r="W101" s="2"/>
      <c r="X101" s="6">
        <f t="shared" si="46"/>
        <v>-9621.130000000001</v>
      </c>
      <c r="Y101" s="2"/>
      <c r="Z101" s="7">
        <f t="shared" si="47"/>
        <v>-0.75318480686836398</v>
      </c>
    </row>
    <row r="102" spans="1:26" s="29" customFormat="1" outlineLevel="1" collapsed="1" x14ac:dyDescent="0.3">
      <c r="A102" s="28"/>
      <c r="B102" s="14" t="str">
        <f>CONCATENATE("     ","Bad Debts/Over/Short                              ")</f>
        <v xml:space="preserve">     Bad Debts/Over/Short                              </v>
      </c>
      <c r="C102" s="14"/>
      <c r="D102" s="1">
        <f>SUM(OSRRefD22_3x_0)</f>
        <v>-0.66</v>
      </c>
      <c r="E102" s="1"/>
      <c r="F102" s="5">
        <f t="shared" si="40"/>
        <v>-2.4878606535677783E-6</v>
      </c>
      <c r="G102" s="1"/>
      <c r="H102" s="1">
        <f>SUM(OSRRefH22_3x_0)</f>
        <v>-0.48</v>
      </c>
      <c r="I102" s="1"/>
      <c r="J102" s="5">
        <f t="shared" si="41"/>
        <v>-4.7595150887039738E-6</v>
      </c>
      <c r="K102" s="1"/>
      <c r="L102" s="1">
        <f t="shared" si="42"/>
        <v>-0.18000000000000005</v>
      </c>
      <c r="M102" s="1"/>
      <c r="N102" s="5">
        <f t="shared" si="43"/>
        <v>0.37500000000000011</v>
      </c>
      <c r="O102" s="14"/>
      <c r="P102" s="1">
        <f>SUM(OSRRefP22_3x_0)</f>
        <v>-9.02</v>
      </c>
      <c r="Q102" s="1"/>
      <c r="R102" s="5">
        <f t="shared" si="44"/>
        <v>-5.5076087951334562E-6</v>
      </c>
      <c r="S102" s="1"/>
      <c r="T102" s="1">
        <f>SUM(OSRRefT22_3x_0)</f>
        <v>-1.01</v>
      </c>
      <c r="U102" s="1"/>
      <c r="V102" s="5">
        <f t="shared" si="45"/>
        <v>-1.2379454904654845E-6</v>
      </c>
      <c r="W102" s="1"/>
      <c r="X102" s="1">
        <f t="shared" si="46"/>
        <v>-8.01</v>
      </c>
      <c r="Y102" s="1"/>
      <c r="Z102" s="5">
        <f t="shared" si="47"/>
        <v>7.9306930693069306</v>
      </c>
    </row>
    <row r="103" spans="1:26" s="24" customFormat="1" hidden="1" outlineLevel="2" x14ac:dyDescent="0.3">
      <c r="A103" s="27"/>
      <c r="B103" s="11" t="str">
        <f>CONCATENATE("          ", "6272", " - ", "CASH (OVER/SHORT)")</f>
        <v xml:space="preserve">          6272 - CASH (OVER/SHORT)</v>
      </c>
      <c r="C103" s="11"/>
      <c r="D103" s="6">
        <v>-0.66</v>
      </c>
      <c r="E103" s="2"/>
      <c r="F103" s="7">
        <f t="shared" si="40"/>
        <v>-2.4878606535677783E-6</v>
      </c>
      <c r="G103" s="2"/>
      <c r="H103" s="6">
        <v>-0.48</v>
      </c>
      <c r="I103" s="2"/>
      <c r="J103" s="7">
        <f t="shared" si="41"/>
        <v>-4.7595150887039738E-6</v>
      </c>
      <c r="K103" s="2"/>
      <c r="L103" s="6">
        <f t="shared" si="42"/>
        <v>-0.18000000000000005</v>
      </c>
      <c r="M103" s="2"/>
      <c r="N103" s="7">
        <f t="shared" si="43"/>
        <v>0.37500000000000011</v>
      </c>
      <c r="O103" s="11"/>
      <c r="P103" s="6">
        <v>-9.02</v>
      </c>
      <c r="Q103" s="2"/>
      <c r="R103" s="7">
        <f t="shared" si="44"/>
        <v>-5.5076087951334562E-6</v>
      </c>
      <c r="S103" s="2"/>
      <c r="T103" s="6">
        <v>-1.01</v>
      </c>
      <c r="U103" s="2"/>
      <c r="V103" s="7">
        <f t="shared" si="45"/>
        <v>-1.2379454904654845E-6</v>
      </c>
      <c r="W103" s="2"/>
      <c r="X103" s="6">
        <f t="shared" si="46"/>
        <v>-8.01</v>
      </c>
      <c r="Y103" s="2"/>
      <c r="Z103" s="7">
        <f t="shared" si="47"/>
        <v>7.9306930693069306</v>
      </c>
    </row>
    <row r="104" spans="1:26" s="29" customFormat="1" outlineLevel="1" collapsed="1" x14ac:dyDescent="0.3">
      <c r="A104" s="28"/>
      <c r="B104" s="14" t="str">
        <f>CONCATENATE("     ","Bank/card Fees                                    ")</f>
        <v xml:space="preserve">     Bank/card Fees                                    </v>
      </c>
      <c r="C104" s="14"/>
      <c r="D104" s="1">
        <f>SUM(OSRRefD22_4x_0)</f>
        <v>552.5</v>
      </c>
      <c r="E104" s="1"/>
      <c r="F104" s="5">
        <f t="shared" si="40"/>
        <v>2.0826409259033295E-3</v>
      </c>
      <c r="G104" s="1"/>
      <c r="H104" s="1">
        <f>SUM(OSRRefH22_4x_0)</f>
        <v>315.25</v>
      </c>
      <c r="I104" s="1"/>
      <c r="J104" s="5">
        <f t="shared" si="41"/>
        <v>3.1259106910706829E-3</v>
      </c>
      <c r="K104" s="1"/>
      <c r="L104" s="1">
        <f t="shared" si="42"/>
        <v>237.25</v>
      </c>
      <c r="M104" s="1"/>
      <c r="N104" s="5">
        <f t="shared" si="43"/>
        <v>0.75257731958762886</v>
      </c>
      <c r="O104" s="14"/>
      <c r="P104" s="1">
        <f>SUM(OSRRefP22_4x_0)</f>
        <v>2474.44</v>
      </c>
      <c r="Q104" s="1"/>
      <c r="R104" s="5">
        <f t="shared" si="44"/>
        <v>1.5108921848148592E-3</v>
      </c>
      <c r="S104" s="1"/>
      <c r="T104" s="1">
        <f>SUM(OSRRefT22_4x_0)</f>
        <v>1672.92</v>
      </c>
      <c r="U104" s="1"/>
      <c r="V104" s="5">
        <f t="shared" si="45"/>
        <v>2.0504789801084342E-3</v>
      </c>
      <c r="W104" s="1"/>
      <c r="X104" s="1">
        <f t="shared" si="46"/>
        <v>801.52</v>
      </c>
      <c r="Y104" s="1"/>
      <c r="Z104" s="5">
        <f t="shared" si="47"/>
        <v>0.4791143629103603</v>
      </c>
    </row>
    <row r="105" spans="1:26" s="24" customFormat="1" hidden="1" outlineLevel="2" x14ac:dyDescent="0.3">
      <c r="A105" s="27"/>
      <c r="B105" s="11" t="str">
        <f>CONCATENATE("          ", "6381", " - ", "BANK/CREDIT CARD FEES")</f>
        <v xml:space="preserve">          6381 - BANK/CREDIT CARD FEES</v>
      </c>
      <c r="C105" s="11"/>
      <c r="D105" s="6">
        <v>552.5</v>
      </c>
      <c r="E105" s="2"/>
      <c r="F105" s="7">
        <f t="shared" si="40"/>
        <v>2.0826409259033295E-3</v>
      </c>
      <c r="G105" s="2"/>
      <c r="H105" s="6">
        <v>315.25</v>
      </c>
      <c r="I105" s="2"/>
      <c r="J105" s="7">
        <f t="shared" si="41"/>
        <v>3.1259106910706829E-3</v>
      </c>
      <c r="K105" s="2"/>
      <c r="L105" s="6">
        <f t="shared" si="42"/>
        <v>237.25</v>
      </c>
      <c r="M105" s="2"/>
      <c r="N105" s="7">
        <f t="shared" si="43"/>
        <v>0.75257731958762886</v>
      </c>
      <c r="O105" s="11"/>
      <c r="P105" s="6">
        <v>2474.44</v>
      </c>
      <c r="Q105" s="2"/>
      <c r="R105" s="7">
        <f t="shared" si="44"/>
        <v>1.5108921848148592E-3</v>
      </c>
      <c r="S105" s="2"/>
      <c r="T105" s="6">
        <v>1672.92</v>
      </c>
      <c r="U105" s="2"/>
      <c r="V105" s="7">
        <f t="shared" si="45"/>
        <v>2.0504789801084342E-3</v>
      </c>
      <c r="W105" s="2"/>
      <c r="X105" s="6">
        <f t="shared" si="46"/>
        <v>801.52</v>
      </c>
      <c r="Y105" s="2"/>
      <c r="Z105" s="7">
        <f t="shared" si="47"/>
        <v>0.4791143629103603</v>
      </c>
    </row>
    <row r="106" spans="1:26" s="29" customFormat="1" outlineLevel="1" collapsed="1" x14ac:dyDescent="0.3">
      <c r="A106" s="28"/>
      <c r="B106" s="14" t="str">
        <f>CONCATENATE("     ","Discounts and Markdowns                           ")</f>
        <v xml:space="preserve">     Discounts and Markdowns                           </v>
      </c>
      <c r="C106" s="14"/>
      <c r="D106" s="1">
        <f>SUM(OSRRefD22_5x_0)</f>
        <v>0</v>
      </c>
      <c r="E106" s="1"/>
      <c r="F106" s="5">
        <f t="shared" si="40"/>
        <v>0</v>
      </c>
      <c r="G106" s="1"/>
      <c r="H106" s="1">
        <f>SUM(OSRRefH22_5x_0)</f>
        <v>0</v>
      </c>
      <c r="I106" s="1"/>
      <c r="J106" s="5">
        <f t="shared" si="41"/>
        <v>0</v>
      </c>
      <c r="K106" s="1"/>
      <c r="L106" s="1">
        <f t="shared" si="42"/>
        <v>0</v>
      </c>
      <c r="M106" s="1"/>
      <c r="N106" s="5">
        <f t="shared" si="43"/>
        <v>0</v>
      </c>
      <c r="O106" s="14"/>
      <c r="P106" s="1">
        <f>SUM(OSRRefP22_5x_0)</f>
        <v>0</v>
      </c>
      <c r="Q106" s="1"/>
      <c r="R106" s="5">
        <f t="shared" si="44"/>
        <v>0</v>
      </c>
      <c r="S106" s="1"/>
      <c r="T106" s="1">
        <f>SUM(OSRRefT22_5x_0)</f>
        <v>0</v>
      </c>
      <c r="U106" s="1"/>
      <c r="V106" s="5">
        <f t="shared" si="45"/>
        <v>0</v>
      </c>
      <c r="W106" s="1"/>
      <c r="X106" s="1">
        <f t="shared" si="46"/>
        <v>0</v>
      </c>
      <c r="Y106" s="1"/>
      <c r="Z106" s="5">
        <f t="shared" si="47"/>
        <v>0</v>
      </c>
    </row>
    <row r="107" spans="1:26" s="24" customFormat="1" hidden="1" outlineLevel="2" x14ac:dyDescent="0.3">
      <c r="A107" s="27"/>
      <c r="B107" s="11" t="str">
        <f>CONCATENATE("          ", "6382", " - ", "DISCOUNTS/MARK DOWNS")</f>
        <v xml:space="preserve">          6382 - DISCOUNTS/MARK DOWNS</v>
      </c>
      <c r="C107" s="11"/>
      <c r="D107" s="6"/>
      <c r="E107" s="2"/>
      <c r="F107" s="7">
        <f t="shared" si="40"/>
        <v>0</v>
      </c>
      <c r="G107" s="2"/>
      <c r="H107" s="6">
        <v>0</v>
      </c>
      <c r="I107" s="2"/>
      <c r="J107" s="7">
        <f t="shared" si="41"/>
        <v>0</v>
      </c>
      <c r="K107" s="2"/>
      <c r="L107" s="6">
        <f t="shared" si="42"/>
        <v>0</v>
      </c>
      <c r="M107" s="2"/>
      <c r="N107" s="7">
        <f t="shared" si="43"/>
        <v>0</v>
      </c>
      <c r="O107" s="11"/>
      <c r="P107" s="6"/>
      <c r="Q107" s="2"/>
      <c r="R107" s="7">
        <f t="shared" si="44"/>
        <v>0</v>
      </c>
      <c r="S107" s="2"/>
      <c r="T107" s="6">
        <v>0</v>
      </c>
      <c r="U107" s="2"/>
      <c r="V107" s="7">
        <f t="shared" si="45"/>
        <v>0</v>
      </c>
      <c r="W107" s="2"/>
      <c r="X107" s="6">
        <f t="shared" si="46"/>
        <v>0</v>
      </c>
      <c r="Y107" s="2"/>
      <c r="Z107" s="7">
        <f t="shared" si="47"/>
        <v>0</v>
      </c>
    </row>
    <row r="108" spans="1:26" s="24" customFormat="1" hidden="1" outlineLevel="2" x14ac:dyDescent="0.3">
      <c r="A108" s="27"/>
      <c r="B108" s="11" t="str">
        <f>CONCATENATE("          ", "9175", " - ", "EARNED DISCOUNTS")</f>
        <v xml:space="preserve">          9175 - EARNED DISCOUNTS</v>
      </c>
      <c r="C108" s="11"/>
      <c r="D108" s="6">
        <v>0</v>
      </c>
      <c r="E108" s="2"/>
      <c r="F108" s="7">
        <f t="shared" si="40"/>
        <v>0</v>
      </c>
      <c r="G108" s="2"/>
      <c r="H108" s="6"/>
      <c r="I108" s="2"/>
      <c r="J108" s="7">
        <f t="shared" si="41"/>
        <v>0</v>
      </c>
      <c r="K108" s="2"/>
      <c r="L108" s="6">
        <f t="shared" si="42"/>
        <v>0</v>
      </c>
      <c r="M108" s="2"/>
      <c r="N108" s="7">
        <f t="shared" si="43"/>
        <v>0</v>
      </c>
      <c r="O108" s="11"/>
      <c r="P108" s="6">
        <v>0</v>
      </c>
      <c r="Q108" s="2"/>
      <c r="R108" s="7">
        <f t="shared" si="44"/>
        <v>0</v>
      </c>
      <c r="S108" s="2"/>
      <c r="T108" s="6"/>
      <c r="U108" s="2"/>
      <c r="V108" s="7">
        <f t="shared" si="45"/>
        <v>0</v>
      </c>
      <c r="W108" s="2"/>
      <c r="X108" s="6">
        <f t="shared" si="46"/>
        <v>0</v>
      </c>
      <c r="Y108" s="2"/>
      <c r="Z108" s="7">
        <f t="shared" si="47"/>
        <v>0</v>
      </c>
    </row>
    <row r="109" spans="1:26" s="29" customFormat="1" outlineLevel="1" collapsed="1" x14ac:dyDescent="0.3">
      <c r="A109" s="28"/>
      <c r="B109" s="14" t="str">
        <f>CONCATENATE("     ","Employees' Appreciation                           ")</f>
        <v xml:space="preserve">     Employees' Appreciation                           </v>
      </c>
      <c r="C109" s="14"/>
      <c r="D109" s="1">
        <f>SUM(OSRRefD22_6x_0)</f>
        <v>0</v>
      </c>
      <c r="E109" s="1"/>
      <c r="F109" s="5">
        <f t="shared" ref="F109:F113" si="48">IF(D$12=0,0,D109/D$12)</f>
        <v>0</v>
      </c>
      <c r="G109" s="1"/>
      <c r="H109" s="1">
        <f>SUM(OSRRefH22_6x_0)</f>
        <v>0</v>
      </c>
      <c r="I109" s="1"/>
      <c r="J109" s="5">
        <f t="shared" ref="J109:J113" si="49">IF(H$12=0,0,H109/H$12)</f>
        <v>0</v>
      </c>
      <c r="K109" s="1"/>
      <c r="L109" s="1">
        <f t="shared" ref="L109:L113" si="50">+D109-H109</f>
        <v>0</v>
      </c>
      <c r="M109" s="1"/>
      <c r="N109" s="5">
        <f t="shared" ref="N109:N113" si="51">IF(H109=0,0,L109/H109)</f>
        <v>0</v>
      </c>
      <c r="O109" s="14"/>
      <c r="P109" s="1">
        <f>SUM(OSRRefP22_6x_0)</f>
        <v>216.44</v>
      </c>
      <c r="Q109" s="1"/>
      <c r="R109" s="5">
        <f t="shared" ref="R109:R113" si="52">IF(P$12=0,0,P109/P$12)</f>
        <v>1.3215818709741523E-4</v>
      </c>
      <c r="S109" s="1"/>
      <c r="T109" s="1">
        <f>SUM(OSRRefT22_6x_0)</f>
        <v>0</v>
      </c>
      <c r="U109" s="1"/>
      <c r="V109" s="5">
        <f t="shared" ref="V109:V113" si="53">IF(T$12=0,0,T109/T$12)</f>
        <v>0</v>
      </c>
      <c r="W109" s="1"/>
      <c r="X109" s="1">
        <f t="shared" ref="X109:X113" si="54">+P109-T109</f>
        <v>216.44</v>
      </c>
      <c r="Y109" s="1"/>
      <c r="Z109" s="5">
        <f t="shared" ref="Z109:Z113" si="55">IF(T109=0,0,X109/T109)</f>
        <v>0</v>
      </c>
    </row>
    <row r="110" spans="1:26" s="24" customFormat="1" hidden="1" outlineLevel="2" x14ac:dyDescent="0.3">
      <c r="A110" s="27"/>
      <c r="B110" s="11" t="str">
        <f>CONCATENATE("          ", "6277", " - ", "EMPLOYEE APPRECIATION")</f>
        <v xml:space="preserve">          6277 - EMPLOYEE APPRECIATION</v>
      </c>
      <c r="C110" s="11"/>
      <c r="D110" s="6"/>
      <c r="E110" s="2"/>
      <c r="F110" s="7">
        <f t="shared" si="48"/>
        <v>0</v>
      </c>
      <c r="G110" s="2"/>
      <c r="H110" s="6"/>
      <c r="I110" s="2"/>
      <c r="J110" s="7">
        <f t="shared" si="49"/>
        <v>0</v>
      </c>
      <c r="K110" s="2"/>
      <c r="L110" s="6">
        <f t="shared" si="50"/>
        <v>0</v>
      </c>
      <c r="M110" s="2"/>
      <c r="N110" s="7">
        <f t="shared" si="51"/>
        <v>0</v>
      </c>
      <c r="O110" s="11"/>
      <c r="P110" s="6">
        <v>216.44</v>
      </c>
      <c r="Q110" s="2"/>
      <c r="R110" s="7">
        <f t="shared" si="52"/>
        <v>1.3215818709741523E-4</v>
      </c>
      <c r="S110" s="2"/>
      <c r="T110" s="6"/>
      <c r="U110" s="2"/>
      <c r="V110" s="7">
        <f t="shared" si="53"/>
        <v>0</v>
      </c>
      <c r="W110" s="2"/>
      <c r="X110" s="6">
        <f t="shared" si="54"/>
        <v>216.44</v>
      </c>
      <c r="Y110" s="2"/>
      <c r="Z110" s="7">
        <f t="shared" si="55"/>
        <v>0</v>
      </c>
    </row>
    <row r="111" spans="1:26" s="29" customFormat="1" outlineLevel="1" collapsed="1" x14ac:dyDescent="0.3">
      <c r="A111" s="28"/>
      <c r="B111" s="14" t="str">
        <f>CONCATENATE("     ","Freight out/Postage                               ")</f>
        <v xml:space="preserve">     Freight out/Postage                               </v>
      </c>
      <c r="C111" s="14"/>
      <c r="D111" s="1">
        <f>SUM(OSRRefD22_7x_0)</f>
        <v>3.52</v>
      </c>
      <c r="E111" s="1"/>
      <c r="F111" s="5">
        <f t="shared" si="48"/>
        <v>1.3268590152361484E-5</v>
      </c>
      <c r="G111" s="1"/>
      <c r="H111" s="1">
        <f>SUM(OSRRefH22_7x_0)</f>
        <v>0</v>
      </c>
      <c r="I111" s="1"/>
      <c r="J111" s="5">
        <f t="shared" si="49"/>
        <v>0</v>
      </c>
      <c r="K111" s="1"/>
      <c r="L111" s="1">
        <f t="shared" si="50"/>
        <v>3.52</v>
      </c>
      <c r="M111" s="1"/>
      <c r="N111" s="5">
        <f t="shared" si="51"/>
        <v>0</v>
      </c>
      <c r="O111" s="14"/>
      <c r="P111" s="1">
        <f>SUM(OSRRefP22_7x_0)</f>
        <v>929.29</v>
      </c>
      <c r="Q111" s="1"/>
      <c r="R111" s="5">
        <f t="shared" si="52"/>
        <v>5.6742414381702542E-4</v>
      </c>
      <c r="S111" s="1"/>
      <c r="T111" s="1">
        <f>SUM(OSRRefT22_7x_0)</f>
        <v>91.96</v>
      </c>
      <c r="U111" s="1"/>
      <c r="V111" s="5">
        <f t="shared" si="53"/>
        <v>1.1271432406258015E-4</v>
      </c>
      <c r="W111" s="1"/>
      <c r="X111" s="1">
        <f t="shared" si="54"/>
        <v>837.32999999999993</v>
      </c>
      <c r="Y111" s="1"/>
      <c r="Z111" s="5">
        <f t="shared" si="55"/>
        <v>9.1053719008264462</v>
      </c>
    </row>
    <row r="112" spans="1:26" s="24" customFormat="1" hidden="1" outlineLevel="2" x14ac:dyDescent="0.3">
      <c r="A112" s="27"/>
      <c r="B112" s="11" t="str">
        <f>CONCATENATE("          ", "6305", " - ", "FREIGHT OUT")</f>
        <v xml:space="preserve">          6305 - FREIGHT OUT</v>
      </c>
      <c r="C112" s="11"/>
      <c r="D112" s="6">
        <v>3.52</v>
      </c>
      <c r="E112" s="2"/>
      <c r="F112" s="7">
        <f t="shared" si="48"/>
        <v>1.3268590152361484E-5</v>
      </c>
      <c r="G112" s="2"/>
      <c r="H112" s="6"/>
      <c r="I112" s="2"/>
      <c r="J112" s="7">
        <f t="shared" si="49"/>
        <v>0</v>
      </c>
      <c r="K112" s="2"/>
      <c r="L112" s="6">
        <f t="shared" si="50"/>
        <v>3.52</v>
      </c>
      <c r="M112" s="2"/>
      <c r="N112" s="7">
        <f t="shared" si="51"/>
        <v>0</v>
      </c>
      <c r="O112" s="11"/>
      <c r="P112" s="6">
        <v>893.87</v>
      </c>
      <c r="Q112" s="2"/>
      <c r="R112" s="7">
        <f t="shared" si="52"/>
        <v>5.4579670440198919E-4</v>
      </c>
      <c r="S112" s="2"/>
      <c r="T112" s="6">
        <v>91.96</v>
      </c>
      <c r="U112" s="2"/>
      <c r="V112" s="7">
        <f t="shared" si="53"/>
        <v>1.1271432406258015E-4</v>
      </c>
      <c r="W112" s="2"/>
      <c r="X112" s="6">
        <f t="shared" si="54"/>
        <v>801.91</v>
      </c>
      <c r="Y112" s="2"/>
      <c r="Z112" s="7">
        <f t="shared" si="55"/>
        <v>8.7202044367116134</v>
      </c>
    </row>
    <row r="113" spans="1:26" s="24" customFormat="1" hidden="1" outlineLevel="2" x14ac:dyDescent="0.3">
      <c r="A113" s="27"/>
      <c r="B113" s="11" t="str">
        <f>CONCATENATE("          ", "6307", " - ", "POSTAGE")</f>
        <v xml:space="preserve">          6307 - POSTAGE</v>
      </c>
      <c r="C113" s="11"/>
      <c r="D113" s="6"/>
      <c r="E113" s="2"/>
      <c r="F113" s="7">
        <f t="shared" si="48"/>
        <v>0</v>
      </c>
      <c r="G113" s="2"/>
      <c r="H113" s="6"/>
      <c r="I113" s="2"/>
      <c r="J113" s="7">
        <f t="shared" si="49"/>
        <v>0</v>
      </c>
      <c r="K113" s="2"/>
      <c r="L113" s="6">
        <f t="shared" si="50"/>
        <v>0</v>
      </c>
      <c r="M113" s="2"/>
      <c r="N113" s="7">
        <f t="shared" si="51"/>
        <v>0</v>
      </c>
      <c r="O113" s="11"/>
      <c r="P113" s="6">
        <v>35.42</v>
      </c>
      <c r="Q113" s="2"/>
      <c r="R113" s="7">
        <f t="shared" si="52"/>
        <v>2.1627439415036257E-5</v>
      </c>
      <c r="S113" s="2"/>
      <c r="T113" s="6"/>
      <c r="U113" s="2"/>
      <c r="V113" s="7">
        <f t="shared" si="53"/>
        <v>0</v>
      </c>
      <c r="W113" s="2"/>
      <c r="X113" s="6">
        <f t="shared" si="54"/>
        <v>35.42</v>
      </c>
      <c r="Y113" s="2"/>
      <c r="Z113" s="7">
        <f t="shared" si="55"/>
        <v>0</v>
      </c>
    </row>
    <row r="114" spans="1:26" s="29" customFormat="1" outlineLevel="1" collapsed="1" x14ac:dyDescent="0.3">
      <c r="A114" s="28"/>
      <c r="B114" s="14" t="str">
        <f>CONCATENATE("     ","General                                           ")</f>
        <v xml:space="preserve">     General                                           </v>
      </c>
      <c r="C114" s="14"/>
      <c r="D114" s="1">
        <f>SUM(OSRRefD22_8x_0)</f>
        <v>1135.0899999999999</v>
      </c>
      <c r="E114" s="1"/>
      <c r="F114" s="5">
        <f t="shared" ref="F114:F120" si="56">IF(D$12=0,0,D114/D$12)</f>
        <v>4.2787056806943176E-3</v>
      </c>
      <c r="G114" s="1"/>
      <c r="H114" s="1">
        <f>SUM(OSRRefH22_8x_0)</f>
        <v>0</v>
      </c>
      <c r="I114" s="1"/>
      <c r="J114" s="5">
        <f t="shared" ref="J114:J120" si="57">IF(H$12=0,0,H114/H$12)</f>
        <v>0</v>
      </c>
      <c r="K114" s="1"/>
      <c r="L114" s="1">
        <f t="shared" ref="L114:L120" si="58">+D114-H114</f>
        <v>1135.0899999999999</v>
      </c>
      <c r="M114" s="1"/>
      <c r="N114" s="5">
        <f t="shared" ref="N114:N120" si="59">IF(H114=0,0,L114/H114)</f>
        <v>0</v>
      </c>
      <c r="O114" s="14"/>
      <c r="P114" s="1">
        <f>SUM(OSRRefP22_8x_0)</f>
        <v>1135.0899999999999</v>
      </c>
      <c r="Q114" s="1"/>
      <c r="R114" s="5">
        <f t="shared" ref="R114:R120" si="60">IF(P$12=0,0,P114/P$12)</f>
        <v>6.9308555069490403E-4</v>
      </c>
      <c r="S114" s="1"/>
      <c r="T114" s="1">
        <f>SUM(OSRRefT22_8x_0)</f>
        <v>0</v>
      </c>
      <c r="U114" s="1"/>
      <c r="V114" s="5">
        <f t="shared" ref="V114:V120" si="61">IF(T$12=0,0,T114/T$12)</f>
        <v>0</v>
      </c>
      <c r="W114" s="1"/>
      <c r="X114" s="1">
        <f t="shared" ref="X114:X120" si="62">+P114-T114</f>
        <v>1135.0899999999999</v>
      </c>
      <c r="Y114" s="1"/>
      <c r="Z114" s="5">
        <f t="shared" ref="Z114:Z120" si="63">IF(T114=0,0,X114/T114)</f>
        <v>0</v>
      </c>
    </row>
    <row r="115" spans="1:26" s="24" customFormat="1" hidden="1" outlineLevel="2" x14ac:dyDescent="0.3">
      <c r="A115" s="27"/>
      <c r="B115" s="11" t="str">
        <f>CONCATENATE("          ", "6279", " - ", "GENERAL EXPENSE")</f>
        <v xml:space="preserve">          6279 - GENERAL EXPENSE</v>
      </c>
      <c r="C115" s="11"/>
      <c r="D115" s="6">
        <v>1135.0899999999999</v>
      </c>
      <c r="E115" s="2"/>
      <c r="F115" s="7">
        <f t="shared" si="56"/>
        <v>4.2787056806943176E-3</v>
      </c>
      <c r="G115" s="2"/>
      <c r="H115" s="6"/>
      <c r="I115" s="2"/>
      <c r="J115" s="7">
        <f t="shared" si="57"/>
        <v>0</v>
      </c>
      <c r="K115" s="2"/>
      <c r="L115" s="6">
        <f t="shared" si="58"/>
        <v>1135.0899999999999</v>
      </c>
      <c r="M115" s="2"/>
      <c r="N115" s="7">
        <f t="shared" si="59"/>
        <v>0</v>
      </c>
      <c r="O115" s="11"/>
      <c r="P115" s="6">
        <v>1135.0899999999999</v>
      </c>
      <c r="Q115" s="2"/>
      <c r="R115" s="7">
        <f t="shared" si="60"/>
        <v>6.9308555069490403E-4</v>
      </c>
      <c r="S115" s="2"/>
      <c r="T115" s="6"/>
      <c r="U115" s="2"/>
      <c r="V115" s="7">
        <f t="shared" si="61"/>
        <v>0</v>
      </c>
      <c r="W115" s="2"/>
      <c r="X115" s="6">
        <f t="shared" si="62"/>
        <v>1135.0899999999999</v>
      </c>
      <c r="Y115" s="2"/>
      <c r="Z115" s="7">
        <f t="shared" si="63"/>
        <v>0</v>
      </c>
    </row>
    <row r="116" spans="1:26" s="29" customFormat="1" outlineLevel="1" collapsed="1" x14ac:dyDescent="0.3">
      <c r="A116" s="28"/>
      <c r="B116" s="14" t="str">
        <f>CONCATENATE("     ","Insurance                                         ")</f>
        <v xml:space="preserve">     Insurance                                         </v>
      </c>
      <c r="C116" s="14"/>
      <c r="D116" s="1">
        <f>SUM(OSRRefD22_9x_0)</f>
        <v>219.08</v>
      </c>
      <c r="E116" s="1"/>
      <c r="F116" s="5">
        <f t="shared" si="56"/>
        <v>8.2581895755095289E-4</v>
      </c>
      <c r="G116" s="1"/>
      <c r="H116" s="1">
        <f>SUM(OSRRefH22_9x_0)</f>
        <v>161.18</v>
      </c>
      <c r="I116" s="1"/>
      <c r="J116" s="5">
        <f t="shared" si="57"/>
        <v>1.5982055041610552E-3</v>
      </c>
      <c r="K116" s="1"/>
      <c r="L116" s="1">
        <f t="shared" si="58"/>
        <v>57.900000000000006</v>
      </c>
      <c r="M116" s="1"/>
      <c r="N116" s="5">
        <f t="shared" si="59"/>
        <v>0.35922571038590395</v>
      </c>
      <c r="O116" s="14"/>
      <c r="P116" s="1">
        <f>SUM(OSRRefP22_9x_0)</f>
        <v>1095.4000000000001</v>
      </c>
      <c r="Q116" s="1"/>
      <c r="R116" s="5">
        <f t="shared" si="60"/>
        <v>6.6885085079702758E-4</v>
      </c>
      <c r="S116" s="1"/>
      <c r="T116" s="1">
        <f>SUM(OSRRefT22_9x_0)</f>
        <v>805.9</v>
      </c>
      <c r="U116" s="1"/>
      <c r="V116" s="5">
        <f t="shared" si="61"/>
        <v>9.8778244630310296E-4</v>
      </c>
      <c r="W116" s="1"/>
      <c r="X116" s="1">
        <f t="shared" si="62"/>
        <v>289.50000000000011</v>
      </c>
      <c r="Y116" s="1"/>
      <c r="Z116" s="5">
        <f t="shared" si="63"/>
        <v>0.35922571038590412</v>
      </c>
    </row>
    <row r="117" spans="1:26" s="24" customFormat="1" hidden="1" outlineLevel="2" x14ac:dyDescent="0.3">
      <c r="A117" s="27"/>
      <c r="B117" s="11" t="str">
        <f>CONCATENATE("          ", "6314", " - ", "LIABILITY INSURANCE")</f>
        <v xml:space="preserve">          6314 - LIABILITY INSURANCE</v>
      </c>
      <c r="C117" s="11"/>
      <c r="D117" s="6">
        <v>219.08</v>
      </c>
      <c r="E117" s="2"/>
      <c r="F117" s="7">
        <f t="shared" si="56"/>
        <v>8.2581895755095289E-4</v>
      </c>
      <c r="G117" s="2"/>
      <c r="H117" s="6">
        <v>161.18</v>
      </c>
      <c r="I117" s="2"/>
      <c r="J117" s="7">
        <f t="shared" si="57"/>
        <v>1.5982055041610552E-3</v>
      </c>
      <c r="K117" s="2"/>
      <c r="L117" s="6">
        <f t="shared" si="58"/>
        <v>57.900000000000006</v>
      </c>
      <c r="M117" s="2"/>
      <c r="N117" s="7">
        <f t="shared" si="59"/>
        <v>0.35922571038590395</v>
      </c>
      <c r="O117" s="11"/>
      <c r="P117" s="6">
        <v>1095.4000000000001</v>
      </c>
      <c r="Q117" s="2"/>
      <c r="R117" s="7">
        <f t="shared" si="60"/>
        <v>6.6885085079702758E-4</v>
      </c>
      <c r="S117" s="2"/>
      <c r="T117" s="6">
        <v>805.9</v>
      </c>
      <c r="U117" s="2"/>
      <c r="V117" s="7">
        <f t="shared" si="61"/>
        <v>9.8778244630310296E-4</v>
      </c>
      <c r="W117" s="2"/>
      <c r="X117" s="6">
        <f t="shared" si="62"/>
        <v>289.50000000000011</v>
      </c>
      <c r="Y117" s="2"/>
      <c r="Z117" s="7">
        <f t="shared" si="63"/>
        <v>0.35922571038590412</v>
      </c>
    </row>
    <row r="118" spans="1:26" s="29" customFormat="1" outlineLevel="1" collapsed="1" x14ac:dyDescent="0.3">
      <c r="A118" s="28"/>
      <c r="B118" s="14" t="str">
        <f>CONCATENATE("     ","Inventory Adjustment                              ")</f>
        <v xml:space="preserve">     Inventory Adjustment                              </v>
      </c>
      <c r="C118" s="14"/>
      <c r="D118" s="1">
        <f>SUM(OSRRefD22_10x_0)</f>
        <v>3450</v>
      </c>
      <c r="E118" s="1"/>
      <c r="F118" s="5">
        <f t="shared" si="56"/>
        <v>1.3004726143649751E-2</v>
      </c>
      <c r="G118" s="1"/>
      <c r="H118" s="1">
        <f>SUM(OSRRefH22_10x_0)</f>
        <v>1100</v>
      </c>
      <c r="I118" s="1"/>
      <c r="J118" s="5">
        <f t="shared" si="57"/>
        <v>1.0907222078279939E-2</v>
      </c>
      <c r="K118" s="1"/>
      <c r="L118" s="1">
        <f t="shared" si="58"/>
        <v>2350</v>
      </c>
      <c r="M118" s="1"/>
      <c r="N118" s="5">
        <f t="shared" si="59"/>
        <v>2.1363636363636362</v>
      </c>
      <c r="O118" s="14"/>
      <c r="P118" s="1">
        <f>SUM(OSRRefP22_10x_0)</f>
        <v>17250</v>
      </c>
      <c r="Q118" s="1"/>
      <c r="R118" s="5">
        <f t="shared" si="60"/>
        <v>1.0532843870959215E-2</v>
      </c>
      <c r="S118" s="1"/>
      <c r="T118" s="1">
        <f>SUM(OSRRefT22_10x_0)</f>
        <v>5500</v>
      </c>
      <c r="U118" s="1"/>
      <c r="V118" s="5">
        <f t="shared" si="61"/>
        <v>6.7412873243169955E-3</v>
      </c>
      <c r="W118" s="1"/>
      <c r="X118" s="1">
        <f t="shared" si="62"/>
        <v>11750</v>
      </c>
      <c r="Y118" s="1"/>
      <c r="Z118" s="5">
        <f t="shared" si="63"/>
        <v>2.1363636363636362</v>
      </c>
    </row>
    <row r="119" spans="1:26" s="24" customFormat="1" hidden="1" outlineLevel="2" x14ac:dyDescent="0.3">
      <c r="A119" s="27"/>
      <c r="B119" s="11" t="str">
        <f>CONCATENATE("          ", "6408", " - ", "INVENTORY ADJUSTMENT")</f>
        <v xml:space="preserve">          6408 - INVENTORY ADJUSTMENT</v>
      </c>
      <c r="C119" s="11"/>
      <c r="D119" s="6">
        <v>3450</v>
      </c>
      <c r="E119" s="2"/>
      <c r="F119" s="7">
        <f t="shared" si="56"/>
        <v>1.3004726143649751E-2</v>
      </c>
      <c r="G119" s="2"/>
      <c r="H119" s="6">
        <v>1100</v>
      </c>
      <c r="I119" s="2"/>
      <c r="J119" s="7">
        <f t="shared" si="57"/>
        <v>1.0907222078279939E-2</v>
      </c>
      <c r="K119" s="2"/>
      <c r="L119" s="6">
        <f t="shared" si="58"/>
        <v>2350</v>
      </c>
      <c r="M119" s="2"/>
      <c r="N119" s="7">
        <f t="shared" si="59"/>
        <v>2.1363636363636362</v>
      </c>
      <c r="O119" s="11"/>
      <c r="P119" s="6">
        <v>17250</v>
      </c>
      <c r="Q119" s="2"/>
      <c r="R119" s="7">
        <f t="shared" si="60"/>
        <v>1.0532843870959215E-2</v>
      </c>
      <c r="S119" s="2"/>
      <c r="T119" s="6">
        <v>5500</v>
      </c>
      <c r="U119" s="2"/>
      <c r="V119" s="7">
        <f t="shared" si="61"/>
        <v>6.7412873243169955E-3</v>
      </c>
      <c r="W119" s="2"/>
      <c r="X119" s="6">
        <f t="shared" si="62"/>
        <v>11750</v>
      </c>
      <c r="Y119" s="2"/>
      <c r="Z119" s="7">
        <f t="shared" si="63"/>
        <v>2.1363636363636362</v>
      </c>
    </row>
    <row r="120" spans="1:26" s="24" customFormat="1" hidden="1" outlineLevel="2" x14ac:dyDescent="0.3">
      <c r="A120" s="27"/>
      <c r="B120" s="11" t="str">
        <f>CONCATENATE("          ", "7741", " - ", "INV. SHRINKAGE-LOGO GIFTS")</f>
        <v xml:space="preserve">          7741 - INV. SHRINKAGE-LOGO GIFTS</v>
      </c>
      <c r="C120" s="11"/>
      <c r="D120" s="6"/>
      <c r="E120" s="2"/>
      <c r="F120" s="7">
        <f t="shared" si="56"/>
        <v>0</v>
      </c>
      <c r="G120" s="2"/>
      <c r="H120" s="6"/>
      <c r="I120" s="2"/>
      <c r="J120" s="7">
        <f t="shared" si="57"/>
        <v>0</v>
      </c>
      <c r="K120" s="2"/>
      <c r="L120" s="6">
        <f t="shared" si="58"/>
        <v>0</v>
      </c>
      <c r="M120" s="2"/>
      <c r="N120" s="7">
        <f t="shared" si="59"/>
        <v>0</v>
      </c>
      <c r="O120" s="11"/>
      <c r="P120" s="6"/>
      <c r="Q120" s="2"/>
      <c r="R120" s="7">
        <f t="shared" si="60"/>
        <v>0</v>
      </c>
      <c r="S120" s="2"/>
      <c r="T120" s="6">
        <v>0</v>
      </c>
      <c r="U120" s="2"/>
      <c r="V120" s="7">
        <f t="shared" si="61"/>
        <v>0</v>
      </c>
      <c r="W120" s="2"/>
      <c r="X120" s="6">
        <f t="shared" si="62"/>
        <v>0</v>
      </c>
      <c r="Y120" s="2"/>
      <c r="Z120" s="7">
        <f t="shared" si="63"/>
        <v>0</v>
      </c>
    </row>
    <row r="121" spans="1:26" s="29" customFormat="1" outlineLevel="1" collapsed="1" x14ac:dyDescent="0.3">
      <c r="A121" s="28"/>
      <c r="B121" s="14" t="str">
        <f>CONCATENATE("     ","Professional Services                             ")</f>
        <v xml:space="preserve">     Professional Services                             </v>
      </c>
      <c r="C121" s="14"/>
      <c r="D121" s="1">
        <f>SUM(OSRRefD22_11x_0)</f>
        <v>0</v>
      </c>
      <c r="E121" s="1"/>
      <c r="F121" s="5">
        <f t="shared" ref="F121:F128" si="64">IF(D$12=0,0,D121/D$12)</f>
        <v>0</v>
      </c>
      <c r="G121" s="1"/>
      <c r="H121" s="1">
        <f>SUM(OSRRefH22_11x_0)</f>
        <v>0</v>
      </c>
      <c r="I121" s="1"/>
      <c r="J121" s="5">
        <f t="shared" ref="J121:J128" si="65">IF(H$12=0,0,H121/H$12)</f>
        <v>0</v>
      </c>
      <c r="K121" s="1"/>
      <c r="L121" s="1">
        <f t="shared" ref="L121:L128" si="66">+D121-H121</f>
        <v>0</v>
      </c>
      <c r="M121" s="1"/>
      <c r="N121" s="5">
        <f t="shared" ref="N121:N128" si="67">IF(H121=0,0,L121/H121)</f>
        <v>0</v>
      </c>
      <c r="O121" s="14"/>
      <c r="P121" s="1">
        <f>SUM(OSRRefP22_11x_0)</f>
        <v>669.1</v>
      </c>
      <c r="Q121" s="1"/>
      <c r="R121" s="5">
        <f t="shared" ref="R121:R128" si="68">IF(P$12=0,0,P121/P$12)</f>
        <v>4.0855222226427888E-4</v>
      </c>
      <c r="S121" s="1"/>
      <c r="T121" s="1">
        <f>SUM(OSRRefT22_11x_0)</f>
        <v>0</v>
      </c>
      <c r="U121" s="1"/>
      <c r="V121" s="5">
        <f t="shared" ref="V121:V128" si="69">IF(T$12=0,0,T121/T$12)</f>
        <v>0</v>
      </c>
      <c r="W121" s="1"/>
      <c r="X121" s="1">
        <f t="shared" ref="X121:X128" si="70">+P121-T121</f>
        <v>669.1</v>
      </c>
      <c r="Y121" s="1"/>
      <c r="Z121" s="5">
        <f t="shared" ref="Z121:Z128" si="71">IF(T121=0,0,X121/T121)</f>
        <v>0</v>
      </c>
    </row>
    <row r="122" spans="1:26" s="24" customFormat="1" hidden="1" outlineLevel="2" x14ac:dyDescent="0.3">
      <c r="A122" s="27"/>
      <c r="B122" s="11" t="str">
        <f>CONCATENATE("          ", "6336", " - ", "PROFESSIONAL SERVICES")</f>
        <v xml:space="preserve">          6336 - PROFESSIONAL SERVICES</v>
      </c>
      <c r="C122" s="11"/>
      <c r="D122" s="6"/>
      <c r="E122" s="2"/>
      <c r="F122" s="7">
        <f t="shared" si="64"/>
        <v>0</v>
      </c>
      <c r="G122" s="2"/>
      <c r="H122" s="6"/>
      <c r="I122" s="2"/>
      <c r="J122" s="7">
        <f t="shared" si="65"/>
        <v>0</v>
      </c>
      <c r="K122" s="2"/>
      <c r="L122" s="6">
        <f t="shared" si="66"/>
        <v>0</v>
      </c>
      <c r="M122" s="2"/>
      <c r="N122" s="7">
        <f t="shared" si="67"/>
        <v>0</v>
      </c>
      <c r="O122" s="11"/>
      <c r="P122" s="6">
        <v>669.1</v>
      </c>
      <c r="Q122" s="2"/>
      <c r="R122" s="7">
        <f t="shared" si="68"/>
        <v>4.0855222226427888E-4</v>
      </c>
      <c r="S122" s="2"/>
      <c r="T122" s="6"/>
      <c r="U122" s="2"/>
      <c r="V122" s="7">
        <f t="shared" si="69"/>
        <v>0</v>
      </c>
      <c r="W122" s="2"/>
      <c r="X122" s="6">
        <f t="shared" si="70"/>
        <v>669.1</v>
      </c>
      <c r="Y122" s="2"/>
      <c r="Z122" s="7">
        <f t="shared" si="71"/>
        <v>0</v>
      </c>
    </row>
    <row r="123" spans="1:26" s="29" customFormat="1" outlineLevel="1" collapsed="1" x14ac:dyDescent="0.3">
      <c r="A123" s="28"/>
      <c r="B123" s="14" t="str">
        <f>CONCATENATE("     ","Rent                                              ")</f>
        <v xml:space="preserve">     Rent                                              </v>
      </c>
      <c r="C123" s="14"/>
      <c r="D123" s="1">
        <f>SUM(OSRRefD22_12x_0)</f>
        <v>6900</v>
      </c>
      <c r="E123" s="1"/>
      <c r="F123" s="5">
        <f t="shared" si="64"/>
        <v>2.6009452287299503E-2</v>
      </c>
      <c r="G123" s="1"/>
      <c r="H123" s="1">
        <f>SUM(OSRRefH22_12x_0)</f>
        <v>6900</v>
      </c>
      <c r="I123" s="1"/>
      <c r="J123" s="5">
        <f t="shared" si="65"/>
        <v>6.8418029400119623E-2</v>
      </c>
      <c r="K123" s="1"/>
      <c r="L123" s="1">
        <f t="shared" si="66"/>
        <v>0</v>
      </c>
      <c r="M123" s="1"/>
      <c r="N123" s="5">
        <f t="shared" si="67"/>
        <v>0</v>
      </c>
      <c r="O123" s="14"/>
      <c r="P123" s="1">
        <f>SUM(OSRRefP22_12x_0)</f>
        <v>34500</v>
      </c>
      <c r="Q123" s="1"/>
      <c r="R123" s="5">
        <f t="shared" si="68"/>
        <v>2.1065687741918429E-2</v>
      </c>
      <c r="S123" s="1"/>
      <c r="T123" s="1">
        <f>SUM(OSRRefT22_12x_0)</f>
        <v>34500</v>
      </c>
      <c r="U123" s="1"/>
      <c r="V123" s="5">
        <f t="shared" si="69"/>
        <v>4.2286256852533878E-2</v>
      </c>
      <c r="W123" s="1"/>
      <c r="X123" s="1">
        <f t="shared" si="70"/>
        <v>0</v>
      </c>
      <c r="Y123" s="1"/>
      <c r="Z123" s="5">
        <f t="shared" si="71"/>
        <v>0</v>
      </c>
    </row>
    <row r="124" spans="1:26" s="24" customFormat="1" hidden="1" outlineLevel="2" x14ac:dyDescent="0.3">
      <c r="A124" s="27"/>
      <c r="B124" s="11" t="str">
        <f>CONCATENATE("          ", "6273", " - ", "RENT")</f>
        <v xml:space="preserve">          6273 - RENT</v>
      </c>
      <c r="C124" s="11"/>
      <c r="D124" s="6">
        <v>6900</v>
      </c>
      <c r="E124" s="2"/>
      <c r="F124" s="7">
        <f t="shared" si="64"/>
        <v>2.6009452287299503E-2</v>
      </c>
      <c r="G124" s="2"/>
      <c r="H124" s="6">
        <v>6900</v>
      </c>
      <c r="I124" s="2"/>
      <c r="J124" s="7">
        <f t="shared" si="65"/>
        <v>6.8418029400119623E-2</v>
      </c>
      <c r="K124" s="2"/>
      <c r="L124" s="6">
        <f t="shared" si="66"/>
        <v>0</v>
      </c>
      <c r="M124" s="2"/>
      <c r="N124" s="7">
        <f t="shared" si="67"/>
        <v>0</v>
      </c>
      <c r="O124" s="11"/>
      <c r="P124" s="6">
        <v>34500</v>
      </c>
      <c r="Q124" s="2"/>
      <c r="R124" s="7">
        <f t="shared" si="68"/>
        <v>2.1065687741918429E-2</v>
      </c>
      <c r="S124" s="2"/>
      <c r="T124" s="6">
        <v>34500</v>
      </c>
      <c r="U124" s="2"/>
      <c r="V124" s="7">
        <f t="shared" si="69"/>
        <v>4.2286256852533878E-2</v>
      </c>
      <c r="W124" s="2"/>
      <c r="X124" s="6">
        <f t="shared" si="70"/>
        <v>0</v>
      </c>
      <c r="Y124" s="2"/>
      <c r="Z124" s="7">
        <f t="shared" si="71"/>
        <v>0</v>
      </c>
    </row>
    <row r="125" spans="1:26" s="29" customFormat="1" outlineLevel="1" collapsed="1" x14ac:dyDescent="0.3">
      <c r="A125" s="28"/>
      <c r="B125" s="14" t="str">
        <f>CONCATENATE("     ","Repair and Maintenance                            ")</f>
        <v xml:space="preserve">     Repair and Maintenance                            </v>
      </c>
      <c r="C125" s="14"/>
      <c r="D125" s="1">
        <f>SUM(OSRRefD22_13x_0)</f>
        <v>0</v>
      </c>
      <c r="E125" s="1"/>
      <c r="F125" s="5">
        <f t="shared" si="64"/>
        <v>0</v>
      </c>
      <c r="G125" s="1"/>
      <c r="H125" s="1">
        <f>SUM(OSRRefH22_13x_0)</f>
        <v>0</v>
      </c>
      <c r="I125" s="1"/>
      <c r="J125" s="5">
        <f t="shared" si="65"/>
        <v>0</v>
      </c>
      <c r="K125" s="1"/>
      <c r="L125" s="1">
        <f t="shared" si="66"/>
        <v>0</v>
      </c>
      <c r="M125" s="1"/>
      <c r="N125" s="5">
        <f t="shared" si="67"/>
        <v>0</v>
      </c>
      <c r="O125" s="14"/>
      <c r="P125" s="1">
        <f>SUM(OSRRefP22_13x_0)</f>
        <v>1012.96</v>
      </c>
      <c r="Q125" s="1"/>
      <c r="R125" s="5">
        <f t="shared" si="68"/>
        <v>6.1851301608851291E-4</v>
      </c>
      <c r="S125" s="1"/>
      <c r="T125" s="1">
        <f>SUM(OSRRefT22_13x_0)</f>
        <v>48.21</v>
      </c>
      <c r="U125" s="1"/>
      <c r="V125" s="5">
        <f t="shared" si="69"/>
        <v>5.9090447619149515E-5</v>
      </c>
      <c r="W125" s="1"/>
      <c r="X125" s="1">
        <f t="shared" si="70"/>
        <v>964.75</v>
      </c>
      <c r="Y125" s="1"/>
      <c r="Z125" s="5">
        <f t="shared" si="71"/>
        <v>20.011408421489318</v>
      </c>
    </row>
    <row r="126" spans="1:26" s="24" customFormat="1" hidden="1" outlineLevel="2" x14ac:dyDescent="0.3">
      <c r="A126" s="27"/>
      <c r="B126" s="11" t="str">
        <f>CONCATENATE("          ", "6372", " - ", "COMPUTER HARDWARE MAINTENANCE")</f>
        <v xml:space="preserve">          6372 - COMPUTER HARDWARE MAINTENANCE</v>
      </c>
      <c r="C126" s="11"/>
      <c r="D126" s="6"/>
      <c r="E126" s="2"/>
      <c r="F126" s="7">
        <f t="shared" si="64"/>
        <v>0</v>
      </c>
      <c r="G126" s="2"/>
      <c r="H126" s="6"/>
      <c r="I126" s="2"/>
      <c r="J126" s="7">
        <f t="shared" si="65"/>
        <v>0</v>
      </c>
      <c r="K126" s="2"/>
      <c r="L126" s="6">
        <f t="shared" si="66"/>
        <v>0</v>
      </c>
      <c r="M126" s="2"/>
      <c r="N126" s="7">
        <f t="shared" si="67"/>
        <v>0</v>
      </c>
      <c r="O126" s="11"/>
      <c r="P126" s="6"/>
      <c r="Q126" s="2"/>
      <c r="R126" s="7">
        <f t="shared" si="68"/>
        <v>0</v>
      </c>
      <c r="S126" s="2"/>
      <c r="T126" s="6">
        <v>0</v>
      </c>
      <c r="U126" s="2"/>
      <c r="V126" s="7">
        <f t="shared" si="69"/>
        <v>0</v>
      </c>
      <c r="W126" s="2"/>
      <c r="X126" s="6">
        <f t="shared" si="70"/>
        <v>0</v>
      </c>
      <c r="Y126" s="2"/>
      <c r="Z126" s="7">
        <f t="shared" si="71"/>
        <v>0</v>
      </c>
    </row>
    <row r="127" spans="1:26" s="24" customFormat="1" hidden="1" outlineLevel="2" x14ac:dyDescent="0.3">
      <c r="A127" s="27"/>
      <c r="B127" s="11" t="str">
        <f>CONCATENATE("          ", "6373", " - ", "MAINTENANCE CONTRACTS")</f>
        <v xml:space="preserve">          6373 - MAINTENANCE CONTRACTS</v>
      </c>
      <c r="C127" s="11"/>
      <c r="D127" s="6"/>
      <c r="E127" s="2"/>
      <c r="F127" s="7">
        <f t="shared" si="64"/>
        <v>0</v>
      </c>
      <c r="G127" s="2"/>
      <c r="H127" s="6"/>
      <c r="I127" s="2"/>
      <c r="J127" s="7">
        <f t="shared" si="65"/>
        <v>0</v>
      </c>
      <c r="K127" s="2"/>
      <c r="L127" s="6">
        <f t="shared" si="66"/>
        <v>0</v>
      </c>
      <c r="M127" s="2"/>
      <c r="N127" s="7">
        <f t="shared" si="67"/>
        <v>0</v>
      </c>
      <c r="O127" s="11"/>
      <c r="P127" s="6">
        <v>236.6</v>
      </c>
      <c r="Q127" s="2"/>
      <c r="R127" s="7">
        <f t="shared" si="68"/>
        <v>1.4446787593443191E-4</v>
      </c>
      <c r="S127" s="2"/>
      <c r="T127" s="6">
        <v>48.21</v>
      </c>
      <c r="U127" s="2"/>
      <c r="V127" s="7">
        <f t="shared" si="69"/>
        <v>5.9090447619149515E-5</v>
      </c>
      <c r="W127" s="2"/>
      <c r="X127" s="6">
        <f t="shared" si="70"/>
        <v>188.39</v>
      </c>
      <c r="Y127" s="2"/>
      <c r="Z127" s="7">
        <f t="shared" si="71"/>
        <v>3.9076954988591575</v>
      </c>
    </row>
    <row r="128" spans="1:26" s="24" customFormat="1" hidden="1" outlineLevel="2" x14ac:dyDescent="0.3">
      <c r="A128" s="27"/>
      <c r="B128" s="11" t="str">
        <f>CONCATENATE("          ", "6375", " - ", "OUTSIDE REPAIRS &amp; MAINTENANCE")</f>
        <v xml:space="preserve">          6375 - OUTSIDE REPAIRS &amp; MAINTENANCE</v>
      </c>
      <c r="C128" s="11"/>
      <c r="D128" s="6"/>
      <c r="E128" s="2"/>
      <c r="F128" s="7">
        <f t="shared" si="64"/>
        <v>0</v>
      </c>
      <c r="G128" s="2"/>
      <c r="H128" s="6"/>
      <c r="I128" s="2"/>
      <c r="J128" s="7">
        <f t="shared" si="65"/>
        <v>0</v>
      </c>
      <c r="K128" s="2"/>
      <c r="L128" s="6">
        <f t="shared" si="66"/>
        <v>0</v>
      </c>
      <c r="M128" s="2"/>
      <c r="N128" s="7">
        <f t="shared" si="67"/>
        <v>0</v>
      </c>
      <c r="O128" s="11"/>
      <c r="P128" s="6">
        <v>776.36</v>
      </c>
      <c r="Q128" s="2"/>
      <c r="R128" s="7">
        <f t="shared" si="68"/>
        <v>4.7404514015408097E-4</v>
      </c>
      <c r="S128" s="2"/>
      <c r="T128" s="6"/>
      <c r="U128" s="2"/>
      <c r="V128" s="7">
        <f t="shared" si="69"/>
        <v>0</v>
      </c>
      <c r="W128" s="2"/>
      <c r="X128" s="6">
        <f t="shared" si="70"/>
        <v>776.36</v>
      </c>
      <c r="Y128" s="2"/>
      <c r="Z128" s="7">
        <f t="shared" si="71"/>
        <v>0</v>
      </c>
    </row>
    <row r="129" spans="1:26" s="29" customFormat="1" outlineLevel="1" collapsed="1" x14ac:dyDescent="0.3">
      <c r="A129" s="28"/>
      <c r="B129" s="14" t="str">
        <f>CONCATENATE("     ","Royalty &amp; Commissions                             ")</f>
        <v xml:space="preserve">     Royalty &amp; Commissions                             </v>
      </c>
      <c r="C129" s="14"/>
      <c r="D129" s="1">
        <f>SUM(OSRRefD22_14x_0)</f>
        <v>0</v>
      </c>
      <c r="E129" s="1"/>
      <c r="F129" s="5">
        <f t="shared" ref="F129:F131" si="72">IF(D$12=0,0,D129/D$12)</f>
        <v>0</v>
      </c>
      <c r="G129" s="1"/>
      <c r="H129" s="1">
        <f>SUM(OSRRefH22_14x_0)</f>
        <v>0</v>
      </c>
      <c r="I129" s="1"/>
      <c r="J129" s="5">
        <f t="shared" ref="J129:J131" si="73">IF(H$12=0,0,H129/H$12)</f>
        <v>0</v>
      </c>
      <c r="K129" s="1"/>
      <c r="L129" s="1">
        <f t="shared" ref="L129:L131" si="74">+D129-H129</f>
        <v>0</v>
      </c>
      <c r="M129" s="1"/>
      <c r="N129" s="5">
        <f t="shared" ref="N129:N131" si="75">IF(H129=0,0,L129/H129)</f>
        <v>0</v>
      </c>
      <c r="O129" s="14"/>
      <c r="P129" s="1">
        <f>SUM(OSRRefP22_14x_0)</f>
        <v>16132.79</v>
      </c>
      <c r="Q129" s="1"/>
      <c r="R129" s="5">
        <f t="shared" ref="R129:R131" si="76">IF(P$12=0,0,P129/P$12)</f>
        <v>9.8506758419114274E-3</v>
      </c>
      <c r="S129" s="1"/>
      <c r="T129" s="1">
        <f>SUM(OSRRefT22_14x_0)</f>
        <v>18411.8</v>
      </c>
      <c r="U129" s="1"/>
      <c r="V129" s="5">
        <f t="shared" ref="V129:V131" si="77">IF(T$12=0,0,T129/T$12)</f>
        <v>2.2567133446883571E-2</v>
      </c>
      <c r="W129" s="1"/>
      <c r="X129" s="1">
        <f t="shared" ref="X129:X131" si="78">+P129-T129</f>
        <v>-2279.0099999999984</v>
      </c>
      <c r="Y129" s="1"/>
      <c r="Z129" s="5">
        <f t="shared" ref="Z129:Z131" si="79">IF(T129=0,0,X129/T129)</f>
        <v>-0.12377985856896112</v>
      </c>
    </row>
    <row r="130" spans="1:26" s="24" customFormat="1" hidden="1" outlineLevel="2" x14ac:dyDescent="0.3">
      <c r="A130" s="27"/>
      <c r="B130" s="11" t="str">
        <f>CONCATENATE("          ", "6253", " - ", "ROYALTY DUE ATHLETICS-LRG")</f>
        <v xml:space="preserve">          6253 - ROYALTY DUE ATHLETICS-LRG</v>
      </c>
      <c r="C130" s="11"/>
      <c r="D130" s="6"/>
      <c r="E130" s="2"/>
      <c r="F130" s="7">
        <f t="shared" si="72"/>
        <v>0</v>
      </c>
      <c r="G130" s="2"/>
      <c r="H130" s="6"/>
      <c r="I130" s="2"/>
      <c r="J130" s="7">
        <f t="shared" si="73"/>
        <v>0</v>
      </c>
      <c r="K130" s="2"/>
      <c r="L130" s="6">
        <f t="shared" si="74"/>
        <v>0</v>
      </c>
      <c r="M130" s="2"/>
      <c r="N130" s="7">
        <f t="shared" si="75"/>
        <v>0</v>
      </c>
      <c r="O130" s="11"/>
      <c r="P130" s="6">
        <v>23160.29</v>
      </c>
      <c r="Q130" s="2"/>
      <c r="R130" s="7">
        <f t="shared" si="76"/>
        <v>1.4141664844993507E-2</v>
      </c>
      <c r="S130" s="2"/>
      <c r="T130" s="6">
        <v>18411.8</v>
      </c>
      <c r="U130" s="2"/>
      <c r="V130" s="7">
        <f t="shared" si="77"/>
        <v>2.2567133446883571E-2</v>
      </c>
      <c r="W130" s="2"/>
      <c r="X130" s="6">
        <f t="shared" si="78"/>
        <v>4748.4900000000016</v>
      </c>
      <c r="Y130" s="2"/>
      <c r="Z130" s="7">
        <f t="shared" si="79"/>
        <v>0.25790471328169989</v>
      </c>
    </row>
    <row r="131" spans="1:26" s="24" customFormat="1" hidden="1" outlineLevel="2" x14ac:dyDescent="0.3">
      <c r="A131" s="27"/>
      <c r="B131" s="11" t="str">
        <f>CONCATENATE("          ", "6254", " - ", "ROYALTY &amp; COMMISSIONS")</f>
        <v xml:space="preserve">          6254 - ROYALTY &amp; COMMISSIONS</v>
      </c>
      <c r="C131" s="11"/>
      <c r="D131" s="6"/>
      <c r="E131" s="2"/>
      <c r="F131" s="7">
        <f t="shared" si="72"/>
        <v>0</v>
      </c>
      <c r="G131" s="2"/>
      <c r="H131" s="6"/>
      <c r="I131" s="2"/>
      <c r="J131" s="7">
        <f t="shared" si="73"/>
        <v>0</v>
      </c>
      <c r="K131" s="2"/>
      <c r="L131" s="6">
        <f t="shared" si="74"/>
        <v>0</v>
      </c>
      <c r="M131" s="2"/>
      <c r="N131" s="7">
        <f t="shared" si="75"/>
        <v>0</v>
      </c>
      <c r="O131" s="11"/>
      <c r="P131" s="6">
        <v>-7027.5</v>
      </c>
      <c r="Q131" s="2"/>
      <c r="R131" s="7">
        <f t="shared" si="76"/>
        <v>-4.29098900308208E-3</v>
      </c>
      <c r="S131" s="2"/>
      <c r="T131" s="6"/>
      <c r="U131" s="2"/>
      <c r="V131" s="7">
        <f t="shared" si="77"/>
        <v>0</v>
      </c>
      <c r="W131" s="2"/>
      <c r="X131" s="6">
        <f t="shared" si="78"/>
        <v>-7027.5</v>
      </c>
      <c r="Y131" s="2"/>
      <c r="Z131" s="7">
        <f t="shared" si="79"/>
        <v>0</v>
      </c>
    </row>
    <row r="132" spans="1:26" s="29" customFormat="1" outlineLevel="1" collapsed="1" x14ac:dyDescent="0.3">
      <c r="A132" s="28"/>
      <c r="B132" s="14" t="str">
        <f>CONCATENATE("     ","Services                                          ")</f>
        <v xml:space="preserve">     Services                                          </v>
      </c>
      <c r="C132" s="14"/>
      <c r="D132" s="1">
        <f>SUM(OSRRefD22_15x_0)</f>
        <v>162.72</v>
      </c>
      <c r="E132" s="1"/>
      <c r="F132" s="5">
        <f t="shared" ref="F132:F135" si="80">IF(D$12=0,0,D132/D$12)</f>
        <v>6.1337073567961956E-4</v>
      </c>
      <c r="G132" s="1"/>
      <c r="H132" s="1">
        <f>SUM(OSRRefH22_15x_0)</f>
        <v>-19.419999999999995</v>
      </c>
      <c r="I132" s="1"/>
      <c r="J132" s="5">
        <f t="shared" ref="J132:J135" si="81">IF(H$12=0,0,H132/H$12)</f>
        <v>-1.9256204796381488E-4</v>
      </c>
      <c r="K132" s="1"/>
      <c r="L132" s="1">
        <f t="shared" ref="L132:L135" si="82">+D132-H132</f>
        <v>182.14</v>
      </c>
      <c r="M132" s="1"/>
      <c r="N132" s="5">
        <f t="shared" ref="N132:N135" si="83">IF(H132=0,0,L132/H132)</f>
        <v>-9.3789907312049454</v>
      </c>
      <c r="O132" s="14"/>
      <c r="P132" s="1">
        <f>SUM(OSRRefP22_15x_0)</f>
        <v>806.47</v>
      </c>
      <c r="Q132" s="1"/>
      <c r="R132" s="5">
        <f t="shared" ref="R132:R135" si="84">IF(P$12=0,0,P132/P$12)</f>
        <v>4.9243029545579587E-4</v>
      </c>
      <c r="S132" s="1"/>
      <c r="T132" s="1">
        <f>SUM(OSRRefT22_15x_0)</f>
        <v>-31.590000000000146</v>
      </c>
      <c r="U132" s="1"/>
      <c r="V132" s="5">
        <f t="shared" ref="V132:V135" si="85">IF(T$12=0,0,T132/T$12)</f>
        <v>-3.8719503013668153E-5</v>
      </c>
      <c r="W132" s="1"/>
      <c r="X132" s="1">
        <f t="shared" ref="X132:X135" si="86">+P132-T132</f>
        <v>838.06000000000017</v>
      </c>
      <c r="Y132" s="1"/>
      <c r="Z132" s="5">
        <f t="shared" ref="Z132:Z135" si="87">IF(T132=0,0,X132/T132)</f>
        <v>-26.529281418170189</v>
      </c>
    </row>
    <row r="133" spans="1:26" s="24" customFormat="1" hidden="1" outlineLevel="2" x14ac:dyDescent="0.3">
      <c r="A133" s="27"/>
      <c r="B133" s="11" t="str">
        <f>CONCATENATE("          ", "6283", " - ", "PLANT SERVICE")</f>
        <v xml:space="preserve">          6283 - PLANT SERVICE</v>
      </c>
      <c r="C133" s="11"/>
      <c r="D133" s="6"/>
      <c r="E133" s="2"/>
      <c r="F133" s="7">
        <f t="shared" si="80"/>
        <v>0</v>
      </c>
      <c r="G133" s="2"/>
      <c r="H133" s="6">
        <v>41.31</v>
      </c>
      <c r="I133" s="2"/>
      <c r="J133" s="7">
        <f t="shared" si="81"/>
        <v>4.0961576732158577E-4</v>
      </c>
      <c r="K133" s="2"/>
      <c r="L133" s="6">
        <f t="shared" si="82"/>
        <v>-41.31</v>
      </c>
      <c r="M133" s="2"/>
      <c r="N133" s="7">
        <f t="shared" si="83"/>
        <v>-1</v>
      </c>
      <c r="O133" s="11"/>
      <c r="P133" s="6"/>
      <c r="Q133" s="2"/>
      <c r="R133" s="7">
        <f t="shared" si="84"/>
        <v>0</v>
      </c>
      <c r="S133" s="2"/>
      <c r="T133" s="6">
        <v>41.31</v>
      </c>
      <c r="U133" s="2"/>
      <c r="V133" s="7">
        <f t="shared" si="85"/>
        <v>5.0633196248642745E-5</v>
      </c>
      <c r="W133" s="2"/>
      <c r="X133" s="6">
        <f t="shared" si="86"/>
        <v>-41.31</v>
      </c>
      <c r="Y133" s="2"/>
      <c r="Z133" s="7">
        <f t="shared" si="87"/>
        <v>-1</v>
      </c>
    </row>
    <row r="134" spans="1:26" s="24" customFormat="1" hidden="1" outlineLevel="2" x14ac:dyDescent="0.3">
      <c r="A134" s="27"/>
      <c r="B134" s="11" t="str">
        <f>CONCATENATE("          ", "6284", " - ", "TRASH REMOVAL EXPENSE")</f>
        <v xml:space="preserve">          6284 - TRASH REMOVAL EXPENSE</v>
      </c>
      <c r="C134" s="11"/>
      <c r="D134" s="6">
        <v>149.69999999999999</v>
      </c>
      <c r="E134" s="2"/>
      <c r="F134" s="7">
        <f t="shared" si="80"/>
        <v>5.6429203005923698E-4</v>
      </c>
      <c r="G134" s="2"/>
      <c r="H134" s="6"/>
      <c r="I134" s="2"/>
      <c r="J134" s="7">
        <f t="shared" si="81"/>
        <v>0</v>
      </c>
      <c r="K134" s="2"/>
      <c r="L134" s="6">
        <f t="shared" si="82"/>
        <v>149.69999999999999</v>
      </c>
      <c r="M134" s="2"/>
      <c r="N134" s="7">
        <f t="shared" si="83"/>
        <v>0</v>
      </c>
      <c r="O134" s="11"/>
      <c r="P134" s="6">
        <v>741.37</v>
      </c>
      <c r="Q134" s="2"/>
      <c r="R134" s="7">
        <f t="shared" si="84"/>
        <v>4.5268025858626282E-4</v>
      </c>
      <c r="S134" s="2"/>
      <c r="T134" s="6">
        <v>585.29999999999995</v>
      </c>
      <c r="U134" s="2"/>
      <c r="V134" s="7">
        <f t="shared" si="85"/>
        <v>7.1739554016777033E-4</v>
      </c>
      <c r="W134" s="2"/>
      <c r="X134" s="6">
        <f t="shared" si="86"/>
        <v>156.07000000000005</v>
      </c>
      <c r="Y134" s="2"/>
      <c r="Z134" s="7">
        <f t="shared" si="87"/>
        <v>0.26664958141124223</v>
      </c>
    </row>
    <row r="135" spans="1:26" s="24" customFormat="1" hidden="1" outlineLevel="2" x14ac:dyDescent="0.3">
      <c r="A135" s="27"/>
      <c r="B135" s="11" t="str">
        <f>CONCATENATE("          ", "6285", " - ", "JANITORIAL SERVICES")</f>
        <v xml:space="preserve">          6285 - JANITORIAL SERVICES</v>
      </c>
      <c r="C135" s="11"/>
      <c r="D135" s="6">
        <v>13.02</v>
      </c>
      <c r="E135" s="2"/>
      <c r="F135" s="7">
        <f t="shared" si="80"/>
        <v>4.9078705620382538E-5</v>
      </c>
      <c r="G135" s="2"/>
      <c r="H135" s="6">
        <v>-60.73</v>
      </c>
      <c r="I135" s="2"/>
      <c r="J135" s="7">
        <f t="shared" si="81"/>
        <v>-6.0217781528540068E-4</v>
      </c>
      <c r="K135" s="2"/>
      <c r="L135" s="6">
        <f t="shared" si="82"/>
        <v>73.75</v>
      </c>
      <c r="M135" s="2"/>
      <c r="N135" s="7">
        <f t="shared" si="83"/>
        <v>-1.2143915692409024</v>
      </c>
      <c r="O135" s="11"/>
      <c r="P135" s="6">
        <v>65.099999999999994</v>
      </c>
      <c r="Q135" s="2"/>
      <c r="R135" s="7">
        <f t="shared" si="84"/>
        <v>3.9750036869533031E-5</v>
      </c>
      <c r="S135" s="2"/>
      <c r="T135" s="6">
        <v>-658.2</v>
      </c>
      <c r="U135" s="2"/>
      <c r="V135" s="7">
        <f t="shared" si="85"/>
        <v>-8.0674823943008116E-4</v>
      </c>
      <c r="W135" s="2"/>
      <c r="X135" s="6">
        <f t="shared" si="86"/>
        <v>723.30000000000007</v>
      </c>
      <c r="Y135" s="2"/>
      <c r="Z135" s="7">
        <f t="shared" si="87"/>
        <v>-1.0989061075660893</v>
      </c>
    </row>
    <row r="136" spans="1:26" s="29" customFormat="1" outlineLevel="1" collapsed="1" x14ac:dyDescent="0.3">
      <c r="A136" s="28"/>
      <c r="B136" s="14" t="str">
        <f>CONCATENATE("     ","Subscriptions &amp; Dues                              ")</f>
        <v xml:space="preserve">     Subscriptions &amp; Dues                              </v>
      </c>
      <c r="C136" s="14"/>
      <c r="D136" s="1">
        <f>SUM(OSRRefD22_16x_0)</f>
        <v>0</v>
      </c>
      <c r="E136" s="1"/>
      <c r="F136" s="5">
        <f t="shared" ref="F136:F138" si="88">IF(D$12=0,0,D136/D$12)</f>
        <v>0</v>
      </c>
      <c r="G136" s="1"/>
      <c r="H136" s="1">
        <f>SUM(OSRRefH22_16x_0)</f>
        <v>-441</v>
      </c>
      <c r="I136" s="1"/>
      <c r="J136" s="5">
        <f t="shared" ref="J136:J138" si="89">IF(H$12=0,0,H136/H$12)</f>
        <v>-4.3728044877467762E-3</v>
      </c>
      <c r="K136" s="1"/>
      <c r="L136" s="1">
        <f t="shared" ref="L136:L138" si="90">+D136-H136</f>
        <v>441</v>
      </c>
      <c r="M136" s="1"/>
      <c r="N136" s="5">
        <f t="shared" ref="N136:N138" si="91">IF(H136=0,0,L136/H136)</f>
        <v>-1</v>
      </c>
      <c r="O136" s="14"/>
      <c r="P136" s="1">
        <f>SUM(OSRRefP22_16x_0)</f>
        <v>0</v>
      </c>
      <c r="Q136" s="1"/>
      <c r="R136" s="5">
        <f t="shared" ref="R136:R138" si="92">IF(P$12=0,0,P136/P$12)</f>
        <v>0</v>
      </c>
      <c r="S136" s="1"/>
      <c r="T136" s="1">
        <f>SUM(OSRRefT22_16x_0)</f>
        <v>-215.27</v>
      </c>
      <c r="U136" s="1"/>
      <c r="V136" s="5">
        <f t="shared" ref="V136:V138" si="93">IF(T$12=0,0,T136/T$12)</f>
        <v>-2.6385398587376721E-4</v>
      </c>
      <c r="W136" s="1"/>
      <c r="X136" s="1">
        <f t="shared" ref="X136:X138" si="94">+P136-T136</f>
        <v>215.27</v>
      </c>
      <c r="Y136" s="1"/>
      <c r="Z136" s="5">
        <f t="shared" ref="Z136:Z138" si="95">IF(T136=0,0,X136/T136)</f>
        <v>-1</v>
      </c>
    </row>
    <row r="137" spans="1:26" s="24" customFormat="1" hidden="1" outlineLevel="2" x14ac:dyDescent="0.3">
      <c r="A137" s="27"/>
      <c r="B137" s="11" t="str">
        <f>CONCATENATE("          ", "6258", " - ", "MEMBERSHIP DUES")</f>
        <v xml:space="preserve">          6258 - MEMBERSHIP DUES</v>
      </c>
      <c r="C137" s="11"/>
      <c r="D137" s="6"/>
      <c r="E137" s="2"/>
      <c r="F137" s="7">
        <f t="shared" si="88"/>
        <v>0</v>
      </c>
      <c r="G137" s="2"/>
      <c r="H137" s="6">
        <v>-441</v>
      </c>
      <c r="I137" s="2"/>
      <c r="J137" s="7">
        <f t="shared" si="89"/>
        <v>-4.3728044877467762E-3</v>
      </c>
      <c r="K137" s="2"/>
      <c r="L137" s="6">
        <f t="shared" si="90"/>
        <v>441</v>
      </c>
      <c r="M137" s="2"/>
      <c r="N137" s="7">
        <f t="shared" si="91"/>
        <v>-1</v>
      </c>
      <c r="O137" s="11"/>
      <c r="P137" s="6"/>
      <c r="Q137" s="2"/>
      <c r="R137" s="7">
        <f t="shared" si="92"/>
        <v>0</v>
      </c>
      <c r="S137" s="2"/>
      <c r="T137" s="6">
        <v>-441</v>
      </c>
      <c r="U137" s="2"/>
      <c r="V137" s="7">
        <f t="shared" si="93"/>
        <v>-5.4052867454978091E-4</v>
      </c>
      <c r="W137" s="2"/>
      <c r="X137" s="6">
        <f t="shared" si="94"/>
        <v>441</v>
      </c>
      <c r="Y137" s="2"/>
      <c r="Z137" s="7">
        <f t="shared" si="95"/>
        <v>-1</v>
      </c>
    </row>
    <row r="138" spans="1:26" s="24" customFormat="1" hidden="1" outlineLevel="2" x14ac:dyDescent="0.3">
      <c r="A138" s="27"/>
      <c r="B138" s="11" t="str">
        <f>CONCATENATE("          ", "6275", " - ", "SUBSCRIPTIONS")</f>
        <v xml:space="preserve">          6275 - SUBSCRIPTIONS</v>
      </c>
      <c r="C138" s="11"/>
      <c r="D138" s="6"/>
      <c r="E138" s="2"/>
      <c r="F138" s="7">
        <f t="shared" si="88"/>
        <v>0</v>
      </c>
      <c r="G138" s="2"/>
      <c r="H138" s="6"/>
      <c r="I138" s="2"/>
      <c r="J138" s="7">
        <f t="shared" si="89"/>
        <v>0</v>
      </c>
      <c r="K138" s="2"/>
      <c r="L138" s="6">
        <f t="shared" si="90"/>
        <v>0</v>
      </c>
      <c r="M138" s="2"/>
      <c r="N138" s="7">
        <f t="shared" si="91"/>
        <v>0</v>
      </c>
      <c r="O138" s="11"/>
      <c r="P138" s="6"/>
      <c r="Q138" s="2"/>
      <c r="R138" s="7">
        <f t="shared" si="92"/>
        <v>0</v>
      </c>
      <c r="S138" s="2"/>
      <c r="T138" s="6">
        <v>225.73</v>
      </c>
      <c r="U138" s="2"/>
      <c r="V138" s="7">
        <f t="shared" si="93"/>
        <v>2.766746886760137E-4</v>
      </c>
      <c r="W138" s="2"/>
      <c r="X138" s="6">
        <f t="shared" si="94"/>
        <v>-225.73</v>
      </c>
      <c r="Y138" s="2"/>
      <c r="Z138" s="7">
        <f t="shared" si="95"/>
        <v>-1</v>
      </c>
    </row>
    <row r="139" spans="1:26" s="29" customFormat="1" outlineLevel="1" collapsed="1" x14ac:dyDescent="0.3">
      <c r="A139" s="28"/>
      <c r="B139" s="14" t="str">
        <f>CONCATENATE("     ","Supplies                                          ")</f>
        <v xml:space="preserve">     Supplies                                          </v>
      </c>
      <c r="C139" s="14"/>
      <c r="D139" s="1">
        <f>SUM(OSRRefD22_17x_0)</f>
        <v>162.06</v>
      </c>
      <c r="E139" s="1"/>
      <c r="F139" s="5">
        <f t="shared" ref="F139:F143" si="96">IF(D$12=0,0,D139/D$12)</f>
        <v>6.1088287502605182E-4</v>
      </c>
      <c r="G139" s="1"/>
      <c r="H139" s="1">
        <f>SUM(OSRRefH22_17x_0)</f>
        <v>417.95</v>
      </c>
      <c r="I139" s="1"/>
      <c r="J139" s="5">
        <f t="shared" ref="J139:J143" si="97">IF(H$12=0,0,H139/H$12)</f>
        <v>4.144248606924637E-3</v>
      </c>
      <c r="K139" s="1"/>
      <c r="L139" s="1">
        <f t="shared" ref="L139:L143" si="98">+D139-H139</f>
        <v>-255.89</v>
      </c>
      <c r="M139" s="1"/>
      <c r="N139" s="5">
        <f t="shared" ref="N139:N143" si="99">IF(H139=0,0,L139/H139)</f>
        <v>-0.61225026917095349</v>
      </c>
      <c r="O139" s="14"/>
      <c r="P139" s="1">
        <f>SUM(OSRRefP22_17x_0)</f>
        <v>7634.82</v>
      </c>
      <c r="Q139" s="1"/>
      <c r="R139" s="5">
        <f t="shared" ref="R139:R143" si="100">IF(P$12=0,0,P139/P$12)</f>
        <v>4.6618183792972081E-3</v>
      </c>
      <c r="S139" s="1"/>
      <c r="T139" s="1">
        <f>SUM(OSRRefT22_17x_0)</f>
        <v>2186.96</v>
      </c>
      <c r="U139" s="1"/>
      <c r="V139" s="5">
        <f t="shared" ref="V139:V143" si="101">IF(T$12=0,0,T139/T$12)</f>
        <v>2.6805319503251449E-3</v>
      </c>
      <c r="W139" s="1"/>
      <c r="X139" s="1">
        <f t="shared" ref="X139:X143" si="102">+P139-T139</f>
        <v>5447.86</v>
      </c>
      <c r="Y139" s="1"/>
      <c r="Z139" s="5">
        <f t="shared" ref="Z139:Z143" si="103">IF(T139=0,0,X139/T139)</f>
        <v>2.4910652229578956</v>
      </c>
    </row>
    <row r="140" spans="1:26" s="24" customFormat="1" hidden="1" outlineLevel="2" x14ac:dyDescent="0.3">
      <c r="A140" s="27"/>
      <c r="B140" s="11" t="str">
        <f>CONCATENATE("          ", "6235", " - ", "COVID-19 EXPENSES")</f>
        <v xml:space="preserve">          6235 - COVID-19 EXPENSES</v>
      </c>
      <c r="C140" s="11"/>
      <c r="D140" s="6"/>
      <c r="E140" s="2"/>
      <c r="F140" s="7">
        <f t="shared" si="96"/>
        <v>0</v>
      </c>
      <c r="G140" s="2"/>
      <c r="H140" s="6">
        <v>65.05</v>
      </c>
      <c r="I140" s="2"/>
      <c r="J140" s="7">
        <f t="shared" si="97"/>
        <v>6.4501345108373639E-4</v>
      </c>
      <c r="K140" s="2"/>
      <c r="L140" s="6">
        <f t="shared" si="98"/>
        <v>-65.05</v>
      </c>
      <c r="M140" s="2"/>
      <c r="N140" s="7">
        <f t="shared" si="99"/>
        <v>-1</v>
      </c>
      <c r="O140" s="11"/>
      <c r="P140" s="6"/>
      <c r="Q140" s="2"/>
      <c r="R140" s="7">
        <f t="shared" si="100"/>
        <v>0</v>
      </c>
      <c r="S140" s="2"/>
      <c r="T140" s="6">
        <v>1292.1300000000001</v>
      </c>
      <c r="U140" s="2"/>
      <c r="V140" s="7">
        <f t="shared" si="101"/>
        <v>1.5837490164308582E-3</v>
      </c>
      <c r="W140" s="2"/>
      <c r="X140" s="6">
        <f t="shared" si="102"/>
        <v>-1292.1300000000001</v>
      </c>
      <c r="Y140" s="2"/>
      <c r="Z140" s="7">
        <f t="shared" si="103"/>
        <v>-1</v>
      </c>
    </row>
    <row r="141" spans="1:26" s="24" customFormat="1" hidden="1" outlineLevel="2" x14ac:dyDescent="0.3">
      <c r="A141" s="27"/>
      <c r="B141" s="11" t="str">
        <f>CONCATENATE("          ", "6237", " - ", "JANITORIAL SUPPLIES")</f>
        <v xml:space="preserve">          6237 - JANITORIAL SUPPLIES</v>
      </c>
      <c r="C141" s="11"/>
      <c r="D141" s="6"/>
      <c r="E141" s="2"/>
      <c r="F141" s="7">
        <f t="shared" si="96"/>
        <v>0</v>
      </c>
      <c r="G141" s="2"/>
      <c r="H141" s="6"/>
      <c r="I141" s="2"/>
      <c r="J141" s="7">
        <f t="shared" si="97"/>
        <v>0</v>
      </c>
      <c r="K141" s="2"/>
      <c r="L141" s="6">
        <f t="shared" si="98"/>
        <v>0</v>
      </c>
      <c r="M141" s="2"/>
      <c r="N141" s="7">
        <f t="shared" si="99"/>
        <v>0</v>
      </c>
      <c r="O141" s="11"/>
      <c r="P141" s="6">
        <v>77.17</v>
      </c>
      <c r="Q141" s="2"/>
      <c r="R141" s="7">
        <f t="shared" si="100"/>
        <v>4.7119974580981022E-5</v>
      </c>
      <c r="S141" s="2"/>
      <c r="T141" s="6">
        <v>191.74</v>
      </c>
      <c r="U141" s="2"/>
      <c r="V141" s="7">
        <f t="shared" si="101"/>
        <v>2.3501353301173466E-4</v>
      </c>
      <c r="W141" s="2"/>
      <c r="X141" s="6">
        <f t="shared" si="102"/>
        <v>-114.57000000000001</v>
      </c>
      <c r="Y141" s="2"/>
      <c r="Z141" s="7">
        <f t="shared" si="103"/>
        <v>-0.59752790236778974</v>
      </c>
    </row>
    <row r="142" spans="1:26" s="24" customFormat="1" hidden="1" outlineLevel="2" x14ac:dyDescent="0.3">
      <c r="A142" s="27"/>
      <c r="B142" s="11" t="str">
        <f>CONCATENATE("          ", "6241", " - ", "OFFICE EXPENSE")</f>
        <v xml:space="preserve">          6241 - OFFICE EXPENSE</v>
      </c>
      <c r="C142" s="11"/>
      <c r="D142" s="6">
        <v>164.36</v>
      </c>
      <c r="E142" s="2"/>
      <c r="F142" s="7">
        <f t="shared" si="96"/>
        <v>6.195526924551517E-4</v>
      </c>
      <c r="G142" s="2"/>
      <c r="H142" s="6">
        <v>352.9</v>
      </c>
      <c r="I142" s="2"/>
      <c r="J142" s="7">
        <f t="shared" si="97"/>
        <v>3.4992351558409004E-3</v>
      </c>
      <c r="K142" s="2"/>
      <c r="L142" s="6">
        <f t="shared" si="98"/>
        <v>-188.53999999999996</v>
      </c>
      <c r="M142" s="2"/>
      <c r="N142" s="7">
        <f t="shared" si="99"/>
        <v>-0.53425899688296963</v>
      </c>
      <c r="O142" s="11"/>
      <c r="P142" s="6">
        <v>927.48</v>
      </c>
      <c r="Q142" s="2"/>
      <c r="R142" s="7">
        <f t="shared" si="100"/>
        <v>5.6631895846013061E-4</v>
      </c>
      <c r="S142" s="2"/>
      <c r="T142" s="6">
        <v>516.38</v>
      </c>
      <c r="U142" s="2"/>
      <c r="V142" s="7">
        <f t="shared" si="101"/>
        <v>6.3292108155105632E-4</v>
      </c>
      <c r="W142" s="2"/>
      <c r="X142" s="6">
        <f t="shared" si="102"/>
        <v>411.1</v>
      </c>
      <c r="Y142" s="2"/>
      <c r="Z142" s="7">
        <f t="shared" si="103"/>
        <v>0.79611913706959991</v>
      </c>
    </row>
    <row r="143" spans="1:26" s="24" customFormat="1" hidden="1" outlineLevel="2" x14ac:dyDescent="0.3">
      <c r="A143" s="27"/>
      <c r="B143" s="11" t="str">
        <f>CONCATENATE("          ", "6247", " - ", "STORE SUPPLIES")</f>
        <v xml:space="preserve">          6247 - STORE SUPPLIES</v>
      </c>
      <c r="C143" s="11"/>
      <c r="D143" s="6">
        <v>-2.2999999999999998</v>
      </c>
      <c r="E143" s="2"/>
      <c r="F143" s="7">
        <f t="shared" si="96"/>
        <v>-8.669817429099833E-6</v>
      </c>
      <c r="G143" s="2"/>
      <c r="H143" s="6"/>
      <c r="I143" s="2"/>
      <c r="J143" s="7">
        <f t="shared" si="97"/>
        <v>0</v>
      </c>
      <c r="K143" s="2"/>
      <c r="L143" s="6">
        <f t="shared" si="98"/>
        <v>-2.2999999999999998</v>
      </c>
      <c r="M143" s="2"/>
      <c r="N143" s="7">
        <f t="shared" si="99"/>
        <v>0</v>
      </c>
      <c r="O143" s="11"/>
      <c r="P143" s="6">
        <v>6630.17</v>
      </c>
      <c r="Q143" s="2"/>
      <c r="R143" s="7">
        <f t="shared" si="100"/>
        <v>4.0483794462560967E-3</v>
      </c>
      <c r="S143" s="2"/>
      <c r="T143" s="6">
        <v>186.71</v>
      </c>
      <c r="U143" s="2"/>
      <c r="V143" s="7">
        <f t="shared" si="101"/>
        <v>2.2884831933149568E-4</v>
      </c>
      <c r="W143" s="2"/>
      <c r="X143" s="6">
        <f t="shared" si="102"/>
        <v>6443.46</v>
      </c>
      <c r="Y143" s="2"/>
      <c r="Z143" s="7">
        <f t="shared" si="103"/>
        <v>34.510524342563329</v>
      </c>
    </row>
    <row r="144" spans="1:26" s="29" customFormat="1" outlineLevel="1" collapsed="1" x14ac:dyDescent="0.3">
      <c r="A144" s="28"/>
      <c r="B144" s="14" t="str">
        <f>CONCATENATE("     ","Telephone/Data Lines                              ")</f>
        <v xml:space="preserve">     Telephone/Data Lines                              </v>
      </c>
      <c r="C144" s="14"/>
      <c r="D144" s="1">
        <f>SUM(OSRRefD22_18x_0)</f>
        <v>546.69000000000005</v>
      </c>
      <c r="E144" s="1"/>
      <c r="F144" s="5">
        <f t="shared" ref="F144:F149" si="104">IF(D$12=0,0,D144/D$12)</f>
        <v>2.0607402131802557E-3</v>
      </c>
      <c r="G144" s="1"/>
      <c r="H144" s="1">
        <f>SUM(OSRRefH22_18x_0)</f>
        <v>563.03</v>
      </c>
      <c r="I144" s="1"/>
      <c r="J144" s="5">
        <f t="shared" ref="J144:J149" si="105">IF(H$12=0,0,H144/H$12)</f>
        <v>5.5828120424854131E-3</v>
      </c>
      <c r="K144" s="1"/>
      <c r="L144" s="1">
        <f t="shared" ref="L144:L149" si="106">+D144-H144</f>
        <v>-16.339999999999918</v>
      </c>
      <c r="M144" s="1"/>
      <c r="N144" s="5">
        <f t="shared" ref="N144:N149" si="107">IF(H144=0,0,L144/H144)</f>
        <v>-2.9021544145072055E-2</v>
      </c>
      <c r="O144" s="14"/>
      <c r="P144" s="1">
        <f>SUM(OSRRefP22_18x_0)</f>
        <v>2623.65</v>
      </c>
      <c r="Q144" s="1"/>
      <c r="R144" s="5">
        <f t="shared" ref="R144:R149" si="108">IF(P$12=0,0,P144/P$12)</f>
        <v>1.6019997577995447E-3</v>
      </c>
      <c r="S144" s="1"/>
      <c r="T144" s="1">
        <f>SUM(OSRRefT22_18x_0)</f>
        <v>3936.12</v>
      </c>
      <c r="U144" s="1"/>
      <c r="V144" s="5">
        <f t="shared" ref="V144:V149" si="109">IF(T$12=0,0,T144/T$12)</f>
        <v>4.8244574296346567E-3</v>
      </c>
      <c r="W144" s="1"/>
      <c r="X144" s="1">
        <f t="shared" ref="X144:X149" si="110">+P144-T144</f>
        <v>-1312.4699999999998</v>
      </c>
      <c r="Y144" s="1"/>
      <c r="Z144" s="5">
        <f t="shared" ref="Z144:Z149" si="111">IF(T144=0,0,X144/T144)</f>
        <v>-0.33344257797018378</v>
      </c>
    </row>
    <row r="145" spans="1:26" s="24" customFormat="1" hidden="1" outlineLevel="2" x14ac:dyDescent="0.3">
      <c r="A145" s="27"/>
      <c r="B145" s="11" t="str">
        <f>CONCATENATE("          ", "6309", " - ", "TELEPHONE")</f>
        <v xml:space="preserve">          6309 - TELEPHONE</v>
      </c>
      <c r="C145" s="11"/>
      <c r="D145" s="6">
        <v>546.69000000000005</v>
      </c>
      <c r="E145" s="2"/>
      <c r="F145" s="7">
        <f t="shared" si="104"/>
        <v>2.0607402131802557E-3</v>
      </c>
      <c r="G145" s="2"/>
      <c r="H145" s="6">
        <v>563.03</v>
      </c>
      <c r="I145" s="2"/>
      <c r="J145" s="7">
        <f t="shared" si="105"/>
        <v>5.5828120424854131E-3</v>
      </c>
      <c r="K145" s="2"/>
      <c r="L145" s="6">
        <f t="shared" si="106"/>
        <v>-16.339999999999918</v>
      </c>
      <c r="M145" s="2"/>
      <c r="N145" s="7">
        <f t="shared" si="107"/>
        <v>-2.9021544145072055E-2</v>
      </c>
      <c r="O145" s="11"/>
      <c r="P145" s="6">
        <v>2623.65</v>
      </c>
      <c r="Q145" s="2"/>
      <c r="R145" s="7">
        <f t="shared" si="108"/>
        <v>1.6019997577995447E-3</v>
      </c>
      <c r="S145" s="2"/>
      <c r="T145" s="6">
        <v>3936.12</v>
      </c>
      <c r="U145" s="2"/>
      <c r="V145" s="7">
        <f t="shared" si="109"/>
        <v>4.8244574296346567E-3</v>
      </c>
      <c r="W145" s="2"/>
      <c r="X145" s="6">
        <f t="shared" si="110"/>
        <v>-1312.4699999999998</v>
      </c>
      <c r="Y145" s="2"/>
      <c r="Z145" s="7">
        <f t="shared" si="111"/>
        <v>-0.33344257797018378</v>
      </c>
    </row>
    <row r="146" spans="1:26" s="29" customFormat="1" outlineLevel="1" collapsed="1" x14ac:dyDescent="0.3">
      <c r="A146" s="28"/>
      <c r="B146" s="14" t="str">
        <f>CONCATENATE("     ","Travel                                            ")</f>
        <v xml:space="preserve">     Travel                                            </v>
      </c>
      <c r="C146" s="14"/>
      <c r="D146" s="1">
        <f>SUM(OSRRefD22_19x_0)</f>
        <v>0</v>
      </c>
      <c r="E146" s="1"/>
      <c r="F146" s="5">
        <f t="shared" si="104"/>
        <v>0</v>
      </c>
      <c r="G146" s="1"/>
      <c r="H146" s="1">
        <f>SUM(OSRRefH22_19x_0)</f>
        <v>0</v>
      </c>
      <c r="I146" s="1"/>
      <c r="J146" s="5">
        <f t="shared" si="105"/>
        <v>0</v>
      </c>
      <c r="K146" s="1"/>
      <c r="L146" s="1">
        <f t="shared" si="106"/>
        <v>0</v>
      </c>
      <c r="M146" s="1"/>
      <c r="N146" s="5">
        <f t="shared" si="107"/>
        <v>0</v>
      </c>
      <c r="O146" s="14"/>
      <c r="P146" s="1">
        <f>SUM(OSRRefP22_19x_0)</f>
        <v>215.53</v>
      </c>
      <c r="Q146" s="1"/>
      <c r="R146" s="5">
        <f t="shared" si="108"/>
        <v>1.3160254142074432E-4</v>
      </c>
      <c r="S146" s="1"/>
      <c r="T146" s="1">
        <f>SUM(OSRRefT22_19x_0)</f>
        <v>321.88</v>
      </c>
      <c r="U146" s="1"/>
      <c r="V146" s="5">
        <f t="shared" si="109"/>
        <v>3.9452464799111898E-4</v>
      </c>
      <c r="W146" s="1"/>
      <c r="X146" s="1">
        <f t="shared" si="110"/>
        <v>-106.35</v>
      </c>
      <c r="Y146" s="1"/>
      <c r="Z146" s="5">
        <f t="shared" si="111"/>
        <v>-0.33040263452218216</v>
      </c>
    </row>
    <row r="147" spans="1:26" s="24" customFormat="1" hidden="1" outlineLevel="2" x14ac:dyDescent="0.3">
      <c r="A147" s="27"/>
      <c r="B147" s="11" t="str">
        <f>CONCATENATE("          ", "6294", " - ", "TRAVEL OPERATIONAL")</f>
        <v xml:space="preserve">          6294 - TRAVEL OPERATIONAL</v>
      </c>
      <c r="C147" s="11"/>
      <c r="D147" s="6"/>
      <c r="E147" s="2"/>
      <c r="F147" s="7">
        <f t="shared" si="104"/>
        <v>0</v>
      </c>
      <c r="G147" s="2"/>
      <c r="H147" s="6"/>
      <c r="I147" s="2"/>
      <c r="J147" s="7">
        <f t="shared" si="105"/>
        <v>0</v>
      </c>
      <c r="K147" s="2"/>
      <c r="L147" s="6">
        <f t="shared" si="106"/>
        <v>0</v>
      </c>
      <c r="M147" s="2"/>
      <c r="N147" s="7">
        <f t="shared" si="107"/>
        <v>0</v>
      </c>
      <c r="O147" s="11"/>
      <c r="P147" s="6">
        <v>215.53</v>
      </c>
      <c r="Q147" s="2"/>
      <c r="R147" s="7">
        <f t="shared" si="108"/>
        <v>1.3160254142074432E-4</v>
      </c>
      <c r="S147" s="2"/>
      <c r="T147" s="6">
        <v>321.88</v>
      </c>
      <c r="U147" s="2"/>
      <c r="V147" s="7">
        <f t="shared" si="109"/>
        <v>3.9452464799111898E-4</v>
      </c>
      <c r="W147" s="2"/>
      <c r="X147" s="6">
        <f t="shared" si="110"/>
        <v>-106.35</v>
      </c>
      <c r="Y147" s="2"/>
      <c r="Z147" s="7">
        <f t="shared" si="111"/>
        <v>-0.33040263452218216</v>
      </c>
    </row>
    <row r="148" spans="1:26" s="29" customFormat="1" outlineLevel="1" collapsed="1" x14ac:dyDescent="0.3">
      <c r="A148" s="28"/>
      <c r="B148" s="14" t="str">
        <f>CONCATENATE("     ","Utilities                                         ")</f>
        <v xml:space="preserve">     Utilities                                         </v>
      </c>
      <c r="C148" s="14"/>
      <c r="D148" s="1">
        <f>SUM(OSRRefD22_20x_0)</f>
        <v>33.61</v>
      </c>
      <c r="E148" s="1"/>
      <c r="F148" s="5">
        <f t="shared" si="104"/>
        <v>1.2669241904001975E-4</v>
      </c>
      <c r="G148" s="1"/>
      <c r="H148" s="1">
        <f>SUM(OSRRefH22_20x_0)</f>
        <v>17.38</v>
      </c>
      <c r="I148" s="1"/>
      <c r="J148" s="5">
        <f t="shared" si="105"/>
        <v>1.7233410883682305E-4</v>
      </c>
      <c r="K148" s="1"/>
      <c r="L148" s="1">
        <f t="shared" si="106"/>
        <v>16.23</v>
      </c>
      <c r="M148" s="1"/>
      <c r="N148" s="5">
        <f t="shared" si="107"/>
        <v>0.93383199079401624</v>
      </c>
      <c r="O148" s="14"/>
      <c r="P148" s="1">
        <f>SUM(OSRRefP22_20x_0)</f>
        <v>183.59</v>
      </c>
      <c r="Q148" s="1"/>
      <c r="R148" s="5">
        <f t="shared" si="108"/>
        <v>1.1209998876924072E-4</v>
      </c>
      <c r="S148" s="1"/>
      <c r="T148" s="1">
        <f>SUM(OSRRefT22_20x_0)</f>
        <v>101.79</v>
      </c>
      <c r="U148" s="1"/>
      <c r="V148" s="5">
        <f t="shared" si="109"/>
        <v>1.2476284304404126E-4</v>
      </c>
      <c r="W148" s="1"/>
      <c r="X148" s="1">
        <f t="shared" si="110"/>
        <v>81.8</v>
      </c>
      <c r="Y148" s="1"/>
      <c r="Z148" s="5">
        <f t="shared" si="111"/>
        <v>0.803615286373907</v>
      </c>
    </row>
    <row r="149" spans="1:26" s="24" customFormat="1" hidden="1" outlineLevel="2" x14ac:dyDescent="0.3">
      <c r="A149" s="27"/>
      <c r="B149" s="11" t="str">
        <f>CONCATENATE("          ", "6274", " - ", "UTILITIES")</f>
        <v xml:space="preserve">          6274 - UTILITIES</v>
      </c>
      <c r="C149" s="11"/>
      <c r="D149" s="6">
        <v>33.61</v>
      </c>
      <c r="E149" s="2"/>
      <c r="F149" s="7">
        <f t="shared" si="104"/>
        <v>1.2669241904001975E-4</v>
      </c>
      <c r="G149" s="2"/>
      <c r="H149" s="6">
        <v>17.38</v>
      </c>
      <c r="I149" s="2"/>
      <c r="J149" s="7">
        <f t="shared" si="105"/>
        <v>1.7233410883682305E-4</v>
      </c>
      <c r="K149" s="2"/>
      <c r="L149" s="6">
        <f t="shared" si="106"/>
        <v>16.23</v>
      </c>
      <c r="M149" s="2"/>
      <c r="N149" s="7">
        <f t="shared" si="107"/>
        <v>0.93383199079401624</v>
      </c>
      <c r="O149" s="11"/>
      <c r="P149" s="6">
        <v>183.59</v>
      </c>
      <c r="Q149" s="2"/>
      <c r="R149" s="7">
        <f t="shared" si="108"/>
        <v>1.1209998876924072E-4</v>
      </c>
      <c r="S149" s="2"/>
      <c r="T149" s="6">
        <v>101.79</v>
      </c>
      <c r="U149" s="2"/>
      <c r="V149" s="7">
        <f t="shared" si="109"/>
        <v>1.2476284304404126E-4</v>
      </c>
      <c r="W149" s="2"/>
      <c r="X149" s="6">
        <f t="shared" si="110"/>
        <v>81.8</v>
      </c>
      <c r="Y149" s="2"/>
      <c r="Z149" s="7">
        <f t="shared" si="111"/>
        <v>0.803615286373907</v>
      </c>
    </row>
    <row r="150" spans="1:26" s="62" customFormat="1" x14ac:dyDescent="0.3">
      <c r="A150" s="37"/>
      <c r="B150" s="37"/>
      <c r="C150" s="37"/>
      <c r="D150" s="1"/>
      <c r="E150" s="1"/>
      <c r="F150" s="5"/>
      <c r="G150" s="1"/>
      <c r="H150" s="1"/>
      <c r="I150" s="1"/>
      <c r="J150" s="5"/>
      <c r="K150" s="1"/>
      <c r="L150" s="1"/>
      <c r="M150" s="1"/>
      <c r="N150" s="5"/>
      <c r="O150" s="37"/>
      <c r="P150" s="1"/>
      <c r="Q150" s="1"/>
      <c r="R150" s="5"/>
      <c r="S150" s="1"/>
      <c r="T150" s="1"/>
      <c r="U150" s="1"/>
      <c r="V150" s="5"/>
      <c r="W150" s="1"/>
      <c r="X150" s="1"/>
      <c r="Y150" s="1"/>
      <c r="Z150" s="5"/>
    </row>
    <row r="151" spans="1:26" s="23" customFormat="1" collapsed="1" x14ac:dyDescent="0.3">
      <c r="A151" s="10"/>
      <c r="B151" s="26" t="s">
        <v>292</v>
      </c>
      <c r="C151" s="10"/>
      <c r="D151" s="4">
        <f>SUM(OSRRefD25x_0)</f>
        <v>0</v>
      </c>
      <c r="E151" s="4"/>
      <c r="F151" s="12">
        <f t="shared" ref="F151:F153" si="112">IF(D$12=0,0,D151/D$12)</f>
        <v>0</v>
      </c>
      <c r="G151" s="4"/>
      <c r="H151" s="4">
        <f>SUM(OSRRefH25x_0)</f>
        <v>14886.94</v>
      </c>
      <c r="I151" s="4"/>
      <c r="J151" s="12">
        <f t="shared" ref="J151:J153" si="113">IF(H$12=0,0,H151/H$12)</f>
        <v>0.1476137824054807</v>
      </c>
      <c r="K151" s="4"/>
      <c r="L151" s="4">
        <f t="shared" ref="L151:L153" si="114">+D151-H151</f>
        <v>-14886.94</v>
      </c>
      <c r="M151" s="4"/>
      <c r="N151" s="12">
        <f t="shared" ref="N151:N153" si="115">IF(H151=0,0,L151/H151)</f>
        <v>-1</v>
      </c>
      <c r="O151" s="10"/>
      <c r="P151" s="4">
        <f>SUM(OSRRefP25x_0)</f>
        <v>119063.12</v>
      </c>
      <c r="Q151" s="4"/>
      <c r="R151" s="12">
        <f t="shared" ref="R151:R153" si="116">IF(P$12=0,0,P151/P$12)</f>
        <v>7.2699898768074284E-2</v>
      </c>
      <c r="S151" s="4"/>
      <c r="T151" s="4">
        <f>SUM(OSRRefT25x_0)</f>
        <v>207874.45</v>
      </c>
      <c r="U151" s="4"/>
      <c r="V151" s="12">
        <f t="shared" ref="V151:V153" si="117">IF(T$12=0,0,T151/T$12)</f>
        <v>0.25478934451533947</v>
      </c>
      <c r="W151" s="4"/>
      <c r="X151" s="4">
        <f t="shared" ref="X151:X153" si="118">+P151-T151</f>
        <v>-88811.330000000016</v>
      </c>
      <c r="Y151" s="4"/>
      <c r="Z151" s="12">
        <f t="shared" ref="Z151:Z153" si="119">IF(T151=0,0,X151/T151)</f>
        <v>-0.4272354298471987</v>
      </c>
    </row>
    <row r="152" spans="1:26" s="24" customFormat="1" hidden="1" outlineLevel="1" x14ac:dyDescent="0.3">
      <c r="A152" s="44"/>
      <c r="B152" s="11" t="str">
        <f>CONCATENATE("          ", "9150", " - ", "MISC. INCOME")</f>
        <v xml:space="preserve">          9150 - MISC. INCOME</v>
      </c>
      <c r="C152" s="11"/>
      <c r="D152" s="2">
        <f t="shared" ref="D152:D153" si="120">0</f>
        <v>0</v>
      </c>
      <c r="E152" s="2"/>
      <c r="F152" s="19">
        <f t="shared" si="112"/>
        <v>0</v>
      </c>
      <c r="G152" s="2"/>
      <c r="H152" s="2">
        <f>--145</f>
        <v>145</v>
      </c>
      <c r="I152" s="2"/>
      <c r="J152" s="19">
        <f t="shared" si="113"/>
        <v>1.4377701830459921E-3</v>
      </c>
      <c r="K152" s="2"/>
      <c r="L152" s="2">
        <f t="shared" si="114"/>
        <v>-145</v>
      </c>
      <c r="M152" s="2"/>
      <c r="N152" s="19">
        <f t="shared" si="115"/>
        <v>-1</v>
      </c>
      <c r="O152" s="11"/>
      <c r="P152" s="2">
        <f>--46314.92</f>
        <v>46314.92</v>
      </c>
      <c r="Q152" s="2"/>
      <c r="R152" s="19">
        <f t="shared" si="116"/>
        <v>2.8279873695998051E-2</v>
      </c>
      <c r="S152" s="2"/>
      <c r="T152" s="2">
        <f>--32468.61</f>
        <v>32468.61</v>
      </c>
      <c r="U152" s="2"/>
      <c r="V152" s="19">
        <f t="shared" si="117"/>
        <v>3.9796405278398554E-2</v>
      </c>
      <c r="W152" s="2"/>
      <c r="X152" s="2">
        <f t="shared" si="118"/>
        <v>13846.309999999998</v>
      </c>
      <c r="Y152" s="2"/>
      <c r="Z152" s="19">
        <f t="shared" si="119"/>
        <v>0.42645219490455544</v>
      </c>
    </row>
    <row r="153" spans="1:26" s="24" customFormat="1" hidden="1" outlineLevel="1" x14ac:dyDescent="0.3">
      <c r="A153" s="44"/>
      <c r="B153" s="11" t="str">
        <f>CONCATENATE("          ", "9163", " - ", "MISC. INCOME")</f>
        <v xml:space="preserve">          9163 - MISC. INCOME</v>
      </c>
      <c r="C153" s="11"/>
      <c r="D153" s="2">
        <f t="shared" si="120"/>
        <v>0</v>
      </c>
      <c r="E153" s="2"/>
      <c r="F153" s="19">
        <f t="shared" si="112"/>
        <v>0</v>
      </c>
      <c r="G153" s="2"/>
      <c r="H153" s="2">
        <f>--14741.94</f>
        <v>14741.94</v>
      </c>
      <c r="I153" s="2"/>
      <c r="J153" s="19">
        <f t="shared" si="113"/>
        <v>0.1461760122224347</v>
      </c>
      <c r="K153" s="2"/>
      <c r="L153" s="2">
        <f t="shared" si="114"/>
        <v>-14741.94</v>
      </c>
      <c r="M153" s="2"/>
      <c r="N153" s="19">
        <f t="shared" si="115"/>
        <v>-1</v>
      </c>
      <c r="O153" s="11"/>
      <c r="P153" s="2">
        <f>--72748.2</f>
        <v>72748.2</v>
      </c>
      <c r="Q153" s="2"/>
      <c r="R153" s="19">
        <f t="shared" si="116"/>
        <v>4.4420025072076243E-2</v>
      </c>
      <c r="S153" s="2"/>
      <c r="T153" s="2">
        <f>--175405.84</f>
        <v>175405.84</v>
      </c>
      <c r="U153" s="2"/>
      <c r="V153" s="19">
        <f t="shared" si="117"/>
        <v>0.21499293923694091</v>
      </c>
      <c r="W153" s="2"/>
      <c r="X153" s="2">
        <f t="shared" si="118"/>
        <v>-102657.64</v>
      </c>
      <c r="Y153" s="2"/>
      <c r="Z153" s="19">
        <f t="shared" si="119"/>
        <v>-0.58525782265858428</v>
      </c>
    </row>
    <row r="154" spans="1:26" x14ac:dyDescent="0.3">
      <c r="A154" s="9"/>
      <c r="B154" s="10"/>
      <c r="C154" s="10"/>
      <c r="D154" s="3"/>
      <c r="E154" s="3"/>
      <c r="F154" s="8"/>
      <c r="G154" s="3"/>
      <c r="H154" s="3"/>
      <c r="I154" s="3"/>
      <c r="J154" s="8"/>
      <c r="K154" s="3"/>
      <c r="L154" s="3"/>
      <c r="M154" s="3"/>
      <c r="N154" s="8"/>
      <c r="O154" s="10"/>
      <c r="P154" s="3"/>
      <c r="Q154" s="3"/>
      <c r="R154" s="8"/>
      <c r="S154" s="3"/>
      <c r="T154" s="3"/>
      <c r="U154" s="3"/>
      <c r="V154" s="8"/>
      <c r="W154" s="3"/>
      <c r="X154" s="3"/>
      <c r="Y154" s="3"/>
      <c r="Z154" s="8"/>
    </row>
    <row r="155" spans="1:26" s="23" customFormat="1" x14ac:dyDescent="0.3">
      <c r="A155" s="10"/>
      <c r="B155" s="25" t="s">
        <v>276</v>
      </c>
      <c r="C155" s="25"/>
      <c r="D155" s="21">
        <f>+D82-D84+D151</f>
        <v>59992.430000000051</v>
      </c>
      <c r="E155" s="13"/>
      <c r="F155" s="22">
        <f>IF(D$12=0,0,D155/D$12)</f>
        <v>0.22614061531654442</v>
      </c>
      <c r="G155" s="13"/>
      <c r="H155" s="21">
        <f>+H82-H84+H151</f>
        <v>4607.2500000000418</v>
      </c>
      <c r="I155" s="13"/>
      <c r="J155" s="22">
        <f>IF(H$12=0,0,H155/H$12)</f>
        <v>4.5683908109232466E-2</v>
      </c>
      <c r="K155" s="16"/>
      <c r="L155" s="21">
        <f>+D155-H155</f>
        <v>55385.180000000008</v>
      </c>
      <c r="M155" s="16"/>
      <c r="N155" s="22">
        <f>IF(H155=0,0,L155/H155)</f>
        <v>12.021309892017907</v>
      </c>
      <c r="O155" s="26"/>
      <c r="P155" s="21">
        <f>+P82-P84+P151</f>
        <v>485023.26000000036</v>
      </c>
      <c r="Q155" s="13"/>
      <c r="R155" s="22">
        <f>IF(P$12=0,0,P155/P$12)</f>
        <v>0.29615503022398038</v>
      </c>
      <c r="S155" s="13"/>
      <c r="T155" s="21">
        <f>+T82-T84+T151</f>
        <v>207273.20000000019</v>
      </c>
      <c r="U155" s="13"/>
      <c r="V155" s="22">
        <f>IF(T$12=0,0,T155/T$12)</f>
        <v>0.2540523992419314</v>
      </c>
      <c r="W155" s="16"/>
      <c r="X155" s="21">
        <f>+P155-T155</f>
        <v>277750.06000000017</v>
      </c>
      <c r="Y155" s="16"/>
      <c r="Z155" s="22">
        <f>IF(T155=0,0,X155/T155)</f>
        <v>1.3400191631141891</v>
      </c>
    </row>
    <row r="156" spans="1:26" x14ac:dyDescent="0.3">
      <c r="A156" s="9"/>
      <c r="B156" s="10"/>
      <c r="C156" s="9"/>
      <c r="D156" s="3"/>
      <c r="E156" s="3"/>
      <c r="F156" s="8"/>
      <c r="G156" s="3"/>
      <c r="H156" s="3"/>
      <c r="I156" s="3"/>
      <c r="J156" s="8"/>
      <c r="K156" s="3"/>
      <c r="L156" s="3"/>
      <c r="M156" s="3"/>
      <c r="N156" s="8"/>
      <c r="P156" s="3"/>
      <c r="Q156" s="3"/>
      <c r="R156" s="8"/>
      <c r="S156" s="3"/>
      <c r="T156" s="3"/>
      <c r="U156" s="3"/>
      <c r="V156" s="8"/>
      <c r="W156" s="3"/>
      <c r="X156" s="3"/>
      <c r="Y156" s="3"/>
      <c r="Z156" s="8"/>
    </row>
    <row r="157" spans="1:26" s="23" customFormat="1" x14ac:dyDescent="0.3">
      <c r="A157" s="51"/>
      <c r="B157" s="10" t="s">
        <v>127</v>
      </c>
      <c r="C157" s="10"/>
      <c r="D157" s="4">
        <v>36429.949999999997</v>
      </c>
      <c r="E157" s="4"/>
      <c r="F157" s="12">
        <f>IF(D$12=0,0,D157/D$12)</f>
        <v>0.13732218063097193</v>
      </c>
      <c r="G157" s="4"/>
      <c r="H157" s="4">
        <v>-25246.720000000001</v>
      </c>
      <c r="I157" s="4"/>
      <c r="J157" s="12">
        <f>IF(H$12=0,0,H157/H$12)</f>
        <v>-0.25033780162559249</v>
      </c>
      <c r="K157" s="4"/>
      <c r="L157" s="4">
        <f>+D157-H157</f>
        <v>61676.67</v>
      </c>
      <c r="M157" s="4"/>
      <c r="N157" s="12">
        <f>IF(H157=0,0,L157/H157)</f>
        <v>-2.442957738668627</v>
      </c>
      <c r="O157" s="10"/>
      <c r="P157" s="4">
        <v>195073.38</v>
      </c>
      <c r="Q157" s="4"/>
      <c r="R157" s="12">
        <f>IF(P$12=0,0,P157/P$12)</f>
        <v>0.11911173651711872</v>
      </c>
      <c r="S157" s="4"/>
      <c r="T157" s="4">
        <v>129641.43</v>
      </c>
      <c r="U157" s="4"/>
      <c r="V157" s="12">
        <f>IF(T$12=0,0,T157/T$12)</f>
        <v>0.15890002341187801</v>
      </c>
      <c r="W157" s="4"/>
      <c r="X157" s="4">
        <f>+P157-T157</f>
        <v>65431.950000000012</v>
      </c>
      <c r="Y157" s="4"/>
      <c r="Z157" s="12">
        <f>IF(T157=0,0,X157/T157)</f>
        <v>0.5047148122324786</v>
      </c>
    </row>
    <row r="158" spans="1:26" x14ac:dyDescent="0.3">
      <c r="A158" s="9"/>
      <c r="B158" s="10"/>
      <c r="C158" s="10"/>
      <c r="D158" s="3"/>
      <c r="E158" s="3"/>
      <c r="F158" s="8"/>
      <c r="G158" s="3"/>
      <c r="H158" s="3"/>
      <c r="I158" s="3"/>
      <c r="J158" s="8"/>
      <c r="K158" s="3"/>
      <c r="L158" s="3"/>
      <c r="M158" s="3"/>
      <c r="N158" s="8"/>
      <c r="O158" s="10"/>
      <c r="P158" s="3"/>
      <c r="Q158" s="3"/>
      <c r="R158" s="8"/>
      <c r="S158" s="3"/>
      <c r="T158" s="3"/>
      <c r="U158" s="3"/>
      <c r="V158" s="8"/>
      <c r="W158" s="3"/>
      <c r="X158" s="3"/>
      <c r="Y158" s="3"/>
      <c r="Z158" s="8"/>
    </row>
    <row r="159" spans="1:26" s="23" customFormat="1" ht="15" thickBot="1" x14ac:dyDescent="0.35">
      <c r="A159" s="10"/>
      <c r="B159" s="25" t="s">
        <v>125</v>
      </c>
      <c r="C159" s="25"/>
      <c r="D159" s="35">
        <f>+D155-D157</f>
        <v>23562.480000000054</v>
      </c>
      <c r="E159" s="13"/>
      <c r="F159" s="31">
        <f>IF(D$12=0,0,D159/D$12)</f>
        <v>8.8818434685572489E-2</v>
      </c>
      <c r="G159" s="13"/>
      <c r="H159" s="35">
        <f>+H155-H157</f>
        <v>29853.970000000045</v>
      </c>
      <c r="I159" s="13"/>
      <c r="J159" s="31">
        <f>IF(H$12=0,0,H159/H$12)</f>
        <v>0.29602170973482494</v>
      </c>
      <c r="K159" s="16"/>
      <c r="L159" s="35">
        <f>D159-H159</f>
        <v>-6291.4899999999907</v>
      </c>
      <c r="M159" s="16"/>
      <c r="N159" s="31">
        <f>IF(H159=0,0,L159/H159)</f>
        <v>-0.21074215590087286</v>
      </c>
      <c r="O159" s="26"/>
      <c r="P159" s="35">
        <f>+P155-P157</f>
        <v>289949.88000000035</v>
      </c>
      <c r="Q159" s="13"/>
      <c r="R159" s="31">
        <f>IF(P$12=0,0,P159/P$12)</f>
        <v>0.17704329370686167</v>
      </c>
      <c r="S159" s="13"/>
      <c r="T159" s="35">
        <f>+T155-T157</f>
        <v>77631.770000000193</v>
      </c>
      <c r="U159" s="13"/>
      <c r="V159" s="31">
        <f>IF(T$12=0,0,T159/T$12)</f>
        <v>9.5152375830053398E-2</v>
      </c>
      <c r="W159" s="16"/>
      <c r="X159" s="35">
        <f>P159-T159</f>
        <v>212318.11000000016</v>
      </c>
      <c r="Y159" s="16"/>
      <c r="Z159" s="31">
        <f>IF(T159=0,0,X159/T159)</f>
        <v>2.734938415032913</v>
      </c>
    </row>
    <row r="160" spans="1:26" ht="15" thickTop="1" x14ac:dyDescent="0.3">
      <c r="A160" s="9"/>
      <c r="B160" s="9"/>
      <c r="C160" s="9"/>
      <c r="D160" s="3"/>
      <c r="E160" s="3"/>
      <c r="F160" s="8"/>
      <c r="G160" s="3"/>
      <c r="H160" s="3"/>
      <c r="I160" s="3"/>
      <c r="J160" s="8"/>
      <c r="K160" s="3"/>
      <c r="L160" s="3"/>
      <c r="M160" s="3"/>
      <c r="N160" s="8"/>
      <c r="P160" s="3"/>
      <c r="Q160" s="3"/>
      <c r="R160" s="8"/>
      <c r="S160" s="3"/>
      <c r="T160" s="3"/>
      <c r="U160" s="3"/>
      <c r="V160" s="8"/>
      <c r="W160" s="3"/>
      <c r="X160" s="3"/>
      <c r="Y160" s="3"/>
      <c r="Z160" s="8"/>
    </row>
    <row r="161" spans="1:26" x14ac:dyDescent="0.3">
      <c r="A161" s="9"/>
      <c r="B161" s="9"/>
      <c r="C161" s="9"/>
      <c r="D161" s="3"/>
      <c r="E161" s="3"/>
      <c r="F161" s="8"/>
      <c r="G161" s="3"/>
      <c r="H161" s="3"/>
      <c r="I161" s="3"/>
      <c r="J161" s="8"/>
      <c r="K161" s="3"/>
      <c r="L161" s="3"/>
      <c r="M161" s="3"/>
      <c r="N161" s="8"/>
      <c r="P161" s="3"/>
      <c r="Q161" s="3"/>
      <c r="R161" s="8"/>
      <c r="S161" s="3"/>
      <c r="T161" s="3"/>
      <c r="U161" s="3"/>
      <c r="V161" s="8"/>
      <c r="W161" s="3"/>
      <c r="X161" s="3"/>
      <c r="Y161" s="3"/>
      <c r="Z161" s="8"/>
    </row>
    <row r="162" spans="1:26" s="23" customFormat="1" ht="15" thickBot="1" x14ac:dyDescent="0.35">
      <c r="A162" s="10"/>
      <c r="B162" s="25" t="s">
        <v>293</v>
      </c>
      <c r="C162" s="25"/>
      <c r="D162" s="36">
        <f>SUM(D159:D161)</f>
        <v>23562.480000000054</v>
      </c>
      <c r="E162" s="13"/>
      <c r="F162" s="33">
        <f>IF(D$12=0,0,D162/D$12)</f>
        <v>8.8818434685572489E-2</v>
      </c>
      <c r="G162" s="13"/>
      <c r="H162" s="36">
        <f>SUM(H159:H161)</f>
        <v>29853.970000000045</v>
      </c>
      <c r="I162" s="13"/>
      <c r="J162" s="33">
        <f>IF(H$12=0,0,H162/H$12)</f>
        <v>0.29602170973482494</v>
      </c>
      <c r="K162" s="16"/>
      <c r="L162" s="36">
        <f>+D162-H162</f>
        <v>-6291.4899999999907</v>
      </c>
      <c r="M162" s="16"/>
      <c r="N162" s="33">
        <f>IF(H162=0,0,L162/H162)</f>
        <v>-0.21074215590087286</v>
      </c>
      <c r="O162" s="26"/>
      <c r="P162" s="36">
        <f>SUM(P159:P161)</f>
        <v>289949.88000000035</v>
      </c>
      <c r="Q162" s="13"/>
      <c r="R162" s="33">
        <f>IF(P$12=0,0,P162/P$12)</f>
        <v>0.17704329370686167</v>
      </c>
      <c r="S162" s="13"/>
      <c r="T162" s="36">
        <f>SUM(T159:T161)</f>
        <v>77631.770000000193</v>
      </c>
      <c r="U162" s="13"/>
      <c r="V162" s="33">
        <f>IF(T$12=0,0,T162/T$12)</f>
        <v>9.5152375830053398E-2</v>
      </c>
      <c r="W162" s="16"/>
      <c r="X162" s="36">
        <f>+P162-T162</f>
        <v>212318.11000000016</v>
      </c>
      <c r="Y162" s="16"/>
      <c r="Z162" s="33">
        <f>IF(T162=0,0,X162/T162)</f>
        <v>2.734938415032913</v>
      </c>
    </row>
    <row r="163" spans="1:26" ht="15" thickTop="1" x14ac:dyDescent="0.3">
      <c r="A163" s="9"/>
      <c r="C163" s="9"/>
      <c r="D163" s="17"/>
      <c r="E163" s="17"/>
      <c r="G163" s="17"/>
      <c r="H163" s="17"/>
      <c r="I163" s="17"/>
      <c r="J163" s="42"/>
      <c r="K163" s="17"/>
      <c r="L163" s="17"/>
      <c r="M163" s="17"/>
      <c r="P163" s="17"/>
      <c r="Q163" s="17"/>
      <c r="R163" s="42"/>
      <c r="S163" s="17"/>
      <c r="T163" s="17"/>
      <c r="U163" s="17"/>
      <c r="V163" s="42"/>
      <c r="W163" s="17"/>
      <c r="X163" s="17"/>
    </row>
    <row r="164" spans="1:26" x14ac:dyDescent="0.3">
      <c r="A164" s="9"/>
      <c r="B164" s="52">
        <v>44543.765559641201</v>
      </c>
      <c r="D164" s="17"/>
      <c r="E164" s="17"/>
      <c r="G164" s="17"/>
      <c r="H164" s="17"/>
      <c r="I164" s="17"/>
      <c r="J164" s="42"/>
      <c r="K164" s="17"/>
      <c r="L164" s="17"/>
      <c r="M164" s="17"/>
      <c r="P164" s="17"/>
      <c r="Q164" s="17"/>
      <c r="R164" s="42"/>
      <c r="S164" s="17"/>
      <c r="T164" s="17"/>
      <c r="U164" s="17"/>
      <c r="V164" s="42"/>
      <c r="W164" s="17"/>
      <c r="X164" s="17"/>
    </row>
    <row r="165" spans="1:26" x14ac:dyDescent="0.3">
      <c r="A165" s="9"/>
      <c r="B165" s="59" t="s">
        <v>56</v>
      </c>
      <c r="D165" s="17"/>
      <c r="E165" s="17"/>
      <c r="G165" s="17"/>
      <c r="H165" s="17"/>
      <c r="I165" s="17"/>
      <c r="J165" s="42"/>
      <c r="K165" s="17"/>
      <c r="L165" s="17"/>
      <c r="M165" s="17"/>
      <c r="P165" s="17"/>
      <c r="Q165" s="17"/>
      <c r="R165" s="42"/>
      <c r="S165" s="17"/>
      <c r="T165" s="17"/>
      <c r="U165" s="17"/>
      <c r="V165" s="42"/>
      <c r="W165" s="17"/>
      <c r="X165" s="17"/>
    </row>
    <row r="166" spans="1:26" x14ac:dyDescent="0.3">
      <c r="A166" s="9"/>
      <c r="B166" s="61"/>
      <c r="D166" s="17"/>
      <c r="E166" s="17"/>
      <c r="G166" s="17"/>
      <c r="H166" s="17"/>
      <c r="I166" s="17"/>
      <c r="J166" s="42"/>
      <c r="K166" s="17"/>
      <c r="L166" s="17"/>
      <c r="M166" s="17"/>
      <c r="P166" s="17"/>
      <c r="Q166" s="17"/>
      <c r="R166" s="42"/>
      <c r="S166" s="17"/>
      <c r="T166" s="17"/>
      <c r="U166" s="17"/>
      <c r="V166" s="42"/>
      <c r="W166" s="17"/>
      <c r="X166" s="17"/>
    </row>
    <row r="167" spans="1:26" x14ac:dyDescent="0.3">
      <c r="D167" s="17"/>
      <c r="E167" s="17"/>
      <c r="G167" s="17"/>
      <c r="H167" s="17"/>
      <c r="I167" s="17"/>
      <c r="J167" s="42"/>
      <c r="K167" s="17"/>
      <c r="L167" s="17"/>
      <c r="M167" s="17"/>
      <c r="P167" s="17"/>
      <c r="Q167" s="17"/>
      <c r="R167" s="42"/>
      <c r="S167" s="17"/>
      <c r="T167" s="17"/>
      <c r="U167" s="17"/>
      <c r="V167" s="42"/>
      <c r="W167" s="17"/>
      <c r="X167" s="17"/>
    </row>
  </sheetData>
  <pageMargins left="0.25" right="0.25" top="0.75" bottom="0.75" header="0.3" footer="0.3"/>
  <pageSetup scale="55" fitToWidth="2" orientation="landscape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92D050"/>
    <outlinePr summaryBelow="0" summaryRight="0"/>
  </sheetPr>
  <dimension ref="A2:Z14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","315", " - ", "Bookstore Retail")</f>
        <v>Department 315 - Bookstore Retail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235903.39</v>
      </c>
      <c r="E12" s="4"/>
      <c r="F12" s="12"/>
      <c r="G12" s="4"/>
      <c r="H12" s="4">
        <f>SUM(OSRRefH13x_0)</f>
        <v>83257.350000000006</v>
      </c>
      <c r="I12" s="4"/>
      <c r="J12" s="12"/>
      <c r="K12" s="4"/>
      <c r="L12" s="4">
        <f t="shared" ref="L12:L54" si="0">+D12-H12</f>
        <v>152646.04</v>
      </c>
      <c r="M12" s="4"/>
      <c r="N12" s="12">
        <f t="shared" ref="N12:N54" si="1">IF(H12=0,0,L12/H12)</f>
        <v>1.8334241961820787</v>
      </c>
      <c r="O12" s="10"/>
      <c r="P12" s="4">
        <f>SUM(OSRRefP13x_0)</f>
        <v>1490520.85</v>
      </c>
      <c r="Q12" s="4"/>
      <c r="R12" s="12"/>
      <c r="S12" s="4"/>
      <c r="T12" s="4">
        <f>SUM(OSRRefT13x_0)</f>
        <v>709852.79000000015</v>
      </c>
      <c r="U12" s="4"/>
      <c r="V12" s="12"/>
      <c r="W12" s="4"/>
      <c r="X12" s="4">
        <f t="shared" ref="X12:X54" si="2">+P12-T12</f>
        <v>780668.05999999994</v>
      </c>
      <c r="Y12" s="4"/>
      <c r="Z12" s="12">
        <f t="shared" ref="Z12:Z54" si="3">IF(T12=0,0,X12/T12)</f>
        <v>1.0997605010469844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--212367.92</f>
        <v>212367.92</v>
      </c>
      <c r="E13" s="2"/>
      <c r="F13" s="19"/>
      <c r="G13" s="2"/>
      <c r="H13" s="2">
        <f>-8967.87</f>
        <v>-8967.8700000000008</v>
      </c>
      <c r="I13" s="2"/>
      <c r="J13" s="19"/>
      <c r="K13" s="2"/>
      <c r="L13" s="2">
        <f t="shared" si="0"/>
        <v>221335.79</v>
      </c>
      <c r="M13" s="2"/>
      <c r="N13" s="19">
        <f t="shared" si="1"/>
        <v>-24.680976642168094</v>
      </c>
      <c r="O13" s="11"/>
      <c r="P13" s="2">
        <f>--1357391.43</f>
        <v>1357391.43</v>
      </c>
      <c r="Q13" s="2"/>
      <c r="R13" s="19"/>
      <c r="S13" s="2"/>
      <c r="T13" s="2">
        <f>-46449.33</f>
        <v>-46449.33</v>
      </c>
      <c r="U13" s="2"/>
      <c r="V13" s="19"/>
      <c r="W13" s="2"/>
      <c r="X13" s="2">
        <f t="shared" si="2"/>
        <v>1403840.76</v>
      </c>
      <c r="Y13" s="2"/>
      <c r="Z13" s="19">
        <f t="shared" si="3"/>
        <v>-30.223057254001294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4" si="4">0</f>
        <v>0</v>
      </c>
      <c r="E14" s="2"/>
      <c r="F14" s="19"/>
      <c r="G14" s="2"/>
      <c r="H14" s="2">
        <f>0</f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24" si="5">0</f>
        <v>0</v>
      </c>
      <c r="Q14" s="2"/>
      <c r="R14" s="19"/>
      <c r="S14" s="2"/>
      <c r="T14" s="2">
        <f>--221.99</f>
        <v>221.99</v>
      </c>
      <c r="U14" s="2"/>
      <c r="V14" s="19"/>
      <c r="W14" s="2"/>
      <c r="X14" s="2">
        <f t="shared" si="2"/>
        <v>-221.99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--1684.19</f>
        <v>1684.19</v>
      </c>
      <c r="I15" s="2"/>
      <c r="J15" s="19"/>
      <c r="K15" s="2"/>
      <c r="L15" s="2">
        <f t="shared" si="0"/>
        <v>-1684.19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--28679.91</f>
        <v>28679.91</v>
      </c>
      <c r="U15" s="2"/>
      <c r="V15" s="19"/>
      <c r="W15" s="2"/>
      <c r="X15" s="2">
        <f t="shared" si="2"/>
        <v>-28679.91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"4028", " - ", "TAXABLE SALES-ART/TECH")</f>
        <v xml:space="preserve">          4028 - TAXABLE SALES-ART/TECH</v>
      </c>
      <c r="C16" s="11"/>
      <c r="D16" s="2">
        <f t="shared" si="4"/>
        <v>0</v>
      </c>
      <c r="E16" s="2"/>
      <c r="F16" s="19"/>
      <c r="G16" s="2"/>
      <c r="H16" s="2">
        <f>--1730.73</f>
        <v>1730.73</v>
      </c>
      <c r="I16" s="2"/>
      <c r="J16" s="19"/>
      <c r="K16" s="2"/>
      <c r="L16" s="2">
        <f t="shared" si="0"/>
        <v>-1730.73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--3520.53</f>
        <v>3520.53</v>
      </c>
      <c r="U16" s="2"/>
      <c r="V16" s="19"/>
      <c r="W16" s="2"/>
      <c r="X16" s="2">
        <f t="shared" si="2"/>
        <v>-3520.53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"4031", " - ", "TAXABLE SALES-FOOD")</f>
        <v xml:space="preserve">          4031 - TAXABLE SALES-FOOD</v>
      </c>
      <c r="C17" s="11"/>
      <c r="D17" s="2">
        <f t="shared" si="4"/>
        <v>0</v>
      </c>
      <c r="E17" s="2"/>
      <c r="F17" s="19"/>
      <c r="G17" s="2"/>
      <c r="H17" s="2">
        <f>--194.65</f>
        <v>194.65</v>
      </c>
      <c r="I17" s="2"/>
      <c r="J17" s="19"/>
      <c r="K17" s="2"/>
      <c r="L17" s="2">
        <f t="shared" si="0"/>
        <v>-194.65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--1488.06</f>
        <v>1488.06</v>
      </c>
      <c r="U17" s="2"/>
      <c r="V17" s="19"/>
      <c r="W17" s="2"/>
      <c r="X17" s="2">
        <f t="shared" si="2"/>
        <v>-1488.06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"4034", " - ", "TAXABLE SALES-SODA")</f>
        <v xml:space="preserve">          4034 - TAXABLE SALES-SODA</v>
      </c>
      <c r="C18" s="11"/>
      <c r="D18" s="2">
        <f t="shared" si="4"/>
        <v>0</v>
      </c>
      <c r="E18" s="2"/>
      <c r="F18" s="19"/>
      <c r="G18" s="2"/>
      <c r="H18" s="2">
        <f>0</f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si="5"/>
        <v>0</v>
      </c>
      <c r="Q18" s="2"/>
      <c r="R18" s="19"/>
      <c r="S18" s="2"/>
      <c r="T18" s="2">
        <f>--6.78</f>
        <v>6.78</v>
      </c>
      <c r="U18" s="2"/>
      <c r="V18" s="19"/>
      <c r="W18" s="2"/>
      <c r="X18" s="2">
        <f t="shared" si="2"/>
        <v>-6.78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"4040", " - ", "TAXABLE SALES-LOGO CLOTHING")</f>
        <v xml:space="preserve">          4040 - TAXABLE SALES-LOGO CLOTHING</v>
      </c>
      <c r="C19" s="11"/>
      <c r="D19" s="2">
        <f t="shared" si="4"/>
        <v>0</v>
      </c>
      <c r="E19" s="2"/>
      <c r="F19" s="19"/>
      <c r="G19" s="2"/>
      <c r="H19" s="2">
        <f>--27086.99</f>
        <v>27086.99</v>
      </c>
      <c r="I19" s="2"/>
      <c r="J19" s="19"/>
      <c r="K19" s="2"/>
      <c r="L19" s="2">
        <f t="shared" si="0"/>
        <v>-27086.99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--335191.71</f>
        <v>335191.71000000002</v>
      </c>
      <c r="U19" s="2"/>
      <c r="V19" s="19"/>
      <c r="W19" s="2"/>
      <c r="X19" s="2">
        <f t="shared" si="2"/>
        <v>-335191.71000000002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"4041", " - ", "TAXABLE SALES-LOGO GIFTS")</f>
        <v xml:space="preserve">          4041 - TAXABLE SALES-LOGO GIFTS</v>
      </c>
      <c r="C20" s="11"/>
      <c r="D20" s="2">
        <f t="shared" si="4"/>
        <v>0</v>
      </c>
      <c r="E20" s="2"/>
      <c r="F20" s="19"/>
      <c r="G20" s="2"/>
      <c r="H20" s="2">
        <f>--10311.63</f>
        <v>10311.629999999999</v>
      </c>
      <c r="I20" s="2"/>
      <c r="J20" s="19"/>
      <c r="K20" s="2"/>
      <c r="L20" s="2">
        <f t="shared" si="0"/>
        <v>-10311.629999999999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--91005.93</f>
        <v>91005.93</v>
      </c>
      <c r="U20" s="2"/>
      <c r="V20" s="19"/>
      <c r="W20" s="2"/>
      <c r="X20" s="2">
        <f t="shared" si="2"/>
        <v>-91005.93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"4042", " - ", "TAXABLE SALES-EVERYDAY GIFTS")</f>
        <v xml:space="preserve">          4042 - TAXABLE SALES-EVERYDAY GIFTS</v>
      </c>
      <c r="C21" s="11"/>
      <c r="D21" s="2">
        <f t="shared" si="4"/>
        <v>0</v>
      </c>
      <c r="E21" s="2"/>
      <c r="F21" s="19"/>
      <c r="G21" s="2"/>
      <c r="H21" s="2">
        <f>--1278.37</f>
        <v>1278.3699999999999</v>
      </c>
      <c r="I21" s="2"/>
      <c r="J21" s="19"/>
      <c r="K21" s="2"/>
      <c r="L21" s="2">
        <f t="shared" si="0"/>
        <v>-1278.3699999999999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--39981.45</f>
        <v>39981.449999999997</v>
      </c>
      <c r="U21" s="2"/>
      <c r="V21" s="19"/>
      <c r="W21" s="2"/>
      <c r="X21" s="2">
        <f t="shared" si="2"/>
        <v>-39981.449999999997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"4043", " - ", "TAXABLE SALES-CARDS")</f>
        <v xml:space="preserve">          4043 - TAXABLE SALES-CARDS</v>
      </c>
      <c r="C22" s="11"/>
      <c r="D22" s="2">
        <f t="shared" si="4"/>
        <v>0</v>
      </c>
      <c r="E22" s="2"/>
      <c r="F22" s="19"/>
      <c r="G22" s="2"/>
      <c r="H22" s="2">
        <f>--14878.42</f>
        <v>14878.42</v>
      </c>
      <c r="I22" s="2"/>
      <c r="J22" s="19"/>
      <c r="K22" s="2"/>
      <c r="L22" s="2">
        <f t="shared" si="0"/>
        <v>-14878.42</v>
      </c>
      <c r="M22" s="2"/>
      <c r="N22" s="19">
        <f t="shared" si="1"/>
        <v>-1</v>
      </c>
      <c r="O22" s="11"/>
      <c r="P22" s="2">
        <f t="shared" si="5"/>
        <v>0</v>
      </c>
      <c r="Q22" s="2"/>
      <c r="R22" s="19"/>
      <c r="S22" s="2"/>
      <c r="T22" s="2">
        <f>--54299.26</f>
        <v>54299.26</v>
      </c>
      <c r="U22" s="2"/>
      <c r="V22" s="19"/>
      <c r="W22" s="2"/>
      <c r="X22" s="2">
        <f t="shared" si="2"/>
        <v>-54299.26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"4044", " - ", "TAXABLE SALES-ACCESSORIES")</f>
        <v xml:space="preserve">          4044 - TAXABLE SALES-ACCESSORIES</v>
      </c>
      <c r="C23" s="11"/>
      <c r="D23" s="2">
        <f t="shared" si="4"/>
        <v>0</v>
      </c>
      <c r="E23" s="2"/>
      <c r="F23" s="19"/>
      <c r="G23" s="2"/>
      <c r="H23" s="2">
        <f>--2286.03</f>
        <v>2286.0300000000002</v>
      </c>
      <c r="I23" s="2"/>
      <c r="J23" s="19"/>
      <c r="K23" s="2"/>
      <c r="L23" s="2">
        <f t="shared" si="0"/>
        <v>-2286.0300000000002</v>
      </c>
      <c r="M23" s="2"/>
      <c r="N23" s="19">
        <f t="shared" si="1"/>
        <v>-1</v>
      </c>
      <c r="O23" s="11"/>
      <c r="P23" s="2">
        <f t="shared" si="5"/>
        <v>0</v>
      </c>
      <c r="Q23" s="2"/>
      <c r="R23" s="19"/>
      <c r="S23" s="2"/>
      <c r="T23" s="2">
        <f>--13778.17</f>
        <v>13778.17</v>
      </c>
      <c r="U23" s="2"/>
      <c r="V23" s="19"/>
      <c r="W23" s="2"/>
      <c r="X23" s="2">
        <f t="shared" si="2"/>
        <v>-13778.17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"4045", " - ", "TAXABLE SALES-SPECIAL ORDERS")</f>
        <v xml:space="preserve">          4045 - TAXABLE SALES-SPECIAL ORDERS</v>
      </c>
      <c r="C24" s="11"/>
      <c r="D24" s="2">
        <f t="shared" si="4"/>
        <v>0</v>
      </c>
      <c r="E24" s="2"/>
      <c r="F24" s="19"/>
      <c r="G24" s="2"/>
      <c r="H24" s="2">
        <f>--11240.61</f>
        <v>11240.61</v>
      </c>
      <c r="I24" s="2"/>
      <c r="J24" s="19"/>
      <c r="K24" s="2"/>
      <c r="L24" s="2">
        <f t="shared" si="0"/>
        <v>-11240.61</v>
      </c>
      <c r="M24" s="2"/>
      <c r="N24" s="19">
        <f t="shared" si="1"/>
        <v>-1</v>
      </c>
      <c r="O24" s="11"/>
      <c r="P24" s="2">
        <f t="shared" si="5"/>
        <v>0</v>
      </c>
      <c r="Q24" s="2"/>
      <c r="R24" s="19"/>
      <c r="S24" s="2"/>
      <c r="T24" s="2">
        <f>--107925.7</f>
        <v>107925.7</v>
      </c>
      <c r="U24" s="2"/>
      <c r="V24" s="19"/>
      <c r="W24" s="2"/>
      <c r="X24" s="2">
        <f t="shared" si="2"/>
        <v>-107925.7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"4100", " - ", "NON-TAXABLE SALES")</f>
        <v xml:space="preserve">          4100 - NON-TAXABLE SALES</v>
      </c>
      <c r="C25" s="11"/>
      <c r="D25" s="2">
        <f>--38141.75</f>
        <v>38141.75</v>
      </c>
      <c r="E25" s="2"/>
      <c r="F25" s="19"/>
      <c r="G25" s="2"/>
      <c r="H25" s="2">
        <f t="shared" ref="H25:H26" si="6">0</f>
        <v>0</v>
      </c>
      <c r="I25" s="2"/>
      <c r="J25" s="19"/>
      <c r="K25" s="2"/>
      <c r="L25" s="2">
        <f t="shared" si="0"/>
        <v>38141.75</v>
      </c>
      <c r="M25" s="2"/>
      <c r="N25" s="19">
        <f t="shared" si="1"/>
        <v>0</v>
      </c>
      <c r="O25" s="11"/>
      <c r="P25" s="2">
        <f>--184400.49</f>
        <v>184400.49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184400.49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"4126", " - ", "NON-TAXABLE SALES-WRITING INST")</f>
        <v xml:space="preserve">          4126 - NON-TAXABLE SALES-WRITING INST</v>
      </c>
      <c r="C26" s="11"/>
      <c r="D26" s="2">
        <f t="shared" ref="D26:D39" si="7">0</f>
        <v>0</v>
      </c>
      <c r="E26" s="2"/>
      <c r="F26" s="19"/>
      <c r="G26" s="2"/>
      <c r="H26" s="2">
        <f t="shared" si="6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9" si="8">0</f>
        <v>0</v>
      </c>
      <c r="Q26" s="2"/>
      <c r="R26" s="19"/>
      <c r="S26" s="2"/>
      <c r="T26" s="2">
        <f>--52.68</f>
        <v>52.68</v>
      </c>
      <c r="U26" s="2"/>
      <c r="V26" s="19"/>
      <c r="W26" s="2"/>
      <c r="X26" s="2">
        <f t="shared" si="2"/>
        <v>-52.68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"4127", " - ", "NON-TAXABLE SALES-SCHOOL SUPPL")</f>
        <v xml:space="preserve">          4127 - NON-TAXABLE SALES-SCHOOL SUPPL</v>
      </c>
      <c r="C27" s="11"/>
      <c r="D27" s="2">
        <f t="shared" si="7"/>
        <v>0</v>
      </c>
      <c r="E27" s="2"/>
      <c r="F27" s="19"/>
      <c r="G27" s="2"/>
      <c r="H27" s="2">
        <f>--114.89</f>
        <v>114.89</v>
      </c>
      <c r="I27" s="2"/>
      <c r="J27" s="19"/>
      <c r="K27" s="2"/>
      <c r="L27" s="2">
        <f t="shared" si="0"/>
        <v>-114.89</v>
      </c>
      <c r="M27" s="2"/>
      <c r="N27" s="19">
        <f t="shared" si="1"/>
        <v>-1</v>
      </c>
      <c r="O27" s="11"/>
      <c r="P27" s="2">
        <f t="shared" si="8"/>
        <v>0</v>
      </c>
      <c r="Q27" s="2"/>
      <c r="R27" s="19"/>
      <c r="S27" s="2"/>
      <c r="T27" s="2">
        <f>--2946.58</f>
        <v>2946.58</v>
      </c>
      <c r="U27" s="2"/>
      <c r="V27" s="19"/>
      <c r="W27" s="2"/>
      <c r="X27" s="2">
        <f t="shared" si="2"/>
        <v>-2946.58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"4128", " - ", "NON-TAXABLE SALES-ART/TECH")</f>
        <v xml:space="preserve">          4128 - NON-TAXABLE SALES-ART/TECH</v>
      </c>
      <c r="C28" s="11"/>
      <c r="D28" s="2">
        <f t="shared" si="7"/>
        <v>0</v>
      </c>
      <c r="E28" s="2"/>
      <c r="F28" s="19"/>
      <c r="G28" s="2"/>
      <c r="H28" s="2">
        <f>--24.78</f>
        <v>24.78</v>
      </c>
      <c r="I28" s="2"/>
      <c r="J28" s="19"/>
      <c r="K28" s="2"/>
      <c r="L28" s="2">
        <f t="shared" si="0"/>
        <v>-24.78</v>
      </c>
      <c r="M28" s="2"/>
      <c r="N28" s="19">
        <f t="shared" si="1"/>
        <v>-1</v>
      </c>
      <c r="O28" s="11"/>
      <c r="P28" s="2">
        <f t="shared" si="8"/>
        <v>0</v>
      </c>
      <c r="Q28" s="2"/>
      <c r="R28" s="19"/>
      <c r="S28" s="2"/>
      <c r="T28" s="2">
        <f>--24.78</f>
        <v>24.78</v>
      </c>
      <c r="U28" s="2"/>
      <c r="V28" s="19"/>
      <c r="W28" s="2"/>
      <c r="X28" s="2">
        <f t="shared" si="2"/>
        <v>-24.78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"4131", " - ", "NON-TAXABLE SALES-FOOD")</f>
        <v xml:space="preserve">          4131 - NON-TAXABLE SALES-FOOD</v>
      </c>
      <c r="C29" s="11"/>
      <c r="D29" s="2">
        <f t="shared" si="7"/>
        <v>0</v>
      </c>
      <c r="E29" s="2"/>
      <c r="F29" s="19"/>
      <c r="G29" s="2"/>
      <c r="H29" s="2">
        <f>--977.89</f>
        <v>977.89</v>
      </c>
      <c r="I29" s="2"/>
      <c r="J29" s="19"/>
      <c r="K29" s="2"/>
      <c r="L29" s="2">
        <f t="shared" si="0"/>
        <v>-977.89</v>
      </c>
      <c r="M29" s="2"/>
      <c r="N29" s="19">
        <f t="shared" si="1"/>
        <v>-1</v>
      </c>
      <c r="O29" s="11"/>
      <c r="P29" s="2">
        <f t="shared" si="8"/>
        <v>0</v>
      </c>
      <c r="Q29" s="2"/>
      <c r="R29" s="19"/>
      <c r="S29" s="2"/>
      <c r="T29" s="2">
        <f>--4626.17</f>
        <v>4626.17</v>
      </c>
      <c r="U29" s="2"/>
      <c r="V29" s="19"/>
      <c r="W29" s="2"/>
      <c r="X29" s="2">
        <f t="shared" si="2"/>
        <v>-4626.17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"4132", " - ", "NON-TAXABLE SALES-JUICE")</f>
        <v xml:space="preserve">          4132 - NON-TAXABLE SALES-JUICE</v>
      </c>
      <c r="C30" s="11"/>
      <c r="D30" s="2">
        <f t="shared" si="7"/>
        <v>0</v>
      </c>
      <c r="E30" s="2"/>
      <c r="F30" s="19"/>
      <c r="G30" s="2"/>
      <c r="H30" s="2">
        <f t="shared" ref="H30:H33" si="9">0</f>
        <v>0</v>
      </c>
      <c r="I30" s="2"/>
      <c r="J30" s="19"/>
      <c r="K30" s="2"/>
      <c r="L30" s="2">
        <f t="shared" si="0"/>
        <v>0</v>
      </c>
      <c r="M30" s="2"/>
      <c r="N30" s="19">
        <f t="shared" si="1"/>
        <v>0</v>
      </c>
      <c r="O30" s="11"/>
      <c r="P30" s="2">
        <f t="shared" si="8"/>
        <v>0</v>
      </c>
      <c r="Q30" s="2"/>
      <c r="R30" s="19"/>
      <c r="S30" s="2"/>
      <c r="T30" s="2">
        <f>--22.49</f>
        <v>22.49</v>
      </c>
      <c r="U30" s="2"/>
      <c r="V30" s="19"/>
      <c r="W30" s="2"/>
      <c r="X30" s="2">
        <f t="shared" si="2"/>
        <v>-22.49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"4133", " - ", "NON-TAXABLE SALES-CANDY")</f>
        <v xml:space="preserve">          4133 - NON-TAXABLE SALES-CANDY</v>
      </c>
      <c r="C31" s="11"/>
      <c r="D31" s="2">
        <f t="shared" si="7"/>
        <v>0</v>
      </c>
      <c r="E31" s="2"/>
      <c r="F31" s="19"/>
      <c r="G31" s="2"/>
      <c r="H31" s="2">
        <f t="shared" si="9"/>
        <v>0</v>
      </c>
      <c r="I31" s="2"/>
      <c r="J31" s="19"/>
      <c r="K31" s="2"/>
      <c r="L31" s="2">
        <f t="shared" si="0"/>
        <v>0</v>
      </c>
      <c r="M31" s="2"/>
      <c r="N31" s="19">
        <f t="shared" si="1"/>
        <v>0</v>
      </c>
      <c r="O31" s="11"/>
      <c r="P31" s="2">
        <f t="shared" si="8"/>
        <v>0</v>
      </c>
      <c r="Q31" s="2"/>
      <c r="R31" s="19"/>
      <c r="S31" s="2"/>
      <c r="T31" s="2">
        <f>--80.71</f>
        <v>80.709999999999994</v>
      </c>
      <c r="U31" s="2"/>
      <c r="V31" s="19"/>
      <c r="W31" s="2"/>
      <c r="X31" s="2">
        <f t="shared" si="2"/>
        <v>-80.709999999999994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"4134", " - ", "NON-TAXABLE SALES-SODA")</f>
        <v xml:space="preserve">          4134 - NON-TAXABLE SALES-SODA</v>
      </c>
      <c r="C32" s="11"/>
      <c r="D32" s="2">
        <f t="shared" si="7"/>
        <v>0</v>
      </c>
      <c r="E32" s="2"/>
      <c r="F32" s="19"/>
      <c r="G32" s="2"/>
      <c r="H32" s="2">
        <f t="shared" si="9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 t="shared" si="8"/>
        <v>0</v>
      </c>
      <c r="Q32" s="2"/>
      <c r="R32" s="19"/>
      <c r="S32" s="2"/>
      <c r="T32" s="2">
        <f>--45.53</f>
        <v>45.53</v>
      </c>
      <c r="U32" s="2"/>
      <c r="V32" s="19"/>
      <c r="W32" s="2"/>
      <c r="X32" s="2">
        <f t="shared" si="2"/>
        <v>-45.53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"4137", " - ", "NON-TAXABLE SALES-WATER")</f>
        <v xml:space="preserve">          4137 - NON-TAXABLE SALES-WATER</v>
      </c>
      <c r="C33" s="11"/>
      <c r="D33" s="2">
        <f t="shared" si="7"/>
        <v>0</v>
      </c>
      <c r="E33" s="2"/>
      <c r="F33" s="19"/>
      <c r="G33" s="2"/>
      <c r="H33" s="2">
        <f t="shared" si="9"/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8"/>
        <v>0</v>
      </c>
      <c r="Q33" s="2"/>
      <c r="R33" s="19"/>
      <c r="S33" s="2"/>
      <c r="T33" s="2">
        <f>--59.25</f>
        <v>59.25</v>
      </c>
      <c r="U33" s="2"/>
      <c r="V33" s="19"/>
      <c r="W33" s="2"/>
      <c r="X33" s="2">
        <f t="shared" si="2"/>
        <v>-59.25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"4140", " - ", "NON-TAXABLE SALES-LOGO CLOTHIN")</f>
        <v xml:space="preserve">          4140 - NON-TAXABLE SALES-LOGO CLOTHIN</v>
      </c>
      <c r="C34" s="11"/>
      <c r="D34" s="2">
        <f t="shared" si="7"/>
        <v>0</v>
      </c>
      <c r="E34" s="2"/>
      <c r="F34" s="19"/>
      <c r="G34" s="2"/>
      <c r="H34" s="2">
        <f>--19679.84</f>
        <v>19679.84</v>
      </c>
      <c r="I34" s="2"/>
      <c r="J34" s="19"/>
      <c r="K34" s="2"/>
      <c r="L34" s="2">
        <f t="shared" si="0"/>
        <v>-19679.84</v>
      </c>
      <c r="M34" s="2"/>
      <c r="N34" s="19">
        <f t="shared" si="1"/>
        <v>-1</v>
      </c>
      <c r="O34" s="11"/>
      <c r="P34" s="2">
        <f t="shared" si="8"/>
        <v>0</v>
      </c>
      <c r="Q34" s="2"/>
      <c r="R34" s="19"/>
      <c r="S34" s="2"/>
      <c r="T34" s="2">
        <f>--50154.49</f>
        <v>50154.49</v>
      </c>
      <c r="U34" s="2"/>
      <c r="V34" s="19"/>
      <c r="W34" s="2"/>
      <c r="X34" s="2">
        <f t="shared" si="2"/>
        <v>-50154.49</v>
      </c>
      <c r="Y34" s="2"/>
      <c r="Z34" s="19">
        <f t="shared" si="3"/>
        <v>-1</v>
      </c>
    </row>
    <row r="35" spans="1:26" s="24" customFormat="1" hidden="1" outlineLevel="1" x14ac:dyDescent="0.3">
      <c r="A35" s="44"/>
      <c r="B35" s="11" t="str">
        <f>CONCATENATE("          ", "4141", " - ", "NON-TAXABLE SALES-LOGO GIFTS")</f>
        <v xml:space="preserve">          4141 - NON-TAXABLE SALES-LOGO GIFTS</v>
      </c>
      <c r="C35" s="11"/>
      <c r="D35" s="2">
        <f t="shared" si="7"/>
        <v>0</v>
      </c>
      <c r="E35" s="2"/>
      <c r="F35" s="19"/>
      <c r="G35" s="2"/>
      <c r="H35" s="2">
        <f>--806.32</f>
        <v>806.32</v>
      </c>
      <c r="I35" s="2"/>
      <c r="J35" s="19"/>
      <c r="K35" s="2"/>
      <c r="L35" s="2">
        <f t="shared" si="0"/>
        <v>-806.32</v>
      </c>
      <c r="M35" s="2"/>
      <c r="N35" s="19">
        <f t="shared" si="1"/>
        <v>-1</v>
      </c>
      <c r="O35" s="11"/>
      <c r="P35" s="2">
        <f t="shared" si="8"/>
        <v>0</v>
      </c>
      <c r="Q35" s="2"/>
      <c r="R35" s="19"/>
      <c r="S35" s="2"/>
      <c r="T35" s="2">
        <f>--3677.52</f>
        <v>3677.52</v>
      </c>
      <c r="U35" s="2"/>
      <c r="V35" s="19"/>
      <c r="W35" s="2"/>
      <c r="X35" s="2">
        <f t="shared" si="2"/>
        <v>-3677.52</v>
      </c>
      <c r="Y35" s="2"/>
      <c r="Z35" s="19">
        <f t="shared" si="3"/>
        <v>-1</v>
      </c>
    </row>
    <row r="36" spans="1:26" s="24" customFormat="1" hidden="1" outlineLevel="1" x14ac:dyDescent="0.3">
      <c r="A36" s="44"/>
      <c r="B36" s="11" t="str">
        <f>CONCATENATE("          ", "4142", " - ", "NON-TAXABLE SALES-EVERYDAY GIF")</f>
        <v xml:space="preserve">          4142 - NON-TAXABLE SALES-EVERYDAY GIF</v>
      </c>
      <c r="C36" s="11"/>
      <c r="D36" s="2">
        <f t="shared" si="7"/>
        <v>0</v>
      </c>
      <c r="E36" s="2"/>
      <c r="F36" s="19"/>
      <c r="G36" s="2"/>
      <c r="H36" s="2">
        <f>--28.17</f>
        <v>28.17</v>
      </c>
      <c r="I36" s="2"/>
      <c r="J36" s="19"/>
      <c r="K36" s="2"/>
      <c r="L36" s="2">
        <f t="shared" si="0"/>
        <v>-28.17</v>
      </c>
      <c r="M36" s="2"/>
      <c r="N36" s="19">
        <f t="shared" si="1"/>
        <v>-1</v>
      </c>
      <c r="O36" s="11"/>
      <c r="P36" s="2">
        <f t="shared" si="8"/>
        <v>0</v>
      </c>
      <c r="Q36" s="2"/>
      <c r="R36" s="19"/>
      <c r="S36" s="2"/>
      <c r="T36" s="2">
        <f>--1097.6</f>
        <v>1097.5999999999999</v>
      </c>
      <c r="U36" s="2"/>
      <c r="V36" s="19"/>
      <c r="W36" s="2"/>
      <c r="X36" s="2">
        <f t="shared" si="2"/>
        <v>-1097.5999999999999</v>
      </c>
      <c r="Y36" s="2"/>
      <c r="Z36" s="19">
        <f t="shared" si="3"/>
        <v>-1</v>
      </c>
    </row>
    <row r="37" spans="1:26" s="24" customFormat="1" hidden="1" outlineLevel="1" x14ac:dyDescent="0.3">
      <c r="A37" s="44"/>
      <c r="B37" s="11" t="str">
        <f>CONCATENATE("          ", "4143", " - ", "NON-TAXABLE SALES-CARDS")</f>
        <v xml:space="preserve">          4143 - NON-TAXABLE SALES-CARDS</v>
      </c>
      <c r="C37" s="11"/>
      <c r="D37" s="2">
        <f t="shared" si="7"/>
        <v>0</v>
      </c>
      <c r="E37" s="2"/>
      <c r="F37" s="19"/>
      <c r="G37" s="2"/>
      <c r="H37" s="2">
        <f>--9.99</f>
        <v>9.99</v>
      </c>
      <c r="I37" s="2"/>
      <c r="J37" s="19"/>
      <c r="K37" s="2"/>
      <c r="L37" s="2">
        <f t="shared" si="0"/>
        <v>-9.99</v>
      </c>
      <c r="M37" s="2"/>
      <c r="N37" s="19">
        <f t="shared" si="1"/>
        <v>-1</v>
      </c>
      <c r="O37" s="11"/>
      <c r="P37" s="2">
        <f t="shared" si="8"/>
        <v>0</v>
      </c>
      <c r="Q37" s="2"/>
      <c r="R37" s="19"/>
      <c r="S37" s="2"/>
      <c r="T37" s="2">
        <f>--39.96</f>
        <v>39.96</v>
      </c>
      <c r="U37" s="2"/>
      <c r="V37" s="19"/>
      <c r="W37" s="2"/>
      <c r="X37" s="2">
        <f t="shared" si="2"/>
        <v>-39.96</v>
      </c>
      <c r="Y37" s="2"/>
      <c r="Z37" s="19">
        <f t="shared" si="3"/>
        <v>-1</v>
      </c>
    </row>
    <row r="38" spans="1:26" s="24" customFormat="1" hidden="1" outlineLevel="1" x14ac:dyDescent="0.3">
      <c r="A38" s="44"/>
      <c r="B38" s="11" t="str">
        <f>CONCATENATE("          ", "4144", " - ", "NON-TAXABLE SALES-ACCESSORIES")</f>
        <v xml:space="preserve">          4144 - NON-TAXABLE SALES-ACCESSORIES</v>
      </c>
      <c r="C38" s="11"/>
      <c r="D38" s="2">
        <f t="shared" si="7"/>
        <v>0</v>
      </c>
      <c r="E38" s="2"/>
      <c r="F38" s="19"/>
      <c r="G38" s="2"/>
      <c r="H38" s="2">
        <f>--19.95</f>
        <v>19.95</v>
      </c>
      <c r="I38" s="2"/>
      <c r="J38" s="19"/>
      <c r="K38" s="2"/>
      <c r="L38" s="2">
        <f t="shared" si="0"/>
        <v>-19.95</v>
      </c>
      <c r="M38" s="2"/>
      <c r="N38" s="19">
        <f t="shared" si="1"/>
        <v>-1</v>
      </c>
      <c r="O38" s="11"/>
      <c r="P38" s="2">
        <f t="shared" si="8"/>
        <v>0</v>
      </c>
      <c r="Q38" s="2"/>
      <c r="R38" s="19"/>
      <c r="S38" s="2"/>
      <c r="T38" s="2">
        <f>--389.7</f>
        <v>389.7</v>
      </c>
      <c r="U38" s="2"/>
      <c r="V38" s="19"/>
      <c r="W38" s="2"/>
      <c r="X38" s="2">
        <f t="shared" si="2"/>
        <v>-389.7</v>
      </c>
      <c r="Y38" s="2"/>
      <c r="Z38" s="19">
        <f t="shared" si="3"/>
        <v>-1</v>
      </c>
    </row>
    <row r="39" spans="1:26" s="24" customFormat="1" hidden="1" outlineLevel="1" x14ac:dyDescent="0.3">
      <c r="A39" s="44"/>
      <c r="B39" s="11" t="str">
        <f>CONCATENATE("          ", "4145", " - ", "NON-TAXABLE SALES-SPECIAL ORDE")</f>
        <v xml:space="preserve">          4145 - NON-TAXABLE SALES-SPECIAL ORDE</v>
      </c>
      <c r="C39" s="11"/>
      <c r="D39" s="2">
        <f t="shared" si="7"/>
        <v>0</v>
      </c>
      <c r="E39" s="2"/>
      <c r="F39" s="19"/>
      <c r="G39" s="2"/>
      <c r="H39" s="2">
        <f>--2800</f>
        <v>2800</v>
      </c>
      <c r="I39" s="2"/>
      <c r="J39" s="19"/>
      <c r="K39" s="2"/>
      <c r="L39" s="2">
        <f t="shared" si="0"/>
        <v>-2800</v>
      </c>
      <c r="M39" s="2"/>
      <c r="N39" s="19">
        <f t="shared" si="1"/>
        <v>-1</v>
      </c>
      <c r="O39" s="11"/>
      <c r="P39" s="2">
        <f t="shared" si="8"/>
        <v>0</v>
      </c>
      <c r="Q39" s="2"/>
      <c r="R39" s="19"/>
      <c r="S39" s="2"/>
      <c r="T39" s="2">
        <f>--38639</f>
        <v>38639</v>
      </c>
      <c r="U39" s="2"/>
      <c r="V39" s="19"/>
      <c r="W39" s="2"/>
      <c r="X39" s="2">
        <f t="shared" si="2"/>
        <v>-38639</v>
      </c>
      <c r="Y39" s="2"/>
      <c r="Z39" s="19">
        <f t="shared" si="3"/>
        <v>-1</v>
      </c>
    </row>
    <row r="40" spans="1:26" s="24" customFormat="1" hidden="1" outlineLevel="1" x14ac:dyDescent="0.3">
      <c r="A40" s="44"/>
      <c r="B40" s="11" t="str">
        <f>CONCATENATE("          ", "4200", " - ", "TAXABLE RETURNS")</f>
        <v xml:space="preserve">          4200 - TAXABLE RETURNS</v>
      </c>
      <c r="C40" s="11"/>
      <c r="D40" s="2">
        <f>-8320.43</f>
        <v>-8320.43</v>
      </c>
      <c r="E40" s="2"/>
      <c r="F40" s="19"/>
      <c r="G40" s="2"/>
      <c r="H40" s="2">
        <f t="shared" ref="H40:H41" si="10">0</f>
        <v>0</v>
      </c>
      <c r="I40" s="2"/>
      <c r="J40" s="19"/>
      <c r="K40" s="2"/>
      <c r="L40" s="2">
        <f t="shared" si="0"/>
        <v>-8320.43</v>
      </c>
      <c r="M40" s="2"/>
      <c r="N40" s="19">
        <f t="shared" si="1"/>
        <v>0</v>
      </c>
      <c r="O40" s="11"/>
      <c r="P40" s="2">
        <f>-37504.46</f>
        <v>-37504.46</v>
      </c>
      <c r="Q40" s="2"/>
      <c r="R40" s="19"/>
      <c r="S40" s="2"/>
      <c r="T40" s="2">
        <f>0</f>
        <v>0</v>
      </c>
      <c r="U40" s="2"/>
      <c r="V40" s="19"/>
      <c r="W40" s="2"/>
      <c r="X40" s="2">
        <f t="shared" si="2"/>
        <v>-37504.46</v>
      </c>
      <c r="Y40" s="2"/>
      <c r="Z40" s="19">
        <f t="shared" si="3"/>
        <v>0</v>
      </c>
    </row>
    <row r="41" spans="1:26" s="24" customFormat="1" hidden="1" outlineLevel="1" x14ac:dyDescent="0.3">
      <c r="A41" s="44"/>
      <c r="B41" s="11" t="str">
        <f>CONCATENATE("          ", "4226", " - ", "SALES RETURN TAXABLE-WRITING I")</f>
        <v xml:space="preserve">          4226 - SALES RETURN TAXABLE-WRITING I</v>
      </c>
      <c r="C41" s="11"/>
      <c r="D41" s="2">
        <f t="shared" ref="D41:D49" si="11">0</f>
        <v>0</v>
      </c>
      <c r="E41" s="2"/>
      <c r="F41" s="19"/>
      <c r="G41" s="2"/>
      <c r="H41" s="2">
        <f t="shared" si="10"/>
        <v>0</v>
      </c>
      <c r="I41" s="2"/>
      <c r="J41" s="19"/>
      <c r="K41" s="2"/>
      <c r="L41" s="2">
        <f t="shared" si="0"/>
        <v>0</v>
      </c>
      <c r="M41" s="2"/>
      <c r="N41" s="19">
        <f t="shared" si="1"/>
        <v>0</v>
      </c>
      <c r="O41" s="11"/>
      <c r="P41" s="2">
        <f t="shared" ref="P41:P49" si="12">0</f>
        <v>0</v>
      </c>
      <c r="Q41" s="2"/>
      <c r="R41" s="19"/>
      <c r="S41" s="2"/>
      <c r="T41" s="2">
        <f>-6.38</f>
        <v>-6.38</v>
      </c>
      <c r="U41" s="2"/>
      <c r="V41" s="19"/>
      <c r="W41" s="2"/>
      <c r="X41" s="2">
        <f t="shared" si="2"/>
        <v>6.38</v>
      </c>
      <c r="Y41" s="2"/>
      <c r="Z41" s="19">
        <f t="shared" si="3"/>
        <v>-1</v>
      </c>
    </row>
    <row r="42" spans="1:26" s="24" customFormat="1" hidden="1" outlineLevel="1" x14ac:dyDescent="0.3">
      <c r="A42" s="44"/>
      <c r="B42" s="11" t="str">
        <f>CONCATENATE("          ", "4227", " - ", "SALES RETURN TAXABLE-SCHOOL SU")</f>
        <v xml:space="preserve">          4227 - SALES RETURN TAXABLE-SCHOOL SU</v>
      </c>
      <c r="C42" s="11"/>
      <c r="D42" s="2">
        <f t="shared" si="11"/>
        <v>0</v>
      </c>
      <c r="E42" s="2"/>
      <c r="F42" s="19"/>
      <c r="G42" s="2"/>
      <c r="H42" s="2">
        <f>-31.98</f>
        <v>-31.98</v>
      </c>
      <c r="I42" s="2"/>
      <c r="J42" s="19"/>
      <c r="K42" s="2"/>
      <c r="L42" s="2">
        <f t="shared" si="0"/>
        <v>31.98</v>
      </c>
      <c r="M42" s="2"/>
      <c r="N42" s="19">
        <f t="shared" si="1"/>
        <v>-1</v>
      </c>
      <c r="O42" s="11"/>
      <c r="P42" s="2">
        <f t="shared" si="12"/>
        <v>0</v>
      </c>
      <c r="Q42" s="2"/>
      <c r="R42" s="19"/>
      <c r="S42" s="2"/>
      <c r="T42" s="2">
        <f>-420.67</f>
        <v>-420.67</v>
      </c>
      <c r="U42" s="2"/>
      <c r="V42" s="19"/>
      <c r="W42" s="2"/>
      <c r="X42" s="2">
        <f t="shared" si="2"/>
        <v>420.67</v>
      </c>
      <c r="Y42" s="2"/>
      <c r="Z42" s="19">
        <f t="shared" si="3"/>
        <v>-1</v>
      </c>
    </row>
    <row r="43" spans="1:26" s="24" customFormat="1" hidden="1" outlineLevel="1" x14ac:dyDescent="0.3">
      <c r="A43" s="44"/>
      <c r="B43" s="11" t="str">
        <f>CONCATENATE("          ", "4228", " - ", "SALES RETURN TAXABLE-ART/TECH")</f>
        <v xml:space="preserve">          4228 - SALES RETURN TAXABLE-ART/TECH</v>
      </c>
      <c r="C43" s="11"/>
      <c r="D43" s="2">
        <f t="shared" si="11"/>
        <v>0</v>
      </c>
      <c r="E43" s="2"/>
      <c r="F43" s="19"/>
      <c r="G43" s="2"/>
      <c r="H43" s="2">
        <f>-32.49</f>
        <v>-32.49</v>
      </c>
      <c r="I43" s="2"/>
      <c r="J43" s="19"/>
      <c r="K43" s="2"/>
      <c r="L43" s="2">
        <f t="shared" si="0"/>
        <v>32.49</v>
      </c>
      <c r="M43" s="2"/>
      <c r="N43" s="19">
        <f t="shared" si="1"/>
        <v>-1</v>
      </c>
      <c r="O43" s="11"/>
      <c r="P43" s="2">
        <f t="shared" si="12"/>
        <v>0</v>
      </c>
      <c r="Q43" s="2"/>
      <c r="R43" s="19"/>
      <c r="S43" s="2"/>
      <c r="T43" s="2">
        <f>-32.49</f>
        <v>-32.49</v>
      </c>
      <c r="U43" s="2"/>
      <c r="V43" s="19"/>
      <c r="W43" s="2"/>
      <c r="X43" s="2">
        <f t="shared" si="2"/>
        <v>32.49</v>
      </c>
      <c r="Y43" s="2"/>
      <c r="Z43" s="19">
        <f t="shared" si="3"/>
        <v>-1</v>
      </c>
    </row>
    <row r="44" spans="1:26" s="24" customFormat="1" hidden="1" outlineLevel="1" x14ac:dyDescent="0.3">
      <c r="A44" s="44"/>
      <c r="B44" s="11" t="str">
        <f>CONCATENATE("          ", "4240", " - ", "SALES RETURN TAXABLE-LOGO CLOT")</f>
        <v xml:space="preserve">          4240 - SALES RETURN TAXABLE-LOGO CLOT</v>
      </c>
      <c r="C44" s="11"/>
      <c r="D44" s="2">
        <f t="shared" si="11"/>
        <v>0</v>
      </c>
      <c r="E44" s="2"/>
      <c r="F44" s="19"/>
      <c r="G44" s="2"/>
      <c r="H44" s="2">
        <f>-1377.35</f>
        <v>-1377.35</v>
      </c>
      <c r="I44" s="2"/>
      <c r="J44" s="19"/>
      <c r="K44" s="2"/>
      <c r="L44" s="2">
        <f t="shared" si="0"/>
        <v>1377.35</v>
      </c>
      <c r="M44" s="2"/>
      <c r="N44" s="19">
        <f t="shared" si="1"/>
        <v>-1</v>
      </c>
      <c r="O44" s="11"/>
      <c r="P44" s="2">
        <f t="shared" si="12"/>
        <v>0</v>
      </c>
      <c r="Q44" s="2"/>
      <c r="R44" s="19"/>
      <c r="S44" s="2"/>
      <c r="T44" s="2">
        <f>-12805.64</f>
        <v>-12805.64</v>
      </c>
      <c r="U44" s="2"/>
      <c r="V44" s="19"/>
      <c r="W44" s="2"/>
      <c r="X44" s="2">
        <f t="shared" si="2"/>
        <v>12805.64</v>
      </c>
      <c r="Y44" s="2"/>
      <c r="Z44" s="19">
        <f t="shared" si="3"/>
        <v>-1</v>
      </c>
    </row>
    <row r="45" spans="1:26" s="24" customFormat="1" hidden="1" outlineLevel="1" x14ac:dyDescent="0.3">
      <c r="A45" s="44"/>
      <c r="B45" s="11" t="str">
        <f>CONCATENATE("          ", "4241", " - ", "SALES RETURN TAXABLE-LOGO GIFT")</f>
        <v xml:space="preserve">          4241 - SALES RETURN TAXABLE-LOGO GIFT</v>
      </c>
      <c r="C45" s="11"/>
      <c r="D45" s="2">
        <f t="shared" si="11"/>
        <v>0</v>
      </c>
      <c r="E45" s="2"/>
      <c r="F45" s="19"/>
      <c r="G45" s="2"/>
      <c r="H45" s="2">
        <f>-67.89</f>
        <v>-67.89</v>
      </c>
      <c r="I45" s="2"/>
      <c r="J45" s="19"/>
      <c r="K45" s="2"/>
      <c r="L45" s="2">
        <f t="shared" si="0"/>
        <v>67.89</v>
      </c>
      <c r="M45" s="2"/>
      <c r="N45" s="19">
        <f t="shared" si="1"/>
        <v>-1</v>
      </c>
      <c r="O45" s="11"/>
      <c r="P45" s="2">
        <f t="shared" si="12"/>
        <v>0</v>
      </c>
      <c r="Q45" s="2"/>
      <c r="R45" s="19"/>
      <c r="S45" s="2"/>
      <c r="T45" s="2">
        <f>-1824.25</f>
        <v>-1824.25</v>
      </c>
      <c r="U45" s="2"/>
      <c r="V45" s="19"/>
      <c r="W45" s="2"/>
      <c r="X45" s="2">
        <f t="shared" si="2"/>
        <v>1824.25</v>
      </c>
      <c r="Y45" s="2"/>
      <c r="Z45" s="19">
        <f t="shared" si="3"/>
        <v>-1</v>
      </c>
    </row>
    <row r="46" spans="1:26" s="24" customFormat="1" hidden="1" outlineLevel="1" x14ac:dyDescent="0.3">
      <c r="A46" s="44"/>
      <c r="B46" s="11" t="str">
        <f>CONCATENATE("          ", "4242", " - ", "SALES RETURN TAXABLE-EVERYDAY")</f>
        <v xml:space="preserve">          4242 - SALES RETURN TAXABLE-EVERYDAY</v>
      </c>
      <c r="C46" s="11"/>
      <c r="D46" s="2">
        <f t="shared" si="11"/>
        <v>0</v>
      </c>
      <c r="E46" s="2"/>
      <c r="F46" s="19"/>
      <c r="G46" s="2"/>
      <c r="H46" s="2">
        <f>-4.5</f>
        <v>-4.5</v>
      </c>
      <c r="I46" s="2"/>
      <c r="J46" s="19"/>
      <c r="K46" s="2"/>
      <c r="L46" s="2">
        <f t="shared" si="0"/>
        <v>4.5</v>
      </c>
      <c r="M46" s="2"/>
      <c r="N46" s="19">
        <f t="shared" si="1"/>
        <v>-1</v>
      </c>
      <c r="O46" s="11"/>
      <c r="P46" s="2">
        <f t="shared" si="12"/>
        <v>0</v>
      </c>
      <c r="Q46" s="2"/>
      <c r="R46" s="19"/>
      <c r="S46" s="2"/>
      <c r="T46" s="2">
        <f>-1214.21</f>
        <v>-1214.21</v>
      </c>
      <c r="U46" s="2"/>
      <c r="V46" s="19"/>
      <c r="W46" s="2"/>
      <c r="X46" s="2">
        <f t="shared" si="2"/>
        <v>1214.21</v>
      </c>
      <c r="Y46" s="2"/>
      <c r="Z46" s="19">
        <f t="shared" si="3"/>
        <v>-1</v>
      </c>
    </row>
    <row r="47" spans="1:26" s="24" customFormat="1" hidden="1" outlineLevel="1" x14ac:dyDescent="0.3">
      <c r="A47" s="44"/>
      <c r="B47" s="11" t="str">
        <f>CONCATENATE("          ", "4243", " - ", "SALES RETURN TAXABLE-CARDS")</f>
        <v xml:space="preserve">          4243 - SALES RETURN TAXABLE-CARDS</v>
      </c>
      <c r="C47" s="11"/>
      <c r="D47" s="2">
        <f t="shared" si="11"/>
        <v>0</v>
      </c>
      <c r="E47" s="2"/>
      <c r="F47" s="19"/>
      <c r="G47" s="2"/>
      <c r="H47" s="2">
        <f>-829.54</f>
        <v>-829.54</v>
      </c>
      <c r="I47" s="2"/>
      <c r="J47" s="19"/>
      <c r="K47" s="2"/>
      <c r="L47" s="2">
        <f t="shared" si="0"/>
        <v>829.54</v>
      </c>
      <c r="M47" s="2"/>
      <c r="N47" s="19">
        <f t="shared" si="1"/>
        <v>-1</v>
      </c>
      <c r="O47" s="11"/>
      <c r="P47" s="2">
        <f t="shared" si="12"/>
        <v>0</v>
      </c>
      <c r="Q47" s="2"/>
      <c r="R47" s="19"/>
      <c r="S47" s="2"/>
      <c r="T47" s="2">
        <f>-1812.46</f>
        <v>-1812.46</v>
      </c>
      <c r="U47" s="2"/>
      <c r="V47" s="19"/>
      <c r="W47" s="2"/>
      <c r="X47" s="2">
        <f t="shared" si="2"/>
        <v>1812.46</v>
      </c>
      <c r="Y47" s="2"/>
      <c r="Z47" s="19">
        <f t="shared" si="3"/>
        <v>-1</v>
      </c>
    </row>
    <row r="48" spans="1:26" s="24" customFormat="1" hidden="1" outlineLevel="1" x14ac:dyDescent="0.3">
      <c r="A48" s="44"/>
      <c r="B48" s="11" t="str">
        <f>CONCATENATE("          ", "4244", " - ", "SALES RETURN TAXABLE-ACCESSORI")</f>
        <v xml:space="preserve">          4244 - SALES RETURN TAXABLE-ACCESSORI</v>
      </c>
      <c r="C48" s="11"/>
      <c r="D48" s="2">
        <f t="shared" si="11"/>
        <v>0</v>
      </c>
      <c r="E48" s="2"/>
      <c r="F48" s="19"/>
      <c r="G48" s="2"/>
      <c r="H48" s="2">
        <f>-179.95</f>
        <v>-179.95</v>
      </c>
      <c r="I48" s="2"/>
      <c r="J48" s="19"/>
      <c r="K48" s="2"/>
      <c r="L48" s="2">
        <f t="shared" si="0"/>
        <v>179.95</v>
      </c>
      <c r="M48" s="2"/>
      <c r="N48" s="19">
        <f t="shared" si="1"/>
        <v>-1</v>
      </c>
      <c r="O48" s="11"/>
      <c r="P48" s="2">
        <f t="shared" si="12"/>
        <v>0</v>
      </c>
      <c r="Q48" s="2"/>
      <c r="R48" s="19"/>
      <c r="S48" s="2"/>
      <c r="T48" s="2">
        <f>-590.94</f>
        <v>-590.94000000000005</v>
      </c>
      <c r="U48" s="2"/>
      <c r="V48" s="19"/>
      <c r="W48" s="2"/>
      <c r="X48" s="2">
        <f t="shared" si="2"/>
        <v>590.94000000000005</v>
      </c>
      <c r="Y48" s="2"/>
      <c r="Z48" s="19">
        <f t="shared" si="3"/>
        <v>-1</v>
      </c>
    </row>
    <row r="49" spans="1:26" s="24" customFormat="1" hidden="1" outlineLevel="1" x14ac:dyDescent="0.3">
      <c r="A49" s="44"/>
      <c r="B49" s="11" t="str">
        <f>CONCATENATE("          ", "4245", " - ", "SALES RETURN TAXABLE-SPECIAL O")</f>
        <v xml:space="preserve">          4245 - SALES RETURN TAXABLE-SPECIAL O</v>
      </c>
      <c r="C49" s="11"/>
      <c r="D49" s="2">
        <f t="shared" si="11"/>
        <v>0</v>
      </c>
      <c r="E49" s="2"/>
      <c r="F49" s="19"/>
      <c r="G49" s="2"/>
      <c r="H49" s="2">
        <f>-45.89</f>
        <v>-45.89</v>
      </c>
      <c r="I49" s="2"/>
      <c r="J49" s="19"/>
      <c r="K49" s="2"/>
      <c r="L49" s="2">
        <f t="shared" si="0"/>
        <v>45.89</v>
      </c>
      <c r="M49" s="2"/>
      <c r="N49" s="19">
        <f t="shared" si="1"/>
        <v>-1</v>
      </c>
      <c r="O49" s="11"/>
      <c r="P49" s="2">
        <f t="shared" si="12"/>
        <v>0</v>
      </c>
      <c r="Q49" s="2"/>
      <c r="R49" s="19"/>
      <c r="S49" s="2"/>
      <c r="T49" s="2">
        <f>-1585.82</f>
        <v>-1585.82</v>
      </c>
      <c r="U49" s="2"/>
      <c r="V49" s="19"/>
      <c r="W49" s="2"/>
      <c r="X49" s="2">
        <f t="shared" si="2"/>
        <v>1585.82</v>
      </c>
      <c r="Y49" s="2"/>
      <c r="Z49" s="19">
        <f t="shared" si="3"/>
        <v>-1</v>
      </c>
    </row>
    <row r="50" spans="1:26" s="24" customFormat="1" hidden="1" outlineLevel="1" x14ac:dyDescent="0.3">
      <c r="A50" s="44"/>
      <c r="B50" s="11" t="str">
        <f>CONCATENATE("          ", "4300", " - ", "NON-TAX RETURNS")</f>
        <v xml:space="preserve">          4300 - NON-TAX RETURNS</v>
      </c>
      <c r="C50" s="11"/>
      <c r="D50" s="2">
        <f>-213.1</f>
        <v>-213.1</v>
      </c>
      <c r="E50" s="2"/>
      <c r="F50" s="19"/>
      <c r="G50" s="2"/>
      <c r="H50" s="2">
        <f>0</f>
        <v>0</v>
      </c>
      <c r="I50" s="2"/>
      <c r="J50" s="19"/>
      <c r="K50" s="2"/>
      <c r="L50" s="2">
        <f t="shared" si="0"/>
        <v>-213.1</v>
      </c>
      <c r="M50" s="2"/>
      <c r="N50" s="19">
        <f t="shared" si="1"/>
        <v>0</v>
      </c>
      <c r="O50" s="11"/>
      <c r="P50" s="2">
        <f>-1107.41</f>
        <v>-1107.4100000000001</v>
      </c>
      <c r="Q50" s="2"/>
      <c r="R50" s="19"/>
      <c r="S50" s="2"/>
      <c r="T50" s="2">
        <f>0</f>
        <v>0</v>
      </c>
      <c r="U50" s="2"/>
      <c r="V50" s="19"/>
      <c r="W50" s="2"/>
      <c r="X50" s="2">
        <f t="shared" si="2"/>
        <v>-1107.4100000000001</v>
      </c>
      <c r="Y50" s="2"/>
      <c r="Z50" s="19">
        <f t="shared" si="3"/>
        <v>0</v>
      </c>
    </row>
    <row r="51" spans="1:26" s="24" customFormat="1" hidden="1" outlineLevel="1" x14ac:dyDescent="0.3">
      <c r="A51" s="44"/>
      <c r="B51" s="11" t="str">
        <f>CONCATENATE("          ", "4340", " - ", "SALES RETURN NON TAXABLE-LOGO")</f>
        <v xml:space="preserve">          4340 - SALES RETURN NON TAXABLE-LOGO</v>
      </c>
      <c r="C51" s="11"/>
      <c r="D51" s="2">
        <f t="shared" ref="D51:D53" si="13">0</f>
        <v>0</v>
      </c>
      <c r="E51" s="2"/>
      <c r="F51" s="19"/>
      <c r="G51" s="2"/>
      <c r="H51" s="2">
        <f>-203.75</f>
        <v>-203.75</v>
      </c>
      <c r="I51" s="2"/>
      <c r="J51" s="19"/>
      <c r="K51" s="2"/>
      <c r="L51" s="2">
        <f t="shared" si="0"/>
        <v>203.75</v>
      </c>
      <c r="M51" s="2"/>
      <c r="N51" s="19">
        <f t="shared" si="1"/>
        <v>-1</v>
      </c>
      <c r="O51" s="11"/>
      <c r="P51" s="2">
        <f t="shared" ref="P51:P53" si="14">0</f>
        <v>0</v>
      </c>
      <c r="Q51" s="2"/>
      <c r="R51" s="19"/>
      <c r="S51" s="2"/>
      <c r="T51" s="2">
        <f>-940.48</f>
        <v>-940.48</v>
      </c>
      <c r="U51" s="2"/>
      <c r="V51" s="19"/>
      <c r="W51" s="2"/>
      <c r="X51" s="2">
        <f t="shared" si="2"/>
        <v>940.48</v>
      </c>
      <c r="Y51" s="2"/>
      <c r="Z51" s="19">
        <f t="shared" si="3"/>
        <v>-1</v>
      </c>
    </row>
    <row r="52" spans="1:26" s="24" customFormat="1" hidden="1" outlineLevel="1" x14ac:dyDescent="0.3">
      <c r="A52" s="44"/>
      <c r="B52" s="11" t="str">
        <f>CONCATENATE("          ", "4341", " - ", "SALES RETURN NON TAXABLE-LOGO")</f>
        <v xml:space="preserve">          4341 - SALES RETURN NON TAXABLE-LOGO</v>
      </c>
      <c r="C52" s="11"/>
      <c r="D52" s="2">
        <f t="shared" si="13"/>
        <v>0</v>
      </c>
      <c r="E52" s="2"/>
      <c r="F52" s="19"/>
      <c r="G52" s="2"/>
      <c r="H52" s="2">
        <f>-154.89</f>
        <v>-154.88999999999999</v>
      </c>
      <c r="I52" s="2"/>
      <c r="J52" s="19"/>
      <c r="K52" s="2"/>
      <c r="L52" s="2">
        <f t="shared" si="0"/>
        <v>154.88999999999999</v>
      </c>
      <c r="M52" s="2"/>
      <c r="N52" s="19">
        <f t="shared" si="1"/>
        <v>-1</v>
      </c>
      <c r="O52" s="11"/>
      <c r="P52" s="2">
        <f t="shared" si="14"/>
        <v>0</v>
      </c>
      <c r="Q52" s="2"/>
      <c r="R52" s="19"/>
      <c r="S52" s="2"/>
      <c r="T52" s="2">
        <f>-301.79</f>
        <v>-301.79000000000002</v>
      </c>
      <c r="U52" s="2"/>
      <c r="V52" s="19"/>
      <c r="W52" s="2"/>
      <c r="X52" s="2">
        <f t="shared" si="2"/>
        <v>301.79000000000002</v>
      </c>
      <c r="Y52" s="2"/>
      <c r="Z52" s="19">
        <f t="shared" si="3"/>
        <v>-1</v>
      </c>
    </row>
    <row r="53" spans="1:26" s="24" customFormat="1" hidden="1" outlineLevel="1" x14ac:dyDescent="0.3">
      <c r="A53" s="44"/>
      <c r="B53" s="11" t="str">
        <f>CONCATENATE("          ", "4342", " - ", "SALES RETURN NON TAXABLE-EVERY")</f>
        <v xml:space="preserve">          4342 - SALES RETURN NON TAXABLE-EVERY</v>
      </c>
      <c r="C53" s="11"/>
      <c r="D53" s="2">
        <f t="shared" si="13"/>
        <v>0</v>
      </c>
      <c r="E53" s="2"/>
      <c r="F53" s="19"/>
      <c r="G53" s="2"/>
      <c r="H53" s="2">
        <f t="shared" ref="H53:H54" si="15">0</f>
        <v>0</v>
      </c>
      <c r="I53" s="2"/>
      <c r="J53" s="19"/>
      <c r="K53" s="2"/>
      <c r="L53" s="2">
        <f t="shared" si="0"/>
        <v>0</v>
      </c>
      <c r="M53" s="2"/>
      <c r="N53" s="19">
        <f t="shared" si="1"/>
        <v>0</v>
      </c>
      <c r="O53" s="11"/>
      <c r="P53" s="2">
        <f t="shared" si="14"/>
        <v>0</v>
      </c>
      <c r="Q53" s="2"/>
      <c r="R53" s="19"/>
      <c r="S53" s="2"/>
      <c r="T53" s="2">
        <f>-118.7</f>
        <v>-118.7</v>
      </c>
      <c r="U53" s="2"/>
      <c r="V53" s="19"/>
      <c r="W53" s="2"/>
      <c r="X53" s="2">
        <f t="shared" si="2"/>
        <v>118.7</v>
      </c>
      <c r="Y53" s="2"/>
      <c r="Z53" s="19">
        <f t="shared" si="3"/>
        <v>-1</v>
      </c>
    </row>
    <row r="54" spans="1:26" s="24" customFormat="1" hidden="1" outlineLevel="1" x14ac:dyDescent="0.3">
      <c r="A54" s="44"/>
      <c r="B54" s="11" t="str">
        <f>CONCATENATE("          ", "4500", " - ", "SALES DISCOUNT")</f>
        <v xml:space="preserve">          4500 - SALES DISCOUNT</v>
      </c>
      <c r="C54" s="11"/>
      <c r="D54" s="2">
        <f>-6072.75</f>
        <v>-6072.75</v>
      </c>
      <c r="E54" s="2"/>
      <c r="F54" s="19"/>
      <c r="G54" s="2"/>
      <c r="H54" s="2">
        <f t="shared" si="15"/>
        <v>0</v>
      </c>
      <c r="I54" s="2"/>
      <c r="J54" s="19"/>
      <c r="K54" s="2"/>
      <c r="L54" s="2">
        <f t="shared" si="0"/>
        <v>-6072.75</v>
      </c>
      <c r="M54" s="2"/>
      <c r="N54" s="19">
        <f t="shared" si="1"/>
        <v>0</v>
      </c>
      <c r="O54" s="11"/>
      <c r="P54" s="2">
        <f>-12659.2</f>
        <v>-12659.2</v>
      </c>
      <c r="Q54" s="2"/>
      <c r="R54" s="19"/>
      <c r="S54" s="2"/>
      <c r="T54" s="2">
        <f>0</f>
        <v>0</v>
      </c>
      <c r="U54" s="2"/>
      <c r="V54" s="19"/>
      <c r="W54" s="2"/>
      <c r="X54" s="2">
        <f t="shared" si="2"/>
        <v>-12659.2</v>
      </c>
      <c r="Y54" s="2"/>
      <c r="Z54" s="19">
        <f t="shared" si="3"/>
        <v>0</v>
      </c>
    </row>
    <row r="55" spans="1:26" x14ac:dyDescent="0.3">
      <c r="A55" s="9"/>
      <c r="B55" s="10"/>
      <c r="C55" s="9"/>
      <c r="D55" s="3"/>
      <c r="E55" s="3"/>
      <c r="F55" s="8"/>
      <c r="G55" s="3"/>
      <c r="H55" s="3"/>
      <c r="I55" s="3"/>
      <c r="J55" s="8"/>
      <c r="K55" s="3"/>
      <c r="L55" s="3"/>
      <c r="M55" s="3"/>
      <c r="N55" s="8"/>
      <c r="P55" s="3"/>
      <c r="Q55" s="3"/>
      <c r="R55" s="8"/>
      <c r="S55" s="3"/>
      <c r="T55" s="3"/>
      <c r="U55" s="3"/>
      <c r="V55" s="8"/>
      <c r="W55" s="3"/>
      <c r="X55" s="3"/>
      <c r="Y55" s="3"/>
      <c r="Z55" s="8"/>
    </row>
    <row r="56" spans="1:26" s="23" customFormat="1" collapsed="1" x14ac:dyDescent="0.3">
      <c r="A56" s="10"/>
      <c r="B56" s="26" t="s">
        <v>256</v>
      </c>
      <c r="C56" s="10"/>
      <c r="D56" s="4">
        <f>SUM(OSRRefD16x_0)</f>
        <v>110780</v>
      </c>
      <c r="E56" s="4"/>
      <c r="F56" s="12">
        <f t="shared" ref="F56:F80" si="16">IF(D$12=0,0,D56/D$12)</f>
        <v>0.469599016783947</v>
      </c>
      <c r="G56" s="4"/>
      <c r="H56" s="4">
        <f>SUM(OSRRefH16x_0)</f>
        <v>46546</v>
      </c>
      <c r="I56" s="4"/>
      <c r="J56" s="12">
        <f t="shared" ref="J56:J80" si="17">IF(H$12=0,0,H56/H$12)</f>
        <v>0.55906175250593482</v>
      </c>
      <c r="K56" s="4"/>
      <c r="L56" s="4">
        <f t="shared" ref="L56:L80" si="18">+D56-H56</f>
        <v>64234</v>
      </c>
      <c r="M56" s="4"/>
      <c r="N56" s="12">
        <f t="shared" ref="N56:N80" si="19">IF(H56=0,0,L56/H56)</f>
        <v>1.3800111717440811</v>
      </c>
      <c r="O56" s="10"/>
      <c r="P56" s="4">
        <f>SUM(OSRRefP16x_0)</f>
        <v>734903.6</v>
      </c>
      <c r="Q56" s="4"/>
      <c r="R56" s="12">
        <f t="shared" ref="R56:R80" si="20">IF(P$12=0,0,P56/P$12)</f>
        <v>0.49305153966816362</v>
      </c>
      <c r="S56" s="4"/>
      <c r="T56" s="4">
        <f>SUM(OSRRefT16x_0)</f>
        <v>430719.54</v>
      </c>
      <c r="U56" s="4"/>
      <c r="V56" s="12">
        <f t="shared" ref="V56:V80" si="21">IF(T$12=0,0,T56/T$12)</f>
        <v>0.60677304656364017</v>
      </c>
      <c r="W56" s="4"/>
      <c r="X56" s="4">
        <f t="shared" ref="X56:X80" si="22">+P56-T56</f>
        <v>304184.06</v>
      </c>
      <c r="Y56" s="4"/>
      <c r="Z56" s="12">
        <f t="shared" ref="Z56:Z80" si="23">IF(T56=0,0,X56/T56)</f>
        <v>0.70622303320624835</v>
      </c>
    </row>
    <row r="57" spans="1:26" s="24" customFormat="1" hidden="1" outlineLevel="1" x14ac:dyDescent="0.3">
      <c r="A57" s="44"/>
      <c r="B57" s="11" t="str">
        <f>CONCATENATE("          ", "5000", " - ", "PURCHASES @ COST")</f>
        <v xml:space="preserve">          5000 - PURCHASES @ COST</v>
      </c>
      <c r="C57" s="11"/>
      <c r="D57" s="2">
        <v>109123.35</v>
      </c>
      <c r="E57" s="2"/>
      <c r="F57" s="19">
        <f t="shared" si="16"/>
        <v>0.46257643860056441</v>
      </c>
      <c r="G57" s="2"/>
      <c r="H57" s="2"/>
      <c r="I57" s="2"/>
      <c r="J57" s="19">
        <f t="shared" si="17"/>
        <v>0</v>
      </c>
      <c r="K57" s="2"/>
      <c r="L57" s="2">
        <f t="shared" si="18"/>
        <v>109123.35</v>
      </c>
      <c r="M57" s="2"/>
      <c r="N57" s="19">
        <f t="shared" si="19"/>
        <v>0</v>
      </c>
      <c r="O57" s="11"/>
      <c r="P57" s="2">
        <v>832885.12</v>
      </c>
      <c r="Q57" s="2"/>
      <c r="R57" s="19">
        <f t="shared" si="20"/>
        <v>0.55878796999049019</v>
      </c>
      <c r="S57" s="2"/>
      <c r="T57" s="2"/>
      <c r="U57" s="2"/>
      <c r="V57" s="19">
        <f t="shared" si="21"/>
        <v>0</v>
      </c>
      <c r="W57" s="2"/>
      <c r="X57" s="2">
        <f t="shared" si="22"/>
        <v>832885.12</v>
      </c>
      <c r="Y57" s="2"/>
      <c r="Z57" s="19">
        <f t="shared" si="23"/>
        <v>0</v>
      </c>
    </row>
    <row r="58" spans="1:26" s="24" customFormat="1" hidden="1" outlineLevel="1" x14ac:dyDescent="0.3">
      <c r="A58" s="44"/>
      <c r="B58" s="11" t="str">
        <f>CONCATENATE("          ", "5025", " - ", "PURCHASES @ COST-TEST FORMS")</f>
        <v xml:space="preserve">          5025 - PURCHASES @ COST-TEST FORMS</v>
      </c>
      <c r="C58" s="11"/>
      <c r="D58" s="2"/>
      <c r="E58" s="2"/>
      <c r="F58" s="19">
        <f t="shared" si="16"/>
        <v>0</v>
      </c>
      <c r="G58" s="2"/>
      <c r="H58" s="2"/>
      <c r="I58" s="2"/>
      <c r="J58" s="19">
        <f t="shared" si="17"/>
        <v>0</v>
      </c>
      <c r="K58" s="2"/>
      <c r="L58" s="2">
        <f t="shared" si="18"/>
        <v>0</v>
      </c>
      <c r="M58" s="2"/>
      <c r="N58" s="19">
        <f t="shared" si="19"/>
        <v>0</v>
      </c>
      <c r="O58" s="11"/>
      <c r="P58" s="2"/>
      <c r="Q58" s="2"/>
      <c r="R58" s="19">
        <f t="shared" si="20"/>
        <v>0</v>
      </c>
      <c r="S58" s="2"/>
      <c r="T58" s="2">
        <v>599.29</v>
      </c>
      <c r="U58" s="2"/>
      <c r="V58" s="19">
        <f t="shared" si="21"/>
        <v>8.4424546672557256E-4</v>
      </c>
      <c r="W58" s="2"/>
      <c r="X58" s="2">
        <f t="shared" si="22"/>
        <v>-599.29</v>
      </c>
      <c r="Y58" s="2"/>
      <c r="Z58" s="19">
        <f t="shared" si="23"/>
        <v>-1</v>
      </c>
    </row>
    <row r="59" spans="1:26" s="24" customFormat="1" hidden="1" outlineLevel="1" x14ac:dyDescent="0.3">
      <c r="A59" s="44"/>
      <c r="B59" s="11" t="str">
        <f>CONCATENATE("          ", "5026", " - ", "PURCHASES @ COST-WRITING INSTR")</f>
        <v xml:space="preserve">          5026 - PURCHASES @ COST-WRITING INSTR</v>
      </c>
      <c r="C59" s="11"/>
      <c r="D59" s="2"/>
      <c r="E59" s="2"/>
      <c r="F59" s="19">
        <f t="shared" si="16"/>
        <v>0</v>
      </c>
      <c r="G59" s="2"/>
      <c r="H59" s="2"/>
      <c r="I59" s="2"/>
      <c r="J59" s="19">
        <f t="shared" si="17"/>
        <v>0</v>
      </c>
      <c r="K59" s="2"/>
      <c r="L59" s="2">
        <f t="shared" si="18"/>
        <v>0</v>
      </c>
      <c r="M59" s="2"/>
      <c r="N59" s="19">
        <f t="shared" si="19"/>
        <v>0</v>
      </c>
      <c r="O59" s="11"/>
      <c r="P59" s="2"/>
      <c r="Q59" s="2"/>
      <c r="R59" s="19">
        <f t="shared" si="20"/>
        <v>0</v>
      </c>
      <c r="S59" s="2"/>
      <c r="T59" s="2">
        <v>10</v>
      </c>
      <c r="U59" s="2"/>
      <c r="V59" s="19">
        <f t="shared" si="21"/>
        <v>1.4087427901776645E-5</v>
      </c>
      <c r="W59" s="2"/>
      <c r="X59" s="2">
        <f t="shared" si="22"/>
        <v>-10</v>
      </c>
      <c r="Y59" s="2"/>
      <c r="Z59" s="19">
        <f t="shared" si="23"/>
        <v>-1</v>
      </c>
    </row>
    <row r="60" spans="1:26" s="24" customFormat="1" hidden="1" outlineLevel="1" x14ac:dyDescent="0.3">
      <c r="A60" s="44"/>
      <c r="B60" s="11" t="str">
        <f>CONCATENATE("          ", "5027", " - ", "PURCHASES @ COST-SCHOOL SUPPLI")</f>
        <v xml:space="preserve">          5027 - PURCHASES @ COST-SCHOOL SUPPLI</v>
      </c>
      <c r="C60" s="11"/>
      <c r="D60" s="2"/>
      <c r="E60" s="2"/>
      <c r="F60" s="19">
        <f t="shared" si="16"/>
        <v>0</v>
      </c>
      <c r="G60" s="2"/>
      <c r="H60" s="2"/>
      <c r="I60" s="2"/>
      <c r="J60" s="19">
        <f t="shared" si="17"/>
        <v>0</v>
      </c>
      <c r="K60" s="2"/>
      <c r="L60" s="2">
        <f t="shared" si="18"/>
        <v>0</v>
      </c>
      <c r="M60" s="2"/>
      <c r="N60" s="19">
        <f t="shared" si="19"/>
        <v>0</v>
      </c>
      <c r="O60" s="11"/>
      <c r="P60" s="2">
        <v>0</v>
      </c>
      <c r="Q60" s="2"/>
      <c r="R60" s="19">
        <f t="shared" si="20"/>
        <v>0</v>
      </c>
      <c r="S60" s="2"/>
      <c r="T60" s="2">
        <v>18175.88</v>
      </c>
      <c r="U60" s="2"/>
      <c r="V60" s="19">
        <f t="shared" si="21"/>
        <v>2.5605139905134411E-2</v>
      </c>
      <c r="W60" s="2"/>
      <c r="X60" s="2">
        <f t="shared" si="22"/>
        <v>-18175.88</v>
      </c>
      <c r="Y60" s="2"/>
      <c r="Z60" s="19">
        <f t="shared" si="23"/>
        <v>-1</v>
      </c>
    </row>
    <row r="61" spans="1:26" s="24" customFormat="1" hidden="1" outlineLevel="1" x14ac:dyDescent="0.3">
      <c r="A61" s="44"/>
      <c r="B61" s="11" t="str">
        <f>CONCATENATE("          ", "5028", " - ", "PURCHASES @ COST-ART/TECH")</f>
        <v xml:space="preserve">          5028 - PURCHASES @ COST-ART/TECH</v>
      </c>
      <c r="C61" s="11"/>
      <c r="D61" s="2"/>
      <c r="E61" s="2"/>
      <c r="F61" s="19">
        <f t="shared" si="16"/>
        <v>0</v>
      </c>
      <c r="G61" s="2"/>
      <c r="H61" s="2"/>
      <c r="I61" s="2"/>
      <c r="J61" s="19">
        <f t="shared" si="17"/>
        <v>0</v>
      </c>
      <c r="K61" s="2"/>
      <c r="L61" s="2">
        <f t="shared" si="18"/>
        <v>0</v>
      </c>
      <c r="M61" s="2"/>
      <c r="N61" s="19">
        <f t="shared" si="19"/>
        <v>0</v>
      </c>
      <c r="O61" s="11"/>
      <c r="P61" s="2">
        <v>0</v>
      </c>
      <c r="Q61" s="2"/>
      <c r="R61" s="19">
        <f t="shared" si="20"/>
        <v>0</v>
      </c>
      <c r="S61" s="2"/>
      <c r="T61" s="2">
        <v>-83.4</v>
      </c>
      <c r="U61" s="2"/>
      <c r="V61" s="19">
        <f t="shared" si="21"/>
        <v>-1.1748914870081723E-4</v>
      </c>
      <c r="W61" s="2"/>
      <c r="X61" s="2">
        <f t="shared" si="22"/>
        <v>83.4</v>
      </c>
      <c r="Y61" s="2"/>
      <c r="Z61" s="19">
        <f t="shared" si="23"/>
        <v>-1</v>
      </c>
    </row>
    <row r="62" spans="1:26" s="24" customFormat="1" hidden="1" outlineLevel="1" x14ac:dyDescent="0.3">
      <c r="A62" s="44"/>
      <c r="B62" s="11" t="str">
        <f>CONCATENATE("          ", "5031", " - ", "PURCHASES @ COST-FOOD")</f>
        <v xml:space="preserve">          5031 - PURCHASES @ COST-FOOD</v>
      </c>
      <c r="C62" s="11"/>
      <c r="D62" s="2"/>
      <c r="E62" s="2"/>
      <c r="F62" s="19">
        <f t="shared" si="16"/>
        <v>0</v>
      </c>
      <c r="G62" s="2"/>
      <c r="H62" s="2"/>
      <c r="I62" s="2"/>
      <c r="J62" s="19">
        <f t="shared" si="17"/>
        <v>0</v>
      </c>
      <c r="K62" s="2"/>
      <c r="L62" s="2">
        <f t="shared" si="18"/>
        <v>0</v>
      </c>
      <c r="M62" s="2"/>
      <c r="N62" s="19">
        <f t="shared" si="19"/>
        <v>0</v>
      </c>
      <c r="O62" s="11"/>
      <c r="P62" s="2">
        <v>0</v>
      </c>
      <c r="Q62" s="2"/>
      <c r="R62" s="19">
        <f t="shared" si="20"/>
        <v>0</v>
      </c>
      <c r="S62" s="2"/>
      <c r="T62" s="2">
        <v>5605.43</v>
      </c>
      <c r="U62" s="2"/>
      <c r="V62" s="19">
        <f t="shared" si="21"/>
        <v>7.8966090983455875E-3</v>
      </c>
      <c r="W62" s="2"/>
      <c r="X62" s="2">
        <f t="shared" si="22"/>
        <v>-5605.43</v>
      </c>
      <c r="Y62" s="2"/>
      <c r="Z62" s="19">
        <f t="shared" si="23"/>
        <v>-1</v>
      </c>
    </row>
    <row r="63" spans="1:26" s="24" customFormat="1" hidden="1" outlineLevel="1" x14ac:dyDescent="0.3">
      <c r="A63" s="44"/>
      <c r="B63" s="11" t="str">
        <f>CONCATENATE("          ", "5040", " - ", "PURCHASES @ COST-LOGO CLOTHING")</f>
        <v xml:space="preserve">          5040 - PURCHASES @ COST-LOGO CLOTHING</v>
      </c>
      <c r="C63" s="11"/>
      <c r="D63" s="2"/>
      <c r="E63" s="2"/>
      <c r="F63" s="19">
        <f t="shared" si="16"/>
        <v>0</v>
      </c>
      <c r="G63" s="2"/>
      <c r="H63" s="2">
        <v>55124.33</v>
      </c>
      <c r="I63" s="2"/>
      <c r="J63" s="19">
        <f t="shared" si="17"/>
        <v>0.66209565882171362</v>
      </c>
      <c r="K63" s="2"/>
      <c r="L63" s="2">
        <f t="shared" si="18"/>
        <v>-55124.33</v>
      </c>
      <c r="M63" s="2"/>
      <c r="N63" s="19">
        <f t="shared" si="19"/>
        <v>-1</v>
      </c>
      <c r="O63" s="11"/>
      <c r="P63" s="2">
        <v>0</v>
      </c>
      <c r="Q63" s="2"/>
      <c r="R63" s="19">
        <f t="shared" si="20"/>
        <v>0</v>
      </c>
      <c r="S63" s="2"/>
      <c r="T63" s="2">
        <v>94295.28</v>
      </c>
      <c r="U63" s="2"/>
      <c r="V63" s="19">
        <f t="shared" si="21"/>
        <v>0.13283779584778413</v>
      </c>
      <c r="W63" s="2"/>
      <c r="X63" s="2">
        <f t="shared" si="22"/>
        <v>-94295.28</v>
      </c>
      <c r="Y63" s="2"/>
      <c r="Z63" s="19">
        <f t="shared" si="23"/>
        <v>-1</v>
      </c>
    </row>
    <row r="64" spans="1:26" s="24" customFormat="1" hidden="1" outlineLevel="1" x14ac:dyDescent="0.3">
      <c r="A64" s="44"/>
      <c r="B64" s="11" t="str">
        <f>CONCATENATE("          ", "5041", " - ", "PURCHASES @ COST-LOGO GIFTS")</f>
        <v xml:space="preserve">          5041 - PURCHASES @ COST-LOGO GIFTS</v>
      </c>
      <c r="C64" s="11"/>
      <c r="D64" s="2"/>
      <c r="E64" s="2"/>
      <c r="F64" s="19">
        <f t="shared" si="16"/>
        <v>0</v>
      </c>
      <c r="G64" s="2"/>
      <c r="H64" s="2">
        <v>9354.43</v>
      </c>
      <c r="I64" s="2"/>
      <c r="J64" s="19">
        <f t="shared" si="17"/>
        <v>0.11235560584140619</v>
      </c>
      <c r="K64" s="2"/>
      <c r="L64" s="2">
        <f t="shared" si="18"/>
        <v>-9354.43</v>
      </c>
      <c r="M64" s="2"/>
      <c r="N64" s="19">
        <f t="shared" si="19"/>
        <v>-1</v>
      </c>
      <c r="O64" s="11"/>
      <c r="P64" s="2">
        <v>0</v>
      </c>
      <c r="Q64" s="2"/>
      <c r="R64" s="19">
        <f t="shared" si="20"/>
        <v>0</v>
      </c>
      <c r="S64" s="2"/>
      <c r="T64" s="2">
        <v>26434.17</v>
      </c>
      <c r="U64" s="2"/>
      <c r="V64" s="19">
        <f t="shared" si="21"/>
        <v>3.723894640183071E-2</v>
      </c>
      <c r="W64" s="2"/>
      <c r="X64" s="2">
        <f t="shared" si="22"/>
        <v>-26434.17</v>
      </c>
      <c r="Y64" s="2"/>
      <c r="Z64" s="19">
        <f t="shared" si="23"/>
        <v>-1</v>
      </c>
    </row>
    <row r="65" spans="1:26" s="24" customFormat="1" hidden="1" outlineLevel="1" x14ac:dyDescent="0.3">
      <c r="A65" s="44"/>
      <c r="B65" s="11" t="str">
        <f>CONCATENATE("          ", "5042", " - ", "PURCHASES @ COST-EVERYDAY GIFT")</f>
        <v xml:space="preserve">          5042 - PURCHASES @ COST-EVERYDAY GIFT</v>
      </c>
      <c r="C65" s="11"/>
      <c r="D65" s="2"/>
      <c r="E65" s="2"/>
      <c r="F65" s="19">
        <f t="shared" si="16"/>
        <v>0</v>
      </c>
      <c r="G65" s="2"/>
      <c r="H65" s="2"/>
      <c r="I65" s="2"/>
      <c r="J65" s="19">
        <f t="shared" si="17"/>
        <v>0</v>
      </c>
      <c r="K65" s="2"/>
      <c r="L65" s="2">
        <f t="shared" si="18"/>
        <v>0</v>
      </c>
      <c r="M65" s="2"/>
      <c r="N65" s="19">
        <f t="shared" si="19"/>
        <v>0</v>
      </c>
      <c r="O65" s="11"/>
      <c r="P65" s="2">
        <v>0</v>
      </c>
      <c r="Q65" s="2"/>
      <c r="R65" s="19">
        <f t="shared" si="20"/>
        <v>0</v>
      </c>
      <c r="S65" s="2"/>
      <c r="T65" s="2">
        <v>2966.64</v>
      </c>
      <c r="U65" s="2"/>
      <c r="V65" s="19">
        <f t="shared" si="21"/>
        <v>4.179232711052667E-3</v>
      </c>
      <c r="W65" s="2"/>
      <c r="X65" s="2">
        <f t="shared" si="22"/>
        <v>-2966.64</v>
      </c>
      <c r="Y65" s="2"/>
      <c r="Z65" s="19">
        <f t="shared" si="23"/>
        <v>-1</v>
      </c>
    </row>
    <row r="66" spans="1:26" s="24" customFormat="1" hidden="1" outlineLevel="1" x14ac:dyDescent="0.3">
      <c r="A66" s="44"/>
      <c r="B66" s="11" t="str">
        <f>CONCATENATE("          ", "5043", " - ", "PURCHASES @ COST-CARDS")</f>
        <v xml:space="preserve">          5043 - PURCHASES @ COST-CARDS</v>
      </c>
      <c r="C66" s="11"/>
      <c r="D66" s="2"/>
      <c r="E66" s="2"/>
      <c r="F66" s="19">
        <f t="shared" si="16"/>
        <v>0</v>
      </c>
      <c r="G66" s="2"/>
      <c r="H66" s="2">
        <v>38530.230000000003</v>
      </c>
      <c r="I66" s="2"/>
      <c r="J66" s="19">
        <f t="shared" si="17"/>
        <v>0.46278472711418273</v>
      </c>
      <c r="K66" s="2"/>
      <c r="L66" s="2">
        <f t="shared" si="18"/>
        <v>-38530.230000000003</v>
      </c>
      <c r="M66" s="2"/>
      <c r="N66" s="19">
        <f t="shared" si="19"/>
        <v>-1</v>
      </c>
      <c r="O66" s="11"/>
      <c r="P66" s="2">
        <v>0</v>
      </c>
      <c r="Q66" s="2"/>
      <c r="R66" s="19">
        <f t="shared" si="20"/>
        <v>0</v>
      </c>
      <c r="S66" s="2"/>
      <c r="T66" s="2">
        <v>44173.23</v>
      </c>
      <c r="U66" s="2"/>
      <c r="V66" s="19">
        <f t="shared" si="21"/>
        <v>6.2228719281359722E-2</v>
      </c>
      <c r="W66" s="2"/>
      <c r="X66" s="2">
        <f t="shared" si="22"/>
        <v>-44173.23</v>
      </c>
      <c r="Y66" s="2"/>
      <c r="Z66" s="19">
        <f t="shared" si="23"/>
        <v>-1</v>
      </c>
    </row>
    <row r="67" spans="1:26" s="24" customFormat="1" hidden="1" outlineLevel="1" x14ac:dyDescent="0.3">
      <c r="A67" s="44"/>
      <c r="B67" s="11" t="str">
        <f>CONCATENATE("          ", "5044", " - ", "PURCHASES @ COST-ACCESSORIES")</f>
        <v xml:space="preserve">          5044 - PURCHASES @ COST-ACCESSORIES</v>
      </c>
      <c r="C67" s="11"/>
      <c r="D67" s="2"/>
      <c r="E67" s="2"/>
      <c r="F67" s="19">
        <f t="shared" si="16"/>
        <v>0</v>
      </c>
      <c r="G67" s="2"/>
      <c r="H67" s="2">
        <v>282.33</v>
      </c>
      <c r="I67" s="2"/>
      <c r="J67" s="19">
        <f t="shared" si="17"/>
        <v>3.3910519611782017E-3</v>
      </c>
      <c r="K67" s="2"/>
      <c r="L67" s="2">
        <f t="shared" si="18"/>
        <v>-282.33</v>
      </c>
      <c r="M67" s="2"/>
      <c r="N67" s="19">
        <f t="shared" si="19"/>
        <v>-1</v>
      </c>
      <c r="O67" s="11"/>
      <c r="P67" s="2">
        <v>0</v>
      </c>
      <c r="Q67" s="2"/>
      <c r="R67" s="19">
        <f t="shared" si="20"/>
        <v>0</v>
      </c>
      <c r="S67" s="2"/>
      <c r="T67" s="2">
        <v>282.33</v>
      </c>
      <c r="U67" s="2"/>
      <c r="V67" s="19">
        <f t="shared" si="21"/>
        <v>3.9773035195086001E-4</v>
      </c>
      <c r="W67" s="2"/>
      <c r="X67" s="2">
        <f t="shared" si="22"/>
        <v>-282.33</v>
      </c>
      <c r="Y67" s="2"/>
      <c r="Z67" s="19">
        <f t="shared" si="23"/>
        <v>-1</v>
      </c>
    </row>
    <row r="68" spans="1:26" s="24" customFormat="1" hidden="1" outlineLevel="1" x14ac:dyDescent="0.3">
      <c r="A68" s="44"/>
      <c r="B68" s="11" t="str">
        <f>CONCATENATE("          ", "5045", " - ", "PURCHASES @ COST-SPECIAL ORDER")</f>
        <v xml:space="preserve">          5045 - PURCHASES @ COST-SPECIAL ORDER</v>
      </c>
      <c r="C68" s="11"/>
      <c r="D68" s="2"/>
      <c r="E68" s="2"/>
      <c r="F68" s="19">
        <f t="shared" si="16"/>
        <v>0</v>
      </c>
      <c r="G68" s="2"/>
      <c r="H68" s="2">
        <v>5678</v>
      </c>
      <c r="I68" s="2"/>
      <c r="J68" s="19">
        <f t="shared" si="17"/>
        <v>6.8198183103353627E-2</v>
      </c>
      <c r="K68" s="2"/>
      <c r="L68" s="2">
        <f t="shared" si="18"/>
        <v>-5678</v>
      </c>
      <c r="M68" s="2"/>
      <c r="N68" s="19">
        <f t="shared" si="19"/>
        <v>-1</v>
      </c>
      <c r="O68" s="11"/>
      <c r="P68" s="2">
        <v>0</v>
      </c>
      <c r="Q68" s="2"/>
      <c r="R68" s="19">
        <f t="shared" si="20"/>
        <v>0</v>
      </c>
      <c r="S68" s="2"/>
      <c r="T68" s="2">
        <v>76932.52</v>
      </c>
      <c r="U68" s="2"/>
      <c r="V68" s="19">
        <f t="shared" si="21"/>
        <v>0.10837813288019899</v>
      </c>
      <c r="W68" s="2"/>
      <c r="X68" s="2">
        <f t="shared" si="22"/>
        <v>-76932.52</v>
      </c>
      <c r="Y68" s="2"/>
      <c r="Z68" s="19">
        <f t="shared" si="23"/>
        <v>-1</v>
      </c>
    </row>
    <row r="69" spans="1:26" s="24" customFormat="1" hidden="1" outlineLevel="1" x14ac:dyDescent="0.3">
      <c r="A69" s="44"/>
      <c r="B69" s="11" t="str">
        <f>CONCATENATE("          ", "5200", " - ", "PURCHASES OFFSET")</f>
        <v xml:space="preserve">          5200 - PURCHASES OFFSET</v>
      </c>
      <c r="C69" s="11"/>
      <c r="D69" s="2">
        <v>-119795.1</v>
      </c>
      <c r="E69" s="2"/>
      <c r="F69" s="19">
        <f t="shared" si="16"/>
        <v>-0.50781423700608963</v>
      </c>
      <c r="G69" s="2"/>
      <c r="H69" s="2">
        <v>-116985.24</v>
      </c>
      <c r="I69" s="2"/>
      <c r="J69" s="19">
        <f t="shared" si="17"/>
        <v>-1.4051040538763244</v>
      </c>
      <c r="K69" s="2"/>
      <c r="L69" s="2">
        <f t="shared" si="18"/>
        <v>-2809.8600000000006</v>
      </c>
      <c r="M69" s="2"/>
      <c r="N69" s="19">
        <f t="shared" si="19"/>
        <v>2.401892751598407E-2</v>
      </c>
      <c r="O69" s="11"/>
      <c r="P69" s="2">
        <v>-856250.47</v>
      </c>
      <c r="Q69" s="2"/>
      <c r="R69" s="19">
        <f t="shared" si="20"/>
        <v>-0.57446393319489619</v>
      </c>
      <c r="S69" s="2"/>
      <c r="T69" s="2">
        <v>-282150.98</v>
      </c>
      <c r="U69" s="2"/>
      <c r="V69" s="19">
        <f t="shared" si="21"/>
        <v>-0.3974781588165624</v>
      </c>
      <c r="W69" s="2"/>
      <c r="X69" s="2">
        <f t="shared" si="22"/>
        <v>-574099.49</v>
      </c>
      <c r="Y69" s="2"/>
      <c r="Z69" s="19">
        <f t="shared" si="23"/>
        <v>2.0347244230730657</v>
      </c>
    </row>
    <row r="70" spans="1:26" s="24" customFormat="1" hidden="1" outlineLevel="1" x14ac:dyDescent="0.3">
      <c r="A70" s="44"/>
      <c r="B70" s="11" t="str">
        <f>CONCATENATE("          ", "5300", " - ", "COG$ OFFSET")</f>
        <v xml:space="preserve">          5300 - COG$ OFFSET</v>
      </c>
      <c r="C70" s="11"/>
      <c r="D70" s="2">
        <v>110780</v>
      </c>
      <c r="E70" s="2"/>
      <c r="F70" s="19">
        <f t="shared" si="16"/>
        <v>0.469599016783947</v>
      </c>
      <c r="G70" s="2"/>
      <c r="H70" s="2">
        <v>46546</v>
      </c>
      <c r="I70" s="2"/>
      <c r="J70" s="19">
        <f t="shared" si="17"/>
        <v>0.55906175250593482</v>
      </c>
      <c r="K70" s="2"/>
      <c r="L70" s="2">
        <f t="shared" si="18"/>
        <v>64234</v>
      </c>
      <c r="M70" s="2"/>
      <c r="N70" s="19">
        <f t="shared" si="19"/>
        <v>1.3800111717440811</v>
      </c>
      <c r="O70" s="11"/>
      <c r="P70" s="2">
        <v>734903.6</v>
      </c>
      <c r="Q70" s="2"/>
      <c r="R70" s="19">
        <f t="shared" si="20"/>
        <v>0.49305153966816362</v>
      </c>
      <c r="S70" s="2"/>
      <c r="T70" s="2">
        <v>429803</v>
      </c>
      <c r="U70" s="2"/>
      <c r="V70" s="19">
        <f t="shared" si="21"/>
        <v>0.60548187744673077</v>
      </c>
      <c r="W70" s="2"/>
      <c r="X70" s="2">
        <f t="shared" si="22"/>
        <v>305100.59999999998</v>
      </c>
      <c r="Y70" s="2"/>
      <c r="Z70" s="19">
        <f t="shared" si="23"/>
        <v>0.70986149468477411</v>
      </c>
    </row>
    <row r="71" spans="1:26" s="24" customFormat="1" hidden="1" outlineLevel="1" x14ac:dyDescent="0.3">
      <c r="A71" s="44"/>
      <c r="B71" s="11" t="str">
        <f>CONCATENATE("          ", "5500", " - ", "FREIGHT-IN")</f>
        <v xml:space="preserve">          5500 - FREIGHT-IN</v>
      </c>
      <c r="C71" s="11"/>
      <c r="D71" s="2">
        <v>10671.75</v>
      </c>
      <c r="E71" s="2"/>
      <c r="F71" s="19">
        <f t="shared" si="16"/>
        <v>4.5237798405525241E-2</v>
      </c>
      <c r="G71" s="2"/>
      <c r="H71" s="2"/>
      <c r="I71" s="2"/>
      <c r="J71" s="19">
        <f t="shared" si="17"/>
        <v>0</v>
      </c>
      <c r="K71" s="2"/>
      <c r="L71" s="2">
        <f t="shared" si="18"/>
        <v>10671.75</v>
      </c>
      <c r="M71" s="2"/>
      <c r="N71" s="19">
        <f t="shared" si="19"/>
        <v>0</v>
      </c>
      <c r="O71" s="11"/>
      <c r="P71" s="2">
        <v>23365.35</v>
      </c>
      <c r="Q71" s="2"/>
      <c r="R71" s="19">
        <f t="shared" si="20"/>
        <v>1.5675963204406028E-2</v>
      </c>
      <c r="S71" s="2"/>
      <c r="T71" s="2"/>
      <c r="U71" s="2"/>
      <c r="V71" s="19">
        <f t="shared" si="21"/>
        <v>0</v>
      </c>
      <c r="W71" s="2"/>
      <c r="X71" s="2">
        <f t="shared" si="22"/>
        <v>23365.35</v>
      </c>
      <c r="Y71" s="2"/>
      <c r="Z71" s="19">
        <f t="shared" si="23"/>
        <v>0</v>
      </c>
    </row>
    <row r="72" spans="1:26" s="24" customFormat="1" hidden="1" outlineLevel="1" x14ac:dyDescent="0.3">
      <c r="A72" s="44"/>
      <c r="B72" s="11" t="str">
        <f>CONCATENATE("          ", "5525", " - ", "FREIGHT-IN-TEST FORMS")</f>
        <v xml:space="preserve">          5525 - FREIGHT-IN-TEST FORMS</v>
      </c>
      <c r="C72" s="11"/>
      <c r="D72" s="2"/>
      <c r="E72" s="2"/>
      <c r="F72" s="19">
        <f t="shared" si="16"/>
        <v>0</v>
      </c>
      <c r="G72" s="2"/>
      <c r="H72" s="2"/>
      <c r="I72" s="2"/>
      <c r="J72" s="19">
        <f t="shared" si="17"/>
        <v>0</v>
      </c>
      <c r="K72" s="2"/>
      <c r="L72" s="2">
        <f t="shared" si="18"/>
        <v>0</v>
      </c>
      <c r="M72" s="2"/>
      <c r="N72" s="19">
        <f t="shared" si="19"/>
        <v>0</v>
      </c>
      <c r="O72" s="11"/>
      <c r="P72" s="2"/>
      <c r="Q72" s="2"/>
      <c r="R72" s="19">
        <f t="shared" si="20"/>
        <v>0</v>
      </c>
      <c r="S72" s="2"/>
      <c r="T72" s="2">
        <v>48.14</v>
      </c>
      <c r="U72" s="2"/>
      <c r="V72" s="19">
        <f t="shared" si="21"/>
        <v>6.781687791915277E-5</v>
      </c>
      <c r="W72" s="2"/>
      <c r="X72" s="2">
        <f t="shared" si="22"/>
        <v>-48.14</v>
      </c>
      <c r="Y72" s="2"/>
      <c r="Z72" s="19">
        <f t="shared" si="23"/>
        <v>-1</v>
      </c>
    </row>
    <row r="73" spans="1:26" s="24" customFormat="1" hidden="1" outlineLevel="1" x14ac:dyDescent="0.3">
      <c r="A73" s="44"/>
      <c r="B73" s="11" t="str">
        <f>CONCATENATE("          ", "5527", " - ", "FREIGHT-IN-SCHOOL SUPPLIES")</f>
        <v xml:space="preserve">          5527 - FREIGHT-IN-SCHOOL SUPPLIES</v>
      </c>
      <c r="C73" s="11"/>
      <c r="D73" s="2"/>
      <c r="E73" s="2"/>
      <c r="F73" s="19">
        <f t="shared" si="16"/>
        <v>0</v>
      </c>
      <c r="G73" s="2"/>
      <c r="H73" s="2"/>
      <c r="I73" s="2"/>
      <c r="J73" s="19">
        <f t="shared" si="17"/>
        <v>0</v>
      </c>
      <c r="K73" s="2"/>
      <c r="L73" s="2">
        <f t="shared" si="18"/>
        <v>0</v>
      </c>
      <c r="M73" s="2"/>
      <c r="N73" s="19">
        <f t="shared" si="19"/>
        <v>0</v>
      </c>
      <c r="O73" s="11"/>
      <c r="P73" s="2">
        <v>0</v>
      </c>
      <c r="Q73" s="2"/>
      <c r="R73" s="19">
        <f t="shared" si="20"/>
        <v>0</v>
      </c>
      <c r="S73" s="2"/>
      <c r="T73" s="2">
        <v>56</v>
      </c>
      <c r="U73" s="2"/>
      <c r="V73" s="19">
        <f t="shared" si="21"/>
        <v>7.8889596249949218E-5</v>
      </c>
      <c r="W73" s="2"/>
      <c r="X73" s="2">
        <f t="shared" si="22"/>
        <v>-56</v>
      </c>
      <c r="Y73" s="2"/>
      <c r="Z73" s="19">
        <f t="shared" si="23"/>
        <v>-1</v>
      </c>
    </row>
    <row r="74" spans="1:26" s="24" customFormat="1" hidden="1" outlineLevel="1" x14ac:dyDescent="0.3">
      <c r="A74" s="44"/>
      <c r="B74" s="11" t="str">
        <f>CONCATENATE("          ", "5528", " - ", "FREIGHT-IN-ART/TECH")</f>
        <v xml:space="preserve">          5528 - FREIGHT-IN-ART/TECH</v>
      </c>
      <c r="C74" s="11"/>
      <c r="D74" s="2"/>
      <c r="E74" s="2"/>
      <c r="F74" s="19">
        <f t="shared" si="16"/>
        <v>0</v>
      </c>
      <c r="G74" s="2"/>
      <c r="H74" s="2"/>
      <c r="I74" s="2"/>
      <c r="J74" s="19">
        <f t="shared" si="17"/>
        <v>0</v>
      </c>
      <c r="K74" s="2"/>
      <c r="L74" s="2">
        <f t="shared" si="18"/>
        <v>0</v>
      </c>
      <c r="M74" s="2"/>
      <c r="N74" s="19">
        <f t="shared" si="19"/>
        <v>0</v>
      </c>
      <c r="O74" s="11"/>
      <c r="P74" s="2"/>
      <c r="Q74" s="2"/>
      <c r="R74" s="19">
        <f t="shared" si="20"/>
        <v>0</v>
      </c>
      <c r="S74" s="2"/>
      <c r="T74" s="2">
        <v>3.94</v>
      </c>
      <c r="U74" s="2"/>
      <c r="V74" s="19">
        <f t="shared" si="21"/>
        <v>5.5504465932999981E-6</v>
      </c>
      <c r="W74" s="2"/>
      <c r="X74" s="2">
        <f t="shared" si="22"/>
        <v>-3.94</v>
      </c>
      <c r="Y74" s="2"/>
      <c r="Z74" s="19">
        <f t="shared" si="23"/>
        <v>-1</v>
      </c>
    </row>
    <row r="75" spans="1:26" s="24" customFormat="1" hidden="1" outlineLevel="1" x14ac:dyDescent="0.3">
      <c r="A75" s="44"/>
      <c r="B75" s="11" t="str">
        <f>CONCATENATE("          ", "5540", " - ", "FREIGHT-IN-LOGO CLOTHING")</f>
        <v xml:space="preserve">          5540 - FREIGHT-IN-LOGO CLOTHING</v>
      </c>
      <c r="C75" s="11"/>
      <c r="D75" s="2"/>
      <c r="E75" s="2"/>
      <c r="F75" s="19">
        <f t="shared" si="16"/>
        <v>0</v>
      </c>
      <c r="G75" s="2"/>
      <c r="H75" s="2">
        <v>1333.15</v>
      </c>
      <c r="I75" s="2"/>
      <c r="J75" s="19">
        <f t="shared" si="17"/>
        <v>1.6012400106417031E-2</v>
      </c>
      <c r="K75" s="2"/>
      <c r="L75" s="2">
        <f t="shared" si="18"/>
        <v>-1333.15</v>
      </c>
      <c r="M75" s="2"/>
      <c r="N75" s="19">
        <f t="shared" si="19"/>
        <v>-1</v>
      </c>
      <c r="O75" s="11"/>
      <c r="P75" s="2">
        <v>0</v>
      </c>
      <c r="Q75" s="2"/>
      <c r="R75" s="19">
        <f t="shared" si="20"/>
        <v>0</v>
      </c>
      <c r="S75" s="2"/>
      <c r="T75" s="2">
        <v>4535.4799999999996</v>
      </c>
      <c r="U75" s="2"/>
      <c r="V75" s="19">
        <f t="shared" si="21"/>
        <v>6.3893247499949932E-3</v>
      </c>
      <c r="W75" s="2"/>
      <c r="X75" s="2">
        <f t="shared" si="22"/>
        <v>-4535.4799999999996</v>
      </c>
      <c r="Y75" s="2"/>
      <c r="Z75" s="19">
        <f t="shared" si="23"/>
        <v>-1</v>
      </c>
    </row>
    <row r="76" spans="1:26" s="24" customFormat="1" hidden="1" outlineLevel="1" x14ac:dyDescent="0.3">
      <c r="A76" s="44"/>
      <c r="B76" s="11" t="str">
        <f>CONCATENATE("          ", "5541", " - ", "FREIGHT-IN-LOGO GIFTS")</f>
        <v xml:space="preserve">          5541 - FREIGHT-IN-LOGO GIFTS</v>
      </c>
      <c r="C76" s="11"/>
      <c r="D76" s="2"/>
      <c r="E76" s="2"/>
      <c r="F76" s="19">
        <f t="shared" si="16"/>
        <v>0</v>
      </c>
      <c r="G76" s="2"/>
      <c r="H76" s="2">
        <v>301.06</v>
      </c>
      <c r="I76" s="2"/>
      <c r="J76" s="19">
        <f t="shared" si="17"/>
        <v>3.6160170843775354E-3</v>
      </c>
      <c r="K76" s="2"/>
      <c r="L76" s="2">
        <f t="shared" si="18"/>
        <v>-301.06</v>
      </c>
      <c r="M76" s="2"/>
      <c r="N76" s="19">
        <f t="shared" si="19"/>
        <v>-1</v>
      </c>
      <c r="O76" s="11"/>
      <c r="P76" s="2">
        <v>0</v>
      </c>
      <c r="Q76" s="2"/>
      <c r="R76" s="19">
        <f t="shared" si="20"/>
        <v>0</v>
      </c>
      <c r="S76" s="2"/>
      <c r="T76" s="2">
        <v>1435.87</v>
      </c>
      <c r="U76" s="2"/>
      <c r="V76" s="19">
        <f t="shared" si="21"/>
        <v>2.0227715101324029E-3</v>
      </c>
      <c r="W76" s="2"/>
      <c r="X76" s="2">
        <f t="shared" si="22"/>
        <v>-1435.87</v>
      </c>
      <c r="Y76" s="2"/>
      <c r="Z76" s="19">
        <f t="shared" si="23"/>
        <v>-1</v>
      </c>
    </row>
    <row r="77" spans="1:26" s="24" customFormat="1" hidden="1" outlineLevel="1" x14ac:dyDescent="0.3">
      <c r="A77" s="44"/>
      <c r="B77" s="11" t="str">
        <f>CONCATENATE("          ", "5542", " - ", "FREIGHT-IN-EVERYDAY GIFTS")</f>
        <v xml:space="preserve">          5542 - FREIGHT-IN-EVERYDAY GIFTS</v>
      </c>
      <c r="C77" s="11"/>
      <c r="D77" s="2"/>
      <c r="E77" s="2"/>
      <c r="F77" s="19">
        <f t="shared" si="16"/>
        <v>0</v>
      </c>
      <c r="G77" s="2"/>
      <c r="H77" s="2">
        <v>21</v>
      </c>
      <c r="I77" s="2"/>
      <c r="J77" s="19">
        <f t="shared" si="17"/>
        <v>2.5222998329877181E-4</v>
      </c>
      <c r="K77" s="2"/>
      <c r="L77" s="2">
        <f t="shared" si="18"/>
        <v>-21</v>
      </c>
      <c r="M77" s="2"/>
      <c r="N77" s="19">
        <f t="shared" si="19"/>
        <v>-1</v>
      </c>
      <c r="O77" s="11"/>
      <c r="P77" s="2">
        <v>0</v>
      </c>
      <c r="Q77" s="2"/>
      <c r="R77" s="19">
        <f t="shared" si="20"/>
        <v>0</v>
      </c>
      <c r="S77" s="2"/>
      <c r="T77" s="2">
        <v>196.55</v>
      </c>
      <c r="U77" s="2"/>
      <c r="V77" s="19">
        <f t="shared" si="21"/>
        <v>2.7688839540941998E-4</v>
      </c>
      <c r="W77" s="2"/>
      <c r="X77" s="2">
        <f t="shared" si="22"/>
        <v>-196.55</v>
      </c>
      <c r="Y77" s="2"/>
      <c r="Z77" s="19">
        <f t="shared" si="23"/>
        <v>-1</v>
      </c>
    </row>
    <row r="78" spans="1:26" s="24" customFormat="1" hidden="1" outlineLevel="1" x14ac:dyDescent="0.3">
      <c r="A78" s="44"/>
      <c r="B78" s="11" t="str">
        <f>CONCATENATE("          ", "5543", " - ", "FREIGHT-IN-CARDS")</f>
        <v xml:space="preserve">          5543 - FREIGHT-IN-CARDS</v>
      </c>
      <c r="C78" s="11"/>
      <c r="D78" s="2"/>
      <c r="E78" s="2"/>
      <c r="F78" s="19">
        <f t="shared" si="16"/>
        <v>0</v>
      </c>
      <c r="G78" s="2"/>
      <c r="H78" s="2">
        <v>6323.12</v>
      </c>
      <c r="I78" s="2"/>
      <c r="J78" s="19">
        <f t="shared" si="17"/>
        <v>7.5946688190291906E-2</v>
      </c>
      <c r="K78" s="2"/>
      <c r="L78" s="2">
        <f t="shared" si="18"/>
        <v>-6323.12</v>
      </c>
      <c r="M78" s="2"/>
      <c r="N78" s="19">
        <f t="shared" si="19"/>
        <v>-1</v>
      </c>
      <c r="O78" s="11"/>
      <c r="P78" s="2"/>
      <c r="Q78" s="2"/>
      <c r="R78" s="19">
        <f t="shared" si="20"/>
        <v>0</v>
      </c>
      <c r="S78" s="2"/>
      <c r="T78" s="2">
        <v>6512.31</v>
      </c>
      <c r="U78" s="2"/>
      <c r="V78" s="19">
        <f t="shared" si="21"/>
        <v>9.1741697599019064E-3</v>
      </c>
      <c r="W78" s="2"/>
      <c r="X78" s="2">
        <f t="shared" si="22"/>
        <v>-6512.31</v>
      </c>
      <c r="Y78" s="2"/>
      <c r="Z78" s="19">
        <f t="shared" si="23"/>
        <v>-1</v>
      </c>
    </row>
    <row r="79" spans="1:26" s="24" customFormat="1" hidden="1" outlineLevel="1" x14ac:dyDescent="0.3">
      <c r="A79" s="44"/>
      <c r="B79" s="11" t="str">
        <f>CONCATENATE("          ", "5544", " - ", "FREIGHT-IN-ACCESSORIES")</f>
        <v xml:space="preserve">          5544 - FREIGHT-IN-ACCESSORIES</v>
      </c>
      <c r="C79" s="11"/>
      <c r="D79" s="2"/>
      <c r="E79" s="2"/>
      <c r="F79" s="19">
        <f t="shared" si="16"/>
        <v>0</v>
      </c>
      <c r="G79" s="2"/>
      <c r="H79" s="2"/>
      <c r="I79" s="2"/>
      <c r="J79" s="19">
        <f t="shared" si="17"/>
        <v>0</v>
      </c>
      <c r="K79" s="2"/>
      <c r="L79" s="2">
        <f t="shared" si="18"/>
        <v>0</v>
      </c>
      <c r="M79" s="2"/>
      <c r="N79" s="19">
        <f t="shared" si="19"/>
        <v>0</v>
      </c>
      <c r="O79" s="11"/>
      <c r="P79" s="2">
        <v>0</v>
      </c>
      <c r="Q79" s="2"/>
      <c r="R79" s="19">
        <f t="shared" si="20"/>
        <v>0</v>
      </c>
      <c r="S79" s="2"/>
      <c r="T79" s="2"/>
      <c r="U79" s="2"/>
      <c r="V79" s="19">
        <f t="shared" si="21"/>
        <v>0</v>
      </c>
      <c r="W79" s="2"/>
      <c r="X79" s="2">
        <f t="shared" si="22"/>
        <v>0</v>
      </c>
      <c r="Y79" s="2"/>
      <c r="Z79" s="19">
        <f t="shared" si="23"/>
        <v>0</v>
      </c>
    </row>
    <row r="80" spans="1:26" s="24" customFormat="1" hidden="1" outlineLevel="1" x14ac:dyDescent="0.3">
      <c r="A80" s="44"/>
      <c r="B80" s="11" t="str">
        <f>CONCATENATE("          ", "5545", " - ", "FREIGHT-IN-SPECIAL ORDERS")</f>
        <v xml:space="preserve">          5545 - FREIGHT-IN-SPECIAL ORDERS</v>
      </c>
      <c r="C80" s="11"/>
      <c r="D80" s="2"/>
      <c r="E80" s="2"/>
      <c r="F80" s="19">
        <f t="shared" si="16"/>
        <v>0</v>
      </c>
      <c r="G80" s="2"/>
      <c r="H80" s="2">
        <v>37.590000000000003</v>
      </c>
      <c r="I80" s="2"/>
      <c r="J80" s="19">
        <f t="shared" si="17"/>
        <v>4.5149167010480155E-4</v>
      </c>
      <c r="K80" s="2"/>
      <c r="L80" s="2">
        <f t="shared" si="18"/>
        <v>-37.590000000000003</v>
      </c>
      <c r="M80" s="2"/>
      <c r="N80" s="19">
        <f t="shared" si="19"/>
        <v>-1</v>
      </c>
      <c r="O80" s="11"/>
      <c r="P80" s="2">
        <v>0</v>
      </c>
      <c r="Q80" s="2"/>
      <c r="R80" s="19">
        <f t="shared" si="20"/>
        <v>0</v>
      </c>
      <c r="S80" s="2"/>
      <c r="T80" s="2">
        <v>887.86</v>
      </c>
      <c r="U80" s="2"/>
      <c r="V80" s="19">
        <f t="shared" si="21"/>
        <v>1.2507663736871413E-3</v>
      </c>
      <c r="W80" s="2"/>
      <c r="X80" s="2">
        <f t="shared" si="22"/>
        <v>-887.86</v>
      </c>
      <c r="Y80" s="2"/>
      <c r="Z80" s="19">
        <f t="shared" si="23"/>
        <v>-1</v>
      </c>
    </row>
    <row r="81" spans="1:26" x14ac:dyDescent="0.3">
      <c r="A81" s="9"/>
      <c r="B81" s="10"/>
      <c r="C81" s="10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O81" s="10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10"/>
      <c r="B82" s="25" t="s">
        <v>107</v>
      </c>
      <c r="C82" s="25"/>
      <c r="D82" s="21">
        <f>D12-D56</f>
        <v>125123.39000000001</v>
      </c>
      <c r="E82" s="13"/>
      <c r="F82" s="22">
        <f>IF(D$12=0,0,D82/D$12)</f>
        <v>0.530400983216053</v>
      </c>
      <c r="G82" s="13"/>
      <c r="H82" s="21">
        <f>H12-H56</f>
        <v>36711.350000000006</v>
      </c>
      <c r="I82" s="13"/>
      <c r="J82" s="22">
        <f>IF(H$12=0,0,H82/H$12)</f>
        <v>0.44093824749406513</v>
      </c>
      <c r="K82" s="16"/>
      <c r="L82" s="21">
        <f>+D82-H82</f>
        <v>88412.040000000008</v>
      </c>
      <c r="M82" s="16"/>
      <c r="N82" s="22">
        <f>IF(H82=0,0,L82/H82)</f>
        <v>2.4083026094109856</v>
      </c>
      <c r="O82" s="26"/>
      <c r="P82" s="21">
        <f>P12-P56</f>
        <v>755617.25000000012</v>
      </c>
      <c r="Q82" s="13"/>
      <c r="R82" s="22">
        <f>IF(P$12=0,0,P82/P$12)</f>
        <v>0.50694846033183638</v>
      </c>
      <c r="S82" s="13"/>
      <c r="T82" s="21">
        <f>T12-T56</f>
        <v>279133.25000000017</v>
      </c>
      <c r="U82" s="13"/>
      <c r="V82" s="22">
        <f>IF(T$12=0,0,T82/T$12)</f>
        <v>0.39322695343635983</v>
      </c>
      <c r="W82" s="16"/>
      <c r="X82" s="21">
        <f>+P82-T82</f>
        <v>476483.99999999994</v>
      </c>
      <c r="Y82" s="16"/>
      <c r="Z82" s="22">
        <f>IF(T82=0,0,X82/T82)</f>
        <v>1.7070126901757481</v>
      </c>
    </row>
    <row r="83" spans="1:26" x14ac:dyDescent="0.3">
      <c r="A83" s="9"/>
      <c r="B83" s="10"/>
      <c r="C83" s="9"/>
      <c r="D83" s="1"/>
      <c r="E83" s="1"/>
      <c r="F83" s="5"/>
      <c r="G83" s="1"/>
      <c r="H83" s="1"/>
      <c r="I83" s="1"/>
      <c r="J83" s="5"/>
      <c r="K83" s="1"/>
      <c r="L83" s="1"/>
      <c r="M83" s="1"/>
      <c r="N83" s="5"/>
      <c r="O83" s="37"/>
      <c r="P83" s="1"/>
      <c r="Q83" s="1"/>
      <c r="R83" s="5"/>
      <c r="S83" s="1"/>
      <c r="T83" s="1"/>
      <c r="U83" s="1"/>
      <c r="V83" s="5"/>
      <c r="W83" s="1"/>
      <c r="X83" s="1"/>
      <c r="Y83" s="1"/>
      <c r="Z83" s="5"/>
    </row>
    <row r="84" spans="1:26" s="23" customFormat="1" x14ac:dyDescent="0.3">
      <c r="A84" s="10"/>
      <c r="B84" s="26" t="s">
        <v>294</v>
      </c>
      <c r="C84" s="10"/>
      <c r="D84" s="20">
        <f>SUM(OSRRefD22x_0)</f>
        <v>62596.710000000006</v>
      </c>
      <c r="E84" s="20"/>
      <c r="F84" s="32">
        <f t="shared" ref="F84:F93" si="24">IF(D$12=0,0,D84/D$12)</f>
        <v>0.26534892101380997</v>
      </c>
      <c r="G84" s="20"/>
      <c r="H84" s="20">
        <f>SUM(OSRRefH22x_0)</f>
        <v>35742.470000000008</v>
      </c>
      <c r="I84" s="20"/>
      <c r="J84" s="32">
        <f t="shared" ref="J84:J93" si="25">IF(H$12=0,0,H84/H$12)</f>
        <v>0.42930107672175499</v>
      </c>
      <c r="K84" s="4"/>
      <c r="L84" s="20">
        <f t="shared" ref="L84:L93" si="26">+D84-H84</f>
        <v>26854.239999999998</v>
      </c>
      <c r="M84" s="4"/>
      <c r="N84" s="32">
        <f t="shared" ref="N84:N93" si="27">IF(H84=0,0,L84/H84)</f>
        <v>0.75132580372872915</v>
      </c>
      <c r="O84" s="10"/>
      <c r="P84" s="20">
        <f>SUM(OSRRefP22x_0)</f>
        <v>382513.70000000007</v>
      </c>
      <c r="Q84" s="20"/>
      <c r="R84" s="32">
        <f t="shared" ref="R84:R93" si="28">IF(P$12=0,0,P84/P$12)</f>
        <v>0.25663089516661242</v>
      </c>
      <c r="S84" s="20"/>
      <c r="T84" s="20">
        <f>SUM(OSRRefT22x_0)</f>
        <v>235709.82999999993</v>
      </c>
      <c r="U84" s="20"/>
      <c r="V84" s="32">
        <f t="shared" ref="V84:V93" si="29">IF(T$12=0,0,T84/T$12)</f>
        <v>0.33205452358650289</v>
      </c>
      <c r="W84" s="4"/>
      <c r="X84" s="20">
        <f t="shared" ref="X84:X93" si="30">+P84-T84</f>
        <v>146803.87000000014</v>
      </c>
      <c r="Y84" s="4"/>
      <c r="Z84" s="32">
        <f t="shared" ref="Z84:Z93" si="31">IF(T84=0,0,X84/T84)</f>
        <v>0.62281607008074369</v>
      </c>
    </row>
    <row r="85" spans="1:26" s="29" customFormat="1" outlineLevel="1" collapsed="1" x14ac:dyDescent="0.3">
      <c r="A85" s="28"/>
      <c r="B85" s="14" t="str">
        <f>CONCATENATE("     ","*Benefits                                         ")</f>
        <v xml:space="preserve">     *Benefits                                         </v>
      </c>
      <c r="C85" s="14"/>
      <c r="D85" s="1">
        <f>SUM(OSRRefD22_0x_0)</f>
        <v>12180.270000000002</v>
      </c>
      <c r="E85" s="1"/>
      <c r="F85" s="5">
        <f t="shared" si="24"/>
        <v>5.1632450046605952E-2</v>
      </c>
      <c r="G85" s="1"/>
      <c r="H85" s="1">
        <f>SUM(OSRRefH22_0x_0)</f>
        <v>9715.380000000001</v>
      </c>
      <c r="I85" s="1"/>
      <c r="J85" s="5">
        <f t="shared" si="25"/>
        <v>0.11669095881624866</v>
      </c>
      <c r="K85" s="1"/>
      <c r="L85" s="1">
        <f t="shared" si="26"/>
        <v>2464.8900000000012</v>
      </c>
      <c r="M85" s="1"/>
      <c r="N85" s="5">
        <f t="shared" si="27"/>
        <v>0.25371009677439288</v>
      </c>
      <c r="O85" s="14"/>
      <c r="P85" s="1">
        <f>SUM(OSRRefP22_0x_0)</f>
        <v>66344.56</v>
      </c>
      <c r="Q85" s="1"/>
      <c r="R85" s="5">
        <f t="shared" si="28"/>
        <v>4.4510990906299626E-2</v>
      </c>
      <c r="S85" s="1"/>
      <c r="T85" s="1">
        <f>SUM(OSRRefT22_0x_0)</f>
        <v>52323.099999999991</v>
      </c>
      <c r="U85" s="1"/>
      <c r="V85" s="5">
        <f t="shared" si="29"/>
        <v>7.3709789884744942E-2</v>
      </c>
      <c r="W85" s="1"/>
      <c r="X85" s="1">
        <f t="shared" si="30"/>
        <v>14021.460000000006</v>
      </c>
      <c r="Y85" s="1"/>
      <c r="Z85" s="5">
        <f t="shared" si="31"/>
        <v>0.26797838813067287</v>
      </c>
    </row>
    <row r="86" spans="1:26" s="24" customFormat="1" hidden="1" outlineLevel="2" x14ac:dyDescent="0.3">
      <c r="A86" s="27"/>
      <c r="B86" s="11" t="str">
        <f>CONCATENATE("          ", "6111", " - ", "F.I.C.A.")</f>
        <v xml:space="preserve">          6111 - F.I.C.A.</v>
      </c>
      <c r="C86" s="11"/>
      <c r="D86" s="6">
        <v>1994.06</v>
      </c>
      <c r="E86" s="2"/>
      <c r="F86" s="7">
        <f t="shared" si="24"/>
        <v>8.4528670825798641E-3</v>
      </c>
      <c r="G86" s="2"/>
      <c r="H86" s="6">
        <v>1667.2</v>
      </c>
      <c r="I86" s="2"/>
      <c r="J86" s="7">
        <f t="shared" si="25"/>
        <v>2.0024658483605351E-2</v>
      </c>
      <c r="K86" s="2"/>
      <c r="L86" s="6">
        <f t="shared" si="26"/>
        <v>326.8599999999999</v>
      </c>
      <c r="M86" s="2"/>
      <c r="N86" s="7">
        <f t="shared" si="27"/>
        <v>0.19605326295585407</v>
      </c>
      <c r="O86" s="11"/>
      <c r="P86" s="6">
        <v>13693.3</v>
      </c>
      <c r="Q86" s="2"/>
      <c r="R86" s="7">
        <f t="shared" si="28"/>
        <v>9.1869228129214022E-3</v>
      </c>
      <c r="S86" s="2"/>
      <c r="T86" s="6">
        <v>12656.57</v>
      </c>
      <c r="U86" s="2"/>
      <c r="V86" s="7">
        <f t="shared" si="29"/>
        <v>1.7829851735878924E-2</v>
      </c>
      <c r="W86" s="2"/>
      <c r="X86" s="6">
        <f t="shared" si="30"/>
        <v>1036.7299999999996</v>
      </c>
      <c r="Y86" s="2"/>
      <c r="Z86" s="7">
        <f t="shared" si="31"/>
        <v>8.1912398066774778E-2</v>
      </c>
    </row>
    <row r="87" spans="1:26" s="24" customFormat="1" hidden="1" outlineLevel="2" x14ac:dyDescent="0.3">
      <c r="A87" s="27"/>
      <c r="B87" s="11" t="str">
        <f>CONCATENATE("          ", "6112", " - ", "COMPENSATION INSURANCE")</f>
        <v xml:space="preserve">          6112 - COMPENSATION INSURANCE</v>
      </c>
      <c r="C87" s="11"/>
      <c r="D87" s="6">
        <v>797.22</v>
      </c>
      <c r="E87" s="2"/>
      <c r="F87" s="7">
        <f t="shared" si="24"/>
        <v>3.3794342675618184E-3</v>
      </c>
      <c r="G87" s="2"/>
      <c r="H87" s="6">
        <v>881.73</v>
      </c>
      <c r="I87" s="2"/>
      <c r="J87" s="7">
        <f t="shared" si="25"/>
        <v>1.0590416341620289E-2</v>
      </c>
      <c r="K87" s="2"/>
      <c r="L87" s="6">
        <f t="shared" si="26"/>
        <v>-84.509999999999991</v>
      </c>
      <c r="M87" s="2"/>
      <c r="N87" s="7">
        <f t="shared" si="27"/>
        <v>-9.5845667040930879E-2</v>
      </c>
      <c r="O87" s="11"/>
      <c r="P87" s="6">
        <v>4375.78</v>
      </c>
      <c r="Q87" s="2"/>
      <c r="R87" s="7">
        <f t="shared" si="28"/>
        <v>2.9357388727571303E-3</v>
      </c>
      <c r="S87" s="2"/>
      <c r="T87" s="6">
        <v>4810.38</v>
      </c>
      <c r="U87" s="2"/>
      <c r="V87" s="7">
        <f t="shared" si="29"/>
        <v>6.7765881430148344E-3</v>
      </c>
      <c r="W87" s="2"/>
      <c r="X87" s="6">
        <f t="shared" si="30"/>
        <v>-434.60000000000036</v>
      </c>
      <c r="Y87" s="2"/>
      <c r="Z87" s="7">
        <f t="shared" si="31"/>
        <v>-9.0346292808468426E-2</v>
      </c>
    </row>
    <row r="88" spans="1:26" s="24" customFormat="1" hidden="1" outlineLevel="2" x14ac:dyDescent="0.3">
      <c r="A88" s="27"/>
      <c r="B88" s="11" t="str">
        <f>CONCATENATE("          ", "6113", " - ", "GROUP INSURANCE")</f>
        <v xml:space="preserve">          6113 - GROUP INSURANCE</v>
      </c>
      <c r="C88" s="11"/>
      <c r="D88" s="6">
        <v>4284.43</v>
      </c>
      <c r="E88" s="2"/>
      <c r="F88" s="7">
        <f t="shared" si="24"/>
        <v>1.8161799200935604E-2</v>
      </c>
      <c r="G88" s="2"/>
      <c r="H88" s="6">
        <v>2826.13</v>
      </c>
      <c r="I88" s="2"/>
      <c r="J88" s="7">
        <f t="shared" si="25"/>
        <v>3.3944510604769426E-2</v>
      </c>
      <c r="K88" s="2"/>
      <c r="L88" s="6">
        <f t="shared" si="26"/>
        <v>1458.3000000000002</v>
      </c>
      <c r="M88" s="2"/>
      <c r="N88" s="7">
        <f t="shared" si="27"/>
        <v>0.51600598698573674</v>
      </c>
      <c r="O88" s="11"/>
      <c r="P88" s="6">
        <v>21444.65</v>
      </c>
      <c r="Q88" s="2"/>
      <c r="R88" s="7">
        <f t="shared" si="28"/>
        <v>1.4387353253059157E-2</v>
      </c>
      <c r="S88" s="2"/>
      <c r="T88" s="6">
        <v>14966.87</v>
      </c>
      <c r="U88" s="2"/>
      <c r="V88" s="7">
        <f t="shared" si="29"/>
        <v>2.1084470204026384E-2</v>
      </c>
      <c r="W88" s="2"/>
      <c r="X88" s="6">
        <f t="shared" si="30"/>
        <v>6477.7800000000007</v>
      </c>
      <c r="Y88" s="2"/>
      <c r="Z88" s="7">
        <f t="shared" si="31"/>
        <v>0.43280792844462473</v>
      </c>
    </row>
    <row r="89" spans="1:26" s="24" customFormat="1" hidden="1" outlineLevel="2" x14ac:dyDescent="0.3">
      <c r="A89" s="27"/>
      <c r="B89" s="11" t="str">
        <f>CONCATENATE("          ", "6114", " - ", "STATE UNEMPLOYMENT INSURANCE")</f>
        <v xml:space="preserve">          6114 - STATE UNEMPLOYMENT INSURANCE</v>
      </c>
      <c r="C89" s="11"/>
      <c r="D89" s="6">
        <v>140.05000000000001</v>
      </c>
      <c r="E89" s="2"/>
      <c r="F89" s="7">
        <f t="shared" si="24"/>
        <v>5.9367523289936613E-4</v>
      </c>
      <c r="G89" s="2"/>
      <c r="H89" s="6">
        <v>123.92</v>
      </c>
      <c r="I89" s="2"/>
      <c r="J89" s="7">
        <f t="shared" si="25"/>
        <v>1.4883971204944669E-3</v>
      </c>
      <c r="K89" s="2"/>
      <c r="L89" s="6">
        <f t="shared" si="26"/>
        <v>16.13000000000001</v>
      </c>
      <c r="M89" s="2"/>
      <c r="N89" s="7">
        <f t="shared" si="27"/>
        <v>0.13016462233699169</v>
      </c>
      <c r="O89" s="11"/>
      <c r="P89" s="6">
        <v>768.71</v>
      </c>
      <c r="Q89" s="2"/>
      <c r="R89" s="7">
        <f t="shared" si="28"/>
        <v>5.1573247029721185E-4</v>
      </c>
      <c r="S89" s="2"/>
      <c r="T89" s="6">
        <v>502.28</v>
      </c>
      <c r="U89" s="2"/>
      <c r="V89" s="7">
        <f t="shared" si="29"/>
        <v>7.0758332865043729E-4</v>
      </c>
      <c r="W89" s="2"/>
      <c r="X89" s="6">
        <f t="shared" si="30"/>
        <v>266.43000000000006</v>
      </c>
      <c r="Y89" s="2"/>
      <c r="Z89" s="7">
        <f t="shared" si="31"/>
        <v>0.53044118818189079</v>
      </c>
    </row>
    <row r="90" spans="1:26" s="24" customFormat="1" hidden="1" outlineLevel="2" x14ac:dyDescent="0.3">
      <c r="A90" s="27"/>
      <c r="B90" s="11" t="str">
        <f>CONCATENATE("          ", "6115", " - ", "P.E.R.S.")</f>
        <v xml:space="preserve">          6115 - P.E.R.S.</v>
      </c>
      <c r="C90" s="11"/>
      <c r="D90" s="6">
        <v>1550.21</v>
      </c>
      <c r="E90" s="2"/>
      <c r="F90" s="7">
        <f t="shared" si="24"/>
        <v>6.5713765283322125E-3</v>
      </c>
      <c r="G90" s="2"/>
      <c r="H90" s="6">
        <v>1942.92</v>
      </c>
      <c r="I90" s="2"/>
      <c r="J90" s="7">
        <f t="shared" si="25"/>
        <v>2.3336318054802369E-2</v>
      </c>
      <c r="K90" s="2"/>
      <c r="L90" s="6">
        <f t="shared" si="26"/>
        <v>-392.71000000000004</v>
      </c>
      <c r="M90" s="2"/>
      <c r="N90" s="7">
        <f t="shared" si="27"/>
        <v>-0.20212360776563112</v>
      </c>
      <c r="O90" s="11"/>
      <c r="P90" s="6">
        <v>8257.8700000000008</v>
      </c>
      <c r="Q90" s="2"/>
      <c r="R90" s="7">
        <f t="shared" si="28"/>
        <v>5.540257957478421E-3</v>
      </c>
      <c r="S90" s="2"/>
      <c r="T90" s="6">
        <v>7760.28</v>
      </c>
      <c r="U90" s="2"/>
      <c r="V90" s="7">
        <f t="shared" si="29"/>
        <v>1.0932238499759927E-2</v>
      </c>
      <c r="W90" s="2"/>
      <c r="X90" s="6">
        <f t="shared" si="30"/>
        <v>497.59000000000106</v>
      </c>
      <c r="Y90" s="2"/>
      <c r="Z90" s="7">
        <f t="shared" si="31"/>
        <v>6.4120109068229639E-2</v>
      </c>
    </row>
    <row r="91" spans="1:26" s="24" customFormat="1" hidden="1" outlineLevel="2" x14ac:dyDescent="0.3">
      <c r="A91" s="27"/>
      <c r="B91" s="11" t="str">
        <f>CONCATENATE("          ", "6118", " - ", "VACATION")</f>
        <v xml:space="preserve">          6118 - VACATION</v>
      </c>
      <c r="C91" s="11"/>
      <c r="D91" s="6">
        <v>1690.93</v>
      </c>
      <c r="E91" s="2"/>
      <c r="F91" s="7">
        <f t="shared" si="24"/>
        <v>7.1678919069369882E-3</v>
      </c>
      <c r="G91" s="2"/>
      <c r="H91" s="6">
        <v>1160.5</v>
      </c>
      <c r="I91" s="2"/>
      <c r="J91" s="7">
        <f t="shared" si="25"/>
        <v>1.3938709315153557E-2</v>
      </c>
      <c r="K91" s="2"/>
      <c r="L91" s="6">
        <f t="shared" si="26"/>
        <v>530.43000000000006</v>
      </c>
      <c r="M91" s="2"/>
      <c r="N91" s="7">
        <f t="shared" si="27"/>
        <v>0.45707022834984928</v>
      </c>
      <c r="O91" s="11"/>
      <c r="P91" s="6">
        <v>8876.24</v>
      </c>
      <c r="Q91" s="2"/>
      <c r="R91" s="7">
        <f t="shared" si="28"/>
        <v>5.95512635734012E-3</v>
      </c>
      <c r="S91" s="2"/>
      <c r="T91" s="6">
        <v>5830.49</v>
      </c>
      <c r="U91" s="2"/>
      <c r="V91" s="7">
        <f t="shared" si="29"/>
        <v>8.2136607507029714E-3</v>
      </c>
      <c r="W91" s="2"/>
      <c r="X91" s="6">
        <f t="shared" si="30"/>
        <v>3045.75</v>
      </c>
      <c r="Y91" s="2"/>
      <c r="Z91" s="7">
        <f t="shared" si="31"/>
        <v>0.52238319592349869</v>
      </c>
    </row>
    <row r="92" spans="1:26" s="24" customFormat="1" hidden="1" outlineLevel="2" x14ac:dyDescent="0.3">
      <c r="A92" s="27"/>
      <c r="B92" s="11" t="str">
        <f>CONCATENATE("          ", "6119", " - ", "SICK LEAVE")</f>
        <v xml:space="preserve">          6119 - SICK LEAVE</v>
      </c>
      <c r="C92" s="11"/>
      <c r="D92" s="6">
        <v>1109.04</v>
      </c>
      <c r="E92" s="2"/>
      <c r="F92" s="7">
        <f t="shared" si="24"/>
        <v>4.7012465569061974E-3</v>
      </c>
      <c r="G92" s="2"/>
      <c r="H92" s="6">
        <v>785.39</v>
      </c>
      <c r="I92" s="2"/>
      <c r="J92" s="7">
        <f t="shared" si="25"/>
        <v>9.4332812658582087E-3</v>
      </c>
      <c r="K92" s="2"/>
      <c r="L92" s="6">
        <f t="shared" si="26"/>
        <v>323.64999999999998</v>
      </c>
      <c r="M92" s="2"/>
      <c r="N92" s="7">
        <f t="shared" si="27"/>
        <v>0.41208826188263153</v>
      </c>
      <c r="O92" s="11"/>
      <c r="P92" s="6">
        <v>5907.84</v>
      </c>
      <c r="Q92" s="2"/>
      <c r="R92" s="7">
        <f t="shared" si="28"/>
        <v>3.963607754966997E-3</v>
      </c>
      <c r="S92" s="2"/>
      <c r="T92" s="6">
        <v>4234.7299999999996</v>
      </c>
      <c r="U92" s="2"/>
      <c r="V92" s="7">
        <f t="shared" si="29"/>
        <v>5.9656453558490606E-3</v>
      </c>
      <c r="W92" s="2"/>
      <c r="X92" s="6">
        <f t="shared" si="30"/>
        <v>1673.1100000000006</v>
      </c>
      <c r="Y92" s="2"/>
      <c r="Z92" s="7">
        <f t="shared" si="31"/>
        <v>0.39509248523518636</v>
      </c>
    </row>
    <row r="93" spans="1:26" s="24" customFormat="1" hidden="1" outlineLevel="2" x14ac:dyDescent="0.3">
      <c r="A93" s="27"/>
      <c r="B93" s="11" t="str">
        <f>CONCATENATE("          ", "6156", " - ", "EMPLOYEE MEALS")</f>
        <v xml:space="preserve">          6156 - EMPLOYEE MEALS</v>
      </c>
      <c r="C93" s="11"/>
      <c r="D93" s="6">
        <v>614.33000000000004</v>
      </c>
      <c r="E93" s="2"/>
      <c r="F93" s="7">
        <f t="shared" si="24"/>
        <v>2.6041592704538923E-3</v>
      </c>
      <c r="G93" s="2"/>
      <c r="H93" s="6">
        <v>327.58999999999997</v>
      </c>
      <c r="I93" s="2"/>
      <c r="J93" s="7">
        <f t="shared" si="25"/>
        <v>3.9346676299449835E-3</v>
      </c>
      <c r="K93" s="2"/>
      <c r="L93" s="6">
        <f t="shared" si="26"/>
        <v>286.74000000000007</v>
      </c>
      <c r="M93" s="2"/>
      <c r="N93" s="7">
        <f t="shared" si="27"/>
        <v>0.87530144387801856</v>
      </c>
      <c r="O93" s="11"/>
      <c r="P93" s="6">
        <v>3020.17</v>
      </c>
      <c r="Q93" s="2"/>
      <c r="R93" s="7">
        <f t="shared" si="28"/>
        <v>2.0262514274791928E-3</v>
      </c>
      <c r="S93" s="2"/>
      <c r="T93" s="6">
        <v>1561.5</v>
      </c>
      <c r="U93" s="2"/>
      <c r="V93" s="7">
        <f t="shared" si="29"/>
        <v>2.1997518668624232E-3</v>
      </c>
      <c r="W93" s="2"/>
      <c r="X93" s="6">
        <f t="shared" si="30"/>
        <v>1458.67</v>
      </c>
      <c r="Y93" s="2"/>
      <c r="Z93" s="7">
        <f t="shared" si="31"/>
        <v>0.93414665385846951</v>
      </c>
    </row>
    <row r="94" spans="1:26" s="29" customFormat="1" outlineLevel="1" collapsed="1" x14ac:dyDescent="0.3">
      <c r="A94" s="28"/>
      <c r="B94" s="14" t="str">
        <f>CONCATENATE("     ","*Payroll                                          ")</f>
        <v xml:space="preserve">     *Payroll                                          </v>
      </c>
      <c r="C94" s="14"/>
      <c r="D94" s="1">
        <f>SUM(OSRRefD22_1x_0)</f>
        <v>46301.320000000007</v>
      </c>
      <c r="E94" s="1"/>
      <c r="F94" s="5">
        <f t="shared" ref="F94:F99" si="32">IF(D$12=0,0,D94/D$12)</f>
        <v>0.19627238082504878</v>
      </c>
      <c r="G94" s="1"/>
      <c r="H94" s="1">
        <f>SUM(OSRRefH22_1x_0)</f>
        <v>24334.95</v>
      </c>
      <c r="I94" s="1"/>
      <c r="J94" s="5">
        <f t="shared" ref="J94:J99" si="33">IF(H$12=0,0,H94/H$12)</f>
        <v>0.29228590628935464</v>
      </c>
      <c r="K94" s="1"/>
      <c r="L94" s="1">
        <f t="shared" ref="L94:L99" si="34">+D94-H94</f>
        <v>21966.370000000006</v>
      </c>
      <c r="M94" s="1"/>
      <c r="N94" s="5">
        <f t="shared" ref="N94:N99" si="35">IF(H94=0,0,L94/H94)</f>
        <v>0.90266756249756031</v>
      </c>
      <c r="O94" s="14"/>
      <c r="P94" s="1">
        <f>SUM(OSRRefP22_1x_0)</f>
        <v>271467.13</v>
      </c>
      <c r="Q94" s="1"/>
      <c r="R94" s="5">
        <f t="shared" ref="R94:R99" si="36">IF(P$12=0,0,P94/P$12)</f>
        <v>0.1821290389866066</v>
      </c>
      <c r="S94" s="1"/>
      <c r="T94" s="1">
        <f>SUM(OSRRefT22_1x_0)</f>
        <v>144499.00999999998</v>
      </c>
      <c r="U94" s="1"/>
      <c r="V94" s="5">
        <f t="shared" ref="V94:V99" si="37">IF(T$12=0,0,T94/T$12)</f>
        <v>0.20356193852531024</v>
      </c>
      <c r="W94" s="1"/>
      <c r="X94" s="1">
        <f t="shared" ref="X94:X99" si="38">+P94-T94</f>
        <v>126968.12000000002</v>
      </c>
      <c r="Y94" s="1"/>
      <c r="Z94" s="5">
        <f t="shared" ref="Z94:Z99" si="39">IF(T94=0,0,X94/T94)</f>
        <v>0.87867813073598244</v>
      </c>
    </row>
    <row r="95" spans="1:26" s="24" customFormat="1" hidden="1" outlineLevel="2" x14ac:dyDescent="0.3">
      <c r="A95" s="27"/>
      <c r="B95" s="11" t="str">
        <f>CONCATENATE("          ", "6002", " - ", "STAFF SALARIES")</f>
        <v xml:space="preserve">          6002 - STAFF SALARIES</v>
      </c>
      <c r="C95" s="11"/>
      <c r="D95" s="6">
        <v>14156.72</v>
      </c>
      <c r="E95" s="2"/>
      <c r="F95" s="7">
        <f t="shared" si="32"/>
        <v>6.0010667926391384E-2</v>
      </c>
      <c r="G95" s="2"/>
      <c r="H95" s="6">
        <v>10484.01</v>
      </c>
      <c r="I95" s="2"/>
      <c r="J95" s="7">
        <f t="shared" si="33"/>
        <v>0.12592293653353126</v>
      </c>
      <c r="K95" s="2"/>
      <c r="L95" s="6">
        <f t="shared" si="34"/>
        <v>3672.7099999999991</v>
      </c>
      <c r="M95" s="2"/>
      <c r="N95" s="7">
        <f t="shared" si="35"/>
        <v>0.35031538504827819</v>
      </c>
      <c r="O95" s="11"/>
      <c r="P95" s="6">
        <v>77145.88</v>
      </c>
      <c r="Q95" s="2"/>
      <c r="R95" s="7">
        <f t="shared" si="36"/>
        <v>5.1757665785084457E-2</v>
      </c>
      <c r="S95" s="2"/>
      <c r="T95" s="6">
        <v>61330.06</v>
      </c>
      <c r="U95" s="2"/>
      <c r="V95" s="7">
        <f t="shared" si="37"/>
        <v>8.6398279846163578E-2</v>
      </c>
      <c r="W95" s="2"/>
      <c r="X95" s="6">
        <f t="shared" si="38"/>
        <v>15815.820000000007</v>
      </c>
      <c r="Y95" s="2"/>
      <c r="Z95" s="7">
        <f t="shared" si="39"/>
        <v>0.25788039339925656</v>
      </c>
    </row>
    <row r="96" spans="1:26" s="24" customFormat="1" hidden="1" outlineLevel="2" x14ac:dyDescent="0.3">
      <c r="A96" s="27"/>
      <c r="B96" s="11" t="str">
        <f>CONCATENATE("          ", "6004", " - ", "STAFF HOURLY")</f>
        <v xml:space="preserve">          6004 - STAFF HOURLY</v>
      </c>
      <c r="C96" s="11"/>
      <c r="D96" s="6">
        <v>6570.37</v>
      </c>
      <c r="E96" s="2"/>
      <c r="F96" s="7">
        <f t="shared" si="32"/>
        <v>2.7851952445448112E-2</v>
      </c>
      <c r="G96" s="2"/>
      <c r="H96" s="6">
        <v>4738.05</v>
      </c>
      <c r="I96" s="2"/>
      <c r="J96" s="7">
        <f t="shared" si="33"/>
        <v>5.6908489160416464E-2</v>
      </c>
      <c r="K96" s="2"/>
      <c r="L96" s="6">
        <f t="shared" si="34"/>
        <v>1832.3199999999997</v>
      </c>
      <c r="M96" s="2"/>
      <c r="N96" s="7">
        <f t="shared" si="35"/>
        <v>0.3867244963645381</v>
      </c>
      <c r="O96" s="11"/>
      <c r="P96" s="6">
        <v>42297.38</v>
      </c>
      <c r="Q96" s="2"/>
      <c r="R96" s="7">
        <f t="shared" si="36"/>
        <v>2.8377583580934139E-2</v>
      </c>
      <c r="S96" s="2"/>
      <c r="T96" s="6">
        <v>35687.06</v>
      </c>
      <c r="U96" s="2"/>
      <c r="V96" s="7">
        <f t="shared" si="37"/>
        <v>5.0273888477637724E-2</v>
      </c>
      <c r="W96" s="2"/>
      <c r="X96" s="6">
        <f t="shared" si="38"/>
        <v>6610.32</v>
      </c>
      <c r="Y96" s="2"/>
      <c r="Z96" s="7">
        <f t="shared" si="39"/>
        <v>0.18523016465912295</v>
      </c>
    </row>
    <row r="97" spans="1:26" s="24" customFormat="1" hidden="1" outlineLevel="2" x14ac:dyDescent="0.3">
      <c r="A97" s="27"/>
      <c r="B97" s="11" t="str">
        <f>CONCATENATE("          ", "6005", " - ", "TEMPORARY WAGES-HOURLY")</f>
        <v xml:space="preserve">          6005 - TEMPORARY WAGES-HOURLY</v>
      </c>
      <c r="C97" s="11"/>
      <c r="D97" s="6">
        <v>2971.48</v>
      </c>
      <c r="E97" s="2"/>
      <c r="F97" s="7">
        <f t="shared" si="32"/>
        <v>1.2596173374193562E-2</v>
      </c>
      <c r="G97" s="2"/>
      <c r="H97" s="6">
        <v>3585.74</v>
      </c>
      <c r="I97" s="2"/>
      <c r="J97" s="7">
        <f t="shared" si="33"/>
        <v>4.3068149538749427E-2</v>
      </c>
      <c r="K97" s="2"/>
      <c r="L97" s="6">
        <f t="shared" si="34"/>
        <v>-614.25999999999976</v>
      </c>
      <c r="M97" s="2"/>
      <c r="N97" s="7">
        <f t="shared" si="35"/>
        <v>-0.1713063412294254</v>
      </c>
      <c r="O97" s="11"/>
      <c r="P97" s="6">
        <v>14414.26</v>
      </c>
      <c r="Q97" s="2"/>
      <c r="R97" s="7">
        <f t="shared" si="36"/>
        <v>9.6706195019009619E-3</v>
      </c>
      <c r="S97" s="2"/>
      <c r="T97" s="6">
        <v>19539.240000000002</v>
      </c>
      <c r="U97" s="2"/>
      <c r="V97" s="7">
        <f t="shared" si="37"/>
        <v>2.7525763475551034E-2</v>
      </c>
      <c r="W97" s="2"/>
      <c r="X97" s="6">
        <f t="shared" si="38"/>
        <v>-5124.9800000000014</v>
      </c>
      <c r="Y97" s="2"/>
      <c r="Z97" s="7">
        <f t="shared" si="39"/>
        <v>-0.26229167562300276</v>
      </c>
    </row>
    <row r="98" spans="1:26" s="24" customFormat="1" hidden="1" outlineLevel="2" x14ac:dyDescent="0.3">
      <c r="A98" s="27"/>
      <c r="B98" s="11" t="str">
        <f>CONCATENATE("          ", "6007", " - ", "STUDENT HOURLY")</f>
        <v xml:space="preserve">          6007 - STUDENT HOURLY</v>
      </c>
      <c r="C98" s="11"/>
      <c r="D98" s="6">
        <v>17324.09</v>
      </c>
      <c r="E98" s="2"/>
      <c r="F98" s="7">
        <f t="shared" si="32"/>
        <v>7.3437223602424703E-2</v>
      </c>
      <c r="G98" s="2"/>
      <c r="H98" s="6">
        <v>4914.46</v>
      </c>
      <c r="I98" s="2"/>
      <c r="J98" s="7">
        <f t="shared" si="33"/>
        <v>5.9027341129642003E-2</v>
      </c>
      <c r="K98" s="2"/>
      <c r="L98" s="6">
        <f t="shared" si="34"/>
        <v>12409.630000000001</v>
      </c>
      <c r="M98" s="2"/>
      <c r="N98" s="7">
        <f t="shared" si="35"/>
        <v>2.5251258530947451</v>
      </c>
      <c r="O98" s="11"/>
      <c r="P98" s="6">
        <v>103246.08</v>
      </c>
      <c r="Q98" s="2"/>
      <c r="R98" s="7">
        <f t="shared" si="36"/>
        <v>6.9268457398633507E-2</v>
      </c>
      <c r="S98" s="2"/>
      <c r="T98" s="6">
        <v>25360.13</v>
      </c>
      <c r="U98" s="2"/>
      <c r="V98" s="7">
        <f t="shared" si="37"/>
        <v>3.5725900295468301E-2</v>
      </c>
      <c r="W98" s="2"/>
      <c r="X98" s="6">
        <f t="shared" si="38"/>
        <v>77885.95</v>
      </c>
      <c r="Y98" s="2"/>
      <c r="Z98" s="7">
        <f t="shared" si="39"/>
        <v>3.071196795915478</v>
      </c>
    </row>
    <row r="99" spans="1:26" s="24" customFormat="1" hidden="1" outlineLevel="2" x14ac:dyDescent="0.3">
      <c r="A99" s="27"/>
      <c r="B99" s="11" t="str">
        <f>CONCATENATE("          ", "6008", " - ", "STUDENT HOURLY-FICA EXEMPT")</f>
        <v xml:space="preserve">          6008 - STUDENT HOURLY-FICA EXEMPT</v>
      </c>
      <c r="C99" s="11"/>
      <c r="D99" s="6">
        <v>5278.66</v>
      </c>
      <c r="E99" s="2"/>
      <c r="F99" s="7">
        <f t="shared" si="32"/>
        <v>2.2376363476590989E-2</v>
      </c>
      <c r="G99" s="2"/>
      <c r="H99" s="6">
        <v>612.69000000000005</v>
      </c>
      <c r="I99" s="2"/>
      <c r="J99" s="7">
        <f t="shared" si="33"/>
        <v>7.3589899270154529E-3</v>
      </c>
      <c r="K99" s="2"/>
      <c r="L99" s="6">
        <f t="shared" si="34"/>
        <v>4665.9699999999993</v>
      </c>
      <c r="M99" s="2"/>
      <c r="N99" s="7">
        <f t="shared" si="35"/>
        <v>7.6155478300608772</v>
      </c>
      <c r="O99" s="11"/>
      <c r="P99" s="6">
        <v>34363.53</v>
      </c>
      <c r="Q99" s="2"/>
      <c r="R99" s="7">
        <f t="shared" si="36"/>
        <v>2.3054712720053529E-2</v>
      </c>
      <c r="S99" s="2"/>
      <c r="T99" s="6">
        <v>2582.52</v>
      </c>
      <c r="U99" s="2"/>
      <c r="V99" s="7">
        <f t="shared" si="37"/>
        <v>3.6381064304896221E-3</v>
      </c>
      <c r="W99" s="2"/>
      <c r="X99" s="6">
        <f t="shared" si="38"/>
        <v>31781.01</v>
      </c>
      <c r="Y99" s="2"/>
      <c r="Z99" s="7">
        <f t="shared" si="39"/>
        <v>12.306200920031596</v>
      </c>
    </row>
    <row r="100" spans="1:26" s="29" customFormat="1" outlineLevel="1" collapsed="1" x14ac:dyDescent="0.3">
      <c r="A100" s="28"/>
      <c r="B100" s="14" t="str">
        <f>CONCATENATE("     ","Advertising/Promo                                 ")</f>
        <v xml:space="preserve">     Advertising/Promo                                 </v>
      </c>
      <c r="C100" s="14"/>
      <c r="D100" s="1">
        <f>SUM(OSRRefD22_2x_0)</f>
        <v>348.39</v>
      </c>
      <c r="E100" s="1"/>
      <c r="F100" s="5">
        <f t="shared" ref="F100:F104" si="40">IF(D$12=0,0,D100/D$12)</f>
        <v>1.4768333765784374E-3</v>
      </c>
      <c r="G100" s="1"/>
      <c r="H100" s="1">
        <f>SUM(OSRRefH22_2x_0)</f>
        <v>513.5</v>
      </c>
      <c r="I100" s="1"/>
      <c r="J100" s="5">
        <f t="shared" ref="J100:J104" si="41">IF(H$12=0,0,H100/H$12)</f>
        <v>6.1676236392342538E-3</v>
      </c>
      <c r="K100" s="1"/>
      <c r="L100" s="1">
        <f t="shared" ref="L100:L104" si="42">+D100-H100</f>
        <v>-165.11</v>
      </c>
      <c r="M100" s="1"/>
      <c r="N100" s="5">
        <f t="shared" ref="N100:N104" si="43">IF(H100=0,0,L100/H100)</f>
        <v>-0.32153846153846155</v>
      </c>
      <c r="O100" s="14"/>
      <c r="P100" s="1">
        <f>SUM(OSRRefP22_2x_0)</f>
        <v>2028.45</v>
      </c>
      <c r="Q100" s="1"/>
      <c r="R100" s="5">
        <f t="shared" ref="R100:R104" si="44">IF(P$12=0,0,P100/P$12)</f>
        <v>1.3609001175662857E-3</v>
      </c>
      <c r="S100" s="1"/>
      <c r="T100" s="1">
        <f>SUM(OSRRefT22_2x_0)</f>
        <v>11802.65</v>
      </c>
      <c r="U100" s="1"/>
      <c r="V100" s="5">
        <f t="shared" ref="V100:V104" si="45">IF(T$12=0,0,T100/T$12)</f>
        <v>1.6626898092490412E-2</v>
      </c>
      <c r="W100" s="1"/>
      <c r="X100" s="1">
        <f t="shared" ref="X100:X104" si="46">+P100-T100</f>
        <v>-9774.1999999999989</v>
      </c>
      <c r="Y100" s="1"/>
      <c r="Z100" s="5">
        <f t="shared" ref="Z100:Z104" si="47">IF(T100=0,0,X100/T100)</f>
        <v>-0.82813605419121972</v>
      </c>
    </row>
    <row r="101" spans="1:26" s="24" customFormat="1" hidden="1" outlineLevel="2" x14ac:dyDescent="0.3">
      <c r="A101" s="27"/>
      <c r="B101" s="11" t="str">
        <f>CONCATENATE("          ", "6362", " - ", "ADVERTISING EXPENSE")</f>
        <v xml:space="preserve">          6362 - ADVERTISING EXPENSE</v>
      </c>
      <c r="C101" s="11"/>
      <c r="D101" s="6">
        <v>348.39</v>
      </c>
      <c r="E101" s="2"/>
      <c r="F101" s="7">
        <f t="shared" si="40"/>
        <v>1.4768333765784374E-3</v>
      </c>
      <c r="G101" s="2"/>
      <c r="H101" s="6">
        <v>513.5</v>
      </c>
      <c r="I101" s="2"/>
      <c r="J101" s="7">
        <f t="shared" si="41"/>
        <v>6.1676236392342538E-3</v>
      </c>
      <c r="K101" s="2"/>
      <c r="L101" s="6">
        <f t="shared" si="42"/>
        <v>-165.11</v>
      </c>
      <c r="M101" s="2"/>
      <c r="N101" s="7">
        <f t="shared" si="43"/>
        <v>-0.32153846153846155</v>
      </c>
      <c r="O101" s="11"/>
      <c r="P101" s="6">
        <v>2028.45</v>
      </c>
      <c r="Q101" s="2"/>
      <c r="R101" s="7">
        <f t="shared" si="44"/>
        <v>1.3609001175662857E-3</v>
      </c>
      <c r="S101" s="2"/>
      <c r="T101" s="6">
        <v>11802.65</v>
      </c>
      <c r="U101" s="2"/>
      <c r="V101" s="7">
        <f t="shared" si="45"/>
        <v>1.6626898092490412E-2</v>
      </c>
      <c r="W101" s="2"/>
      <c r="X101" s="6">
        <f t="shared" si="46"/>
        <v>-9774.1999999999989</v>
      </c>
      <c r="Y101" s="2"/>
      <c r="Z101" s="7">
        <f t="shared" si="47"/>
        <v>-0.82813605419121972</v>
      </c>
    </row>
    <row r="102" spans="1:26" s="29" customFormat="1" outlineLevel="1" collapsed="1" x14ac:dyDescent="0.3">
      <c r="A102" s="28"/>
      <c r="B102" s="14" t="str">
        <f>CONCATENATE("     ","Discounts and Markdowns                           ")</f>
        <v xml:space="preserve">     Discounts and Markdowns                           </v>
      </c>
      <c r="C102" s="14"/>
      <c r="D102" s="1">
        <f>SUM(OSRRefD22_3x_0)</f>
        <v>0</v>
      </c>
      <c r="E102" s="1"/>
      <c r="F102" s="5">
        <f t="shared" si="40"/>
        <v>0</v>
      </c>
      <c r="G102" s="1"/>
      <c r="H102" s="1">
        <f>SUM(OSRRefH22_3x_0)</f>
        <v>0</v>
      </c>
      <c r="I102" s="1"/>
      <c r="J102" s="5">
        <f t="shared" si="41"/>
        <v>0</v>
      </c>
      <c r="K102" s="1"/>
      <c r="L102" s="1">
        <f t="shared" si="42"/>
        <v>0</v>
      </c>
      <c r="M102" s="1"/>
      <c r="N102" s="5">
        <f t="shared" si="43"/>
        <v>0</v>
      </c>
      <c r="O102" s="14"/>
      <c r="P102" s="1">
        <f>SUM(OSRRefP22_3x_0)</f>
        <v>0</v>
      </c>
      <c r="Q102" s="1"/>
      <c r="R102" s="5">
        <f t="shared" si="44"/>
        <v>0</v>
      </c>
      <c r="S102" s="1"/>
      <c r="T102" s="1">
        <f>SUM(OSRRefT22_3x_0)</f>
        <v>0</v>
      </c>
      <c r="U102" s="1"/>
      <c r="V102" s="5">
        <f t="shared" si="45"/>
        <v>0</v>
      </c>
      <c r="W102" s="1"/>
      <c r="X102" s="1">
        <f t="shared" si="46"/>
        <v>0</v>
      </c>
      <c r="Y102" s="1"/>
      <c r="Z102" s="5">
        <f t="shared" si="47"/>
        <v>0</v>
      </c>
    </row>
    <row r="103" spans="1:26" s="24" customFormat="1" hidden="1" outlineLevel="2" x14ac:dyDescent="0.3">
      <c r="A103" s="27"/>
      <c r="B103" s="11" t="str">
        <f>CONCATENATE("          ", "6382", " - ", "DISCOUNTS/MARK DOWNS")</f>
        <v xml:space="preserve">          6382 - DISCOUNTS/MARK DOWNS</v>
      </c>
      <c r="C103" s="11"/>
      <c r="D103" s="6"/>
      <c r="E103" s="2"/>
      <c r="F103" s="7">
        <f t="shared" si="40"/>
        <v>0</v>
      </c>
      <c r="G103" s="2"/>
      <c r="H103" s="6">
        <v>0</v>
      </c>
      <c r="I103" s="2"/>
      <c r="J103" s="7">
        <f t="shared" si="41"/>
        <v>0</v>
      </c>
      <c r="K103" s="2"/>
      <c r="L103" s="6">
        <f t="shared" si="42"/>
        <v>0</v>
      </c>
      <c r="M103" s="2"/>
      <c r="N103" s="7">
        <f t="shared" si="43"/>
        <v>0</v>
      </c>
      <c r="O103" s="11"/>
      <c r="P103" s="6"/>
      <c r="Q103" s="2"/>
      <c r="R103" s="7">
        <f t="shared" si="44"/>
        <v>0</v>
      </c>
      <c r="S103" s="2"/>
      <c r="T103" s="6">
        <v>0</v>
      </c>
      <c r="U103" s="2"/>
      <c r="V103" s="7">
        <f t="shared" si="45"/>
        <v>0</v>
      </c>
      <c r="W103" s="2"/>
      <c r="X103" s="6">
        <f t="shared" si="46"/>
        <v>0</v>
      </c>
      <c r="Y103" s="2"/>
      <c r="Z103" s="7">
        <f t="shared" si="47"/>
        <v>0</v>
      </c>
    </row>
    <row r="104" spans="1:26" s="24" customFormat="1" hidden="1" outlineLevel="2" x14ac:dyDescent="0.3">
      <c r="A104" s="27"/>
      <c r="B104" s="11" t="str">
        <f>CONCATENATE("          ", "9175", " - ", "EARNED DISCOUNTS")</f>
        <v xml:space="preserve">          9175 - EARNED DISCOUNTS</v>
      </c>
      <c r="C104" s="11"/>
      <c r="D104" s="6">
        <v>0</v>
      </c>
      <c r="E104" s="2"/>
      <c r="F104" s="7">
        <f t="shared" si="40"/>
        <v>0</v>
      </c>
      <c r="G104" s="2"/>
      <c r="H104" s="6"/>
      <c r="I104" s="2"/>
      <c r="J104" s="7">
        <f t="shared" si="41"/>
        <v>0</v>
      </c>
      <c r="K104" s="2"/>
      <c r="L104" s="6">
        <f t="shared" si="42"/>
        <v>0</v>
      </c>
      <c r="M104" s="2"/>
      <c r="N104" s="7">
        <f t="shared" si="43"/>
        <v>0</v>
      </c>
      <c r="O104" s="11"/>
      <c r="P104" s="6">
        <v>0</v>
      </c>
      <c r="Q104" s="2"/>
      <c r="R104" s="7">
        <f t="shared" si="44"/>
        <v>0</v>
      </c>
      <c r="S104" s="2"/>
      <c r="T104" s="6"/>
      <c r="U104" s="2"/>
      <c r="V104" s="7">
        <f t="shared" si="45"/>
        <v>0</v>
      </c>
      <c r="W104" s="2"/>
      <c r="X104" s="6">
        <f t="shared" si="46"/>
        <v>0</v>
      </c>
      <c r="Y104" s="2"/>
      <c r="Z104" s="7">
        <f t="shared" si="47"/>
        <v>0</v>
      </c>
    </row>
    <row r="105" spans="1:26" s="29" customFormat="1" outlineLevel="1" collapsed="1" x14ac:dyDescent="0.3">
      <c r="A105" s="28"/>
      <c r="B105" s="14" t="str">
        <f>CONCATENATE("     ","Employees' Appreciation                           ")</f>
        <v xml:space="preserve">     Employees' Appreciation                           </v>
      </c>
      <c r="C105" s="14"/>
      <c r="D105" s="1">
        <f>SUM(OSRRefD22_4x_0)</f>
        <v>0</v>
      </c>
      <c r="E105" s="1"/>
      <c r="F105" s="5">
        <f t="shared" ref="F105:F109" si="48">IF(D$12=0,0,D105/D$12)</f>
        <v>0</v>
      </c>
      <c r="G105" s="1"/>
      <c r="H105" s="1">
        <f>SUM(OSRRefH22_4x_0)</f>
        <v>0</v>
      </c>
      <c r="I105" s="1"/>
      <c r="J105" s="5">
        <f t="shared" ref="J105:J109" si="49">IF(H$12=0,0,H105/H$12)</f>
        <v>0</v>
      </c>
      <c r="K105" s="1"/>
      <c r="L105" s="1">
        <f t="shared" ref="L105:L109" si="50">+D105-H105</f>
        <v>0</v>
      </c>
      <c r="M105" s="1"/>
      <c r="N105" s="5">
        <f t="shared" ref="N105:N109" si="51">IF(H105=0,0,L105/H105)</f>
        <v>0</v>
      </c>
      <c r="O105" s="14"/>
      <c r="P105" s="1">
        <f>SUM(OSRRefP22_4x_0)</f>
        <v>216.44</v>
      </c>
      <c r="Q105" s="1"/>
      <c r="R105" s="5">
        <f t="shared" ref="R105:R109" si="52">IF(P$12=0,0,P105/P$12)</f>
        <v>1.4521098446895257E-4</v>
      </c>
      <c r="S105" s="1"/>
      <c r="T105" s="1">
        <f>SUM(OSRRefT22_4x_0)</f>
        <v>0</v>
      </c>
      <c r="U105" s="1"/>
      <c r="V105" s="5">
        <f t="shared" ref="V105:V109" si="53">IF(T$12=0,0,T105/T$12)</f>
        <v>0</v>
      </c>
      <c r="W105" s="1"/>
      <c r="X105" s="1">
        <f t="shared" ref="X105:X109" si="54">+P105-T105</f>
        <v>216.44</v>
      </c>
      <c r="Y105" s="1"/>
      <c r="Z105" s="5">
        <f t="shared" ref="Z105:Z109" si="55">IF(T105=0,0,X105/T105)</f>
        <v>0</v>
      </c>
    </row>
    <row r="106" spans="1:26" s="24" customFormat="1" hidden="1" outlineLevel="2" x14ac:dyDescent="0.3">
      <c r="A106" s="27"/>
      <c r="B106" s="11" t="str">
        <f>CONCATENATE("          ", "6277", " - ", "EMPLOYEE APPRECIATION")</f>
        <v xml:space="preserve">          6277 - EMPLOYEE APPRECIATION</v>
      </c>
      <c r="C106" s="11"/>
      <c r="D106" s="6"/>
      <c r="E106" s="2"/>
      <c r="F106" s="7">
        <f t="shared" si="48"/>
        <v>0</v>
      </c>
      <c r="G106" s="2"/>
      <c r="H106" s="6"/>
      <c r="I106" s="2"/>
      <c r="J106" s="7">
        <f t="shared" si="49"/>
        <v>0</v>
      </c>
      <c r="K106" s="2"/>
      <c r="L106" s="6">
        <f t="shared" si="50"/>
        <v>0</v>
      </c>
      <c r="M106" s="2"/>
      <c r="N106" s="7">
        <f t="shared" si="51"/>
        <v>0</v>
      </c>
      <c r="O106" s="11"/>
      <c r="P106" s="6">
        <v>216.44</v>
      </c>
      <c r="Q106" s="2"/>
      <c r="R106" s="7">
        <f t="shared" si="52"/>
        <v>1.4521098446895257E-4</v>
      </c>
      <c r="S106" s="2"/>
      <c r="T106" s="6"/>
      <c r="U106" s="2"/>
      <c r="V106" s="7">
        <f t="shared" si="53"/>
        <v>0</v>
      </c>
      <c r="W106" s="2"/>
      <c r="X106" s="6">
        <f t="shared" si="54"/>
        <v>216.44</v>
      </c>
      <c r="Y106" s="2"/>
      <c r="Z106" s="7">
        <f t="shared" si="55"/>
        <v>0</v>
      </c>
    </row>
    <row r="107" spans="1:26" s="29" customFormat="1" outlineLevel="1" collapsed="1" x14ac:dyDescent="0.3">
      <c r="A107" s="28"/>
      <c r="B107" s="14" t="str">
        <f>CONCATENATE("     ","Freight out/Postage                               ")</f>
        <v xml:space="preserve">     Freight out/Postage                               </v>
      </c>
      <c r="C107" s="14"/>
      <c r="D107" s="1">
        <f>SUM(OSRRefD22_5x_0)</f>
        <v>3.52</v>
      </c>
      <c r="E107" s="1"/>
      <c r="F107" s="5">
        <f t="shared" si="48"/>
        <v>1.4921362512001205E-5</v>
      </c>
      <c r="G107" s="1"/>
      <c r="H107" s="1">
        <f>SUM(OSRRefH22_5x_0)</f>
        <v>0</v>
      </c>
      <c r="I107" s="1"/>
      <c r="J107" s="5">
        <f t="shared" si="49"/>
        <v>0</v>
      </c>
      <c r="K107" s="1"/>
      <c r="L107" s="1">
        <f t="shared" si="50"/>
        <v>3.52</v>
      </c>
      <c r="M107" s="1"/>
      <c r="N107" s="5">
        <f t="shared" si="51"/>
        <v>0</v>
      </c>
      <c r="O107" s="14"/>
      <c r="P107" s="1">
        <f>SUM(OSRRefP22_5x_0)</f>
        <v>929.29</v>
      </c>
      <c r="Q107" s="1"/>
      <c r="R107" s="5">
        <f t="shared" si="52"/>
        <v>6.2346662242262487E-4</v>
      </c>
      <c r="S107" s="1"/>
      <c r="T107" s="1">
        <f>SUM(OSRRefT22_5x_0)</f>
        <v>91.96</v>
      </c>
      <c r="U107" s="1"/>
      <c r="V107" s="5">
        <f t="shared" si="53"/>
        <v>1.2954798698473804E-4</v>
      </c>
      <c r="W107" s="1"/>
      <c r="X107" s="1">
        <f t="shared" si="54"/>
        <v>837.32999999999993</v>
      </c>
      <c r="Y107" s="1"/>
      <c r="Z107" s="5">
        <f t="shared" si="55"/>
        <v>9.1053719008264462</v>
      </c>
    </row>
    <row r="108" spans="1:26" s="24" customFormat="1" hidden="1" outlineLevel="2" x14ac:dyDescent="0.3">
      <c r="A108" s="27"/>
      <c r="B108" s="11" t="str">
        <f>CONCATENATE("          ", "6305", " - ", "FREIGHT OUT")</f>
        <v xml:space="preserve">          6305 - FREIGHT OUT</v>
      </c>
      <c r="C108" s="11"/>
      <c r="D108" s="6">
        <v>3.52</v>
      </c>
      <c r="E108" s="2"/>
      <c r="F108" s="7">
        <f t="shared" si="48"/>
        <v>1.4921362512001205E-5</v>
      </c>
      <c r="G108" s="2"/>
      <c r="H108" s="6"/>
      <c r="I108" s="2"/>
      <c r="J108" s="7">
        <f t="shared" si="49"/>
        <v>0</v>
      </c>
      <c r="K108" s="2"/>
      <c r="L108" s="6">
        <f t="shared" si="50"/>
        <v>3.52</v>
      </c>
      <c r="M108" s="2"/>
      <c r="N108" s="7">
        <f t="shared" si="51"/>
        <v>0</v>
      </c>
      <c r="O108" s="11"/>
      <c r="P108" s="6">
        <v>893.87</v>
      </c>
      <c r="Q108" s="2"/>
      <c r="R108" s="7">
        <f t="shared" si="52"/>
        <v>5.9970311720228535E-4</v>
      </c>
      <c r="S108" s="2"/>
      <c r="T108" s="6">
        <v>91.96</v>
      </c>
      <c r="U108" s="2"/>
      <c r="V108" s="7">
        <f t="shared" si="53"/>
        <v>1.2954798698473804E-4</v>
      </c>
      <c r="W108" s="2"/>
      <c r="X108" s="6">
        <f t="shared" si="54"/>
        <v>801.91</v>
      </c>
      <c r="Y108" s="2"/>
      <c r="Z108" s="7">
        <f t="shared" si="55"/>
        <v>8.7202044367116134</v>
      </c>
    </row>
    <row r="109" spans="1:26" s="24" customFormat="1" hidden="1" outlineLevel="2" x14ac:dyDescent="0.3">
      <c r="A109" s="27"/>
      <c r="B109" s="11" t="str">
        <f>CONCATENATE("          ", "6307", " - ", "POSTAGE")</f>
        <v xml:space="preserve">          6307 - POSTAGE</v>
      </c>
      <c r="C109" s="11"/>
      <c r="D109" s="6"/>
      <c r="E109" s="2"/>
      <c r="F109" s="7">
        <f t="shared" si="48"/>
        <v>0</v>
      </c>
      <c r="G109" s="2"/>
      <c r="H109" s="6"/>
      <c r="I109" s="2"/>
      <c r="J109" s="7">
        <f t="shared" si="49"/>
        <v>0</v>
      </c>
      <c r="K109" s="2"/>
      <c r="L109" s="6">
        <f t="shared" si="50"/>
        <v>0</v>
      </c>
      <c r="M109" s="2"/>
      <c r="N109" s="7">
        <f t="shared" si="51"/>
        <v>0</v>
      </c>
      <c r="O109" s="11"/>
      <c r="P109" s="6">
        <v>35.42</v>
      </c>
      <c r="Q109" s="2"/>
      <c r="R109" s="7">
        <f t="shared" si="52"/>
        <v>2.3763505220339589E-5</v>
      </c>
      <c r="S109" s="2"/>
      <c r="T109" s="6"/>
      <c r="U109" s="2"/>
      <c r="V109" s="7">
        <f t="shared" si="53"/>
        <v>0</v>
      </c>
      <c r="W109" s="2"/>
      <c r="X109" s="6">
        <f t="shared" si="54"/>
        <v>35.42</v>
      </c>
      <c r="Y109" s="2"/>
      <c r="Z109" s="7">
        <f t="shared" si="55"/>
        <v>0</v>
      </c>
    </row>
    <row r="110" spans="1:26" s="29" customFormat="1" outlineLevel="1" collapsed="1" x14ac:dyDescent="0.3">
      <c r="A110" s="28"/>
      <c r="B110" s="14" t="str">
        <f>CONCATENATE("     ","Inventory Adjustment                              ")</f>
        <v xml:space="preserve">     Inventory Adjustment                              </v>
      </c>
      <c r="C110" s="14"/>
      <c r="D110" s="1">
        <f>SUM(OSRRefD22_6x_0)</f>
        <v>3350</v>
      </c>
      <c r="E110" s="1"/>
      <c r="F110" s="5">
        <f t="shared" ref="F110:F112" si="56">IF(D$12=0,0,D110/D$12)</f>
        <v>1.42007285270466E-2</v>
      </c>
      <c r="G110" s="1"/>
      <c r="H110" s="1">
        <f>SUM(OSRRefH22_6x_0)</f>
        <v>1000</v>
      </c>
      <c r="I110" s="1"/>
      <c r="J110" s="5">
        <f t="shared" ref="J110:J112" si="57">IF(H$12=0,0,H110/H$12)</f>
        <v>1.2010951585655801E-2</v>
      </c>
      <c r="K110" s="1"/>
      <c r="L110" s="1">
        <f t="shared" ref="L110:L112" si="58">+D110-H110</f>
        <v>2350</v>
      </c>
      <c r="M110" s="1"/>
      <c r="N110" s="5">
        <f t="shared" ref="N110:N112" si="59">IF(H110=0,0,L110/H110)</f>
        <v>2.35</v>
      </c>
      <c r="O110" s="14"/>
      <c r="P110" s="1">
        <f>SUM(OSRRefP22_6x_0)</f>
        <v>16750</v>
      </c>
      <c r="Q110" s="1"/>
      <c r="R110" s="5">
        <f t="shared" ref="R110:R112" si="60">IF(P$12=0,0,P110/P$12)</f>
        <v>1.1237682451741617E-2</v>
      </c>
      <c r="S110" s="1"/>
      <c r="T110" s="1">
        <f>SUM(OSRRefT22_6x_0)</f>
        <v>5000</v>
      </c>
      <c r="U110" s="1"/>
      <c r="V110" s="5">
        <f t="shared" ref="V110:V112" si="61">IF(T$12=0,0,T110/T$12)</f>
        <v>7.043713950888323E-3</v>
      </c>
      <c r="W110" s="1"/>
      <c r="X110" s="1">
        <f t="shared" ref="X110:X112" si="62">+P110-T110</f>
        <v>11750</v>
      </c>
      <c r="Y110" s="1"/>
      <c r="Z110" s="5">
        <f t="shared" ref="Z110:Z112" si="63">IF(T110=0,0,X110/T110)</f>
        <v>2.35</v>
      </c>
    </row>
    <row r="111" spans="1:26" s="24" customFormat="1" hidden="1" outlineLevel="2" x14ac:dyDescent="0.3">
      <c r="A111" s="27"/>
      <c r="B111" s="11" t="str">
        <f>CONCATENATE("          ", "6408", " - ", "INVENTORY ADJUSTMENT")</f>
        <v xml:space="preserve">          6408 - INVENTORY ADJUSTMENT</v>
      </c>
      <c r="C111" s="11"/>
      <c r="D111" s="6">
        <v>3350</v>
      </c>
      <c r="E111" s="2"/>
      <c r="F111" s="7">
        <f t="shared" si="56"/>
        <v>1.42007285270466E-2</v>
      </c>
      <c r="G111" s="2"/>
      <c r="H111" s="6">
        <v>1000</v>
      </c>
      <c r="I111" s="2"/>
      <c r="J111" s="7">
        <f t="shared" si="57"/>
        <v>1.2010951585655801E-2</v>
      </c>
      <c r="K111" s="2"/>
      <c r="L111" s="6">
        <f t="shared" si="58"/>
        <v>2350</v>
      </c>
      <c r="M111" s="2"/>
      <c r="N111" s="7">
        <f t="shared" si="59"/>
        <v>2.35</v>
      </c>
      <c r="O111" s="11"/>
      <c r="P111" s="6">
        <v>16750</v>
      </c>
      <c r="Q111" s="2"/>
      <c r="R111" s="7">
        <f t="shared" si="60"/>
        <v>1.1237682451741617E-2</v>
      </c>
      <c r="S111" s="2"/>
      <c r="T111" s="6">
        <v>5000</v>
      </c>
      <c r="U111" s="2"/>
      <c r="V111" s="7">
        <f t="shared" si="61"/>
        <v>7.043713950888323E-3</v>
      </c>
      <c r="W111" s="2"/>
      <c r="X111" s="6">
        <f t="shared" si="62"/>
        <v>11750</v>
      </c>
      <c r="Y111" s="2"/>
      <c r="Z111" s="7">
        <f t="shared" si="63"/>
        <v>2.35</v>
      </c>
    </row>
    <row r="112" spans="1:26" s="24" customFormat="1" hidden="1" outlineLevel="2" x14ac:dyDescent="0.3">
      <c r="A112" s="27"/>
      <c r="B112" s="11" t="str">
        <f>CONCATENATE("          ", "7741", " - ", "INV. SHRINKAGE-LOGO GIFTS")</f>
        <v xml:space="preserve">          7741 - INV. SHRINKAGE-LOGO GIFTS</v>
      </c>
      <c r="C112" s="11"/>
      <c r="D112" s="6"/>
      <c r="E112" s="2"/>
      <c r="F112" s="7">
        <f t="shared" si="56"/>
        <v>0</v>
      </c>
      <c r="G112" s="2"/>
      <c r="H112" s="6"/>
      <c r="I112" s="2"/>
      <c r="J112" s="7">
        <f t="shared" si="57"/>
        <v>0</v>
      </c>
      <c r="K112" s="2"/>
      <c r="L112" s="6">
        <f t="shared" si="58"/>
        <v>0</v>
      </c>
      <c r="M112" s="2"/>
      <c r="N112" s="7">
        <f t="shared" si="59"/>
        <v>0</v>
      </c>
      <c r="O112" s="11"/>
      <c r="P112" s="6"/>
      <c r="Q112" s="2"/>
      <c r="R112" s="7">
        <f t="shared" si="60"/>
        <v>0</v>
      </c>
      <c r="S112" s="2"/>
      <c r="T112" s="6">
        <v>0</v>
      </c>
      <c r="U112" s="2"/>
      <c r="V112" s="7">
        <f t="shared" si="61"/>
        <v>0</v>
      </c>
      <c r="W112" s="2"/>
      <c r="X112" s="6">
        <f t="shared" si="62"/>
        <v>0</v>
      </c>
      <c r="Y112" s="2"/>
      <c r="Z112" s="7">
        <f t="shared" si="63"/>
        <v>0</v>
      </c>
    </row>
    <row r="113" spans="1:26" s="29" customFormat="1" outlineLevel="1" collapsed="1" x14ac:dyDescent="0.3">
      <c r="A113" s="28"/>
      <c r="B113" s="14" t="str">
        <f>CONCATENATE("     ","Professional Services                             ")</f>
        <v xml:space="preserve">     Professional Services                             </v>
      </c>
      <c r="C113" s="14"/>
      <c r="D113" s="1">
        <f>SUM(OSRRefD22_7x_0)</f>
        <v>0</v>
      </c>
      <c r="E113" s="1"/>
      <c r="F113" s="5">
        <f t="shared" ref="F113:F117" si="64">IF(D$12=0,0,D113/D$12)</f>
        <v>0</v>
      </c>
      <c r="G113" s="1"/>
      <c r="H113" s="1">
        <f>SUM(OSRRefH22_7x_0)</f>
        <v>0</v>
      </c>
      <c r="I113" s="1"/>
      <c r="J113" s="5">
        <f t="shared" ref="J113:J117" si="65">IF(H$12=0,0,H113/H$12)</f>
        <v>0</v>
      </c>
      <c r="K113" s="1"/>
      <c r="L113" s="1">
        <f t="shared" ref="L113:L117" si="66">+D113-H113</f>
        <v>0</v>
      </c>
      <c r="M113" s="1"/>
      <c r="N113" s="5">
        <f t="shared" ref="N113:N117" si="67">IF(H113=0,0,L113/H113)</f>
        <v>0</v>
      </c>
      <c r="O113" s="14"/>
      <c r="P113" s="1">
        <f>SUM(OSRRefP22_7x_0)</f>
        <v>507.64</v>
      </c>
      <c r="Q113" s="1"/>
      <c r="R113" s="5">
        <f t="shared" ref="R113:R117" si="68">IF(P$12=0,0,P113/P$12)</f>
        <v>3.4057893252549938E-4</v>
      </c>
      <c r="S113" s="1"/>
      <c r="T113" s="1">
        <f>SUM(OSRRefT22_7x_0)</f>
        <v>0</v>
      </c>
      <c r="U113" s="1"/>
      <c r="V113" s="5">
        <f t="shared" ref="V113:V117" si="69">IF(T$12=0,0,T113/T$12)</f>
        <v>0</v>
      </c>
      <c r="W113" s="1"/>
      <c r="X113" s="1">
        <f t="shared" ref="X113:X117" si="70">+P113-T113</f>
        <v>507.64</v>
      </c>
      <c r="Y113" s="1"/>
      <c r="Z113" s="5">
        <f t="shared" ref="Z113:Z117" si="71">IF(T113=0,0,X113/T113)</f>
        <v>0</v>
      </c>
    </row>
    <row r="114" spans="1:26" s="24" customFormat="1" hidden="1" outlineLevel="2" x14ac:dyDescent="0.3">
      <c r="A114" s="27"/>
      <c r="B114" s="11" t="str">
        <f>CONCATENATE("          ", "6336", " - ", "PROFESSIONAL SERVICES")</f>
        <v xml:space="preserve">          6336 - PROFESSIONAL SERVICES</v>
      </c>
      <c r="C114" s="11"/>
      <c r="D114" s="6"/>
      <c r="E114" s="2"/>
      <c r="F114" s="7">
        <f t="shared" si="64"/>
        <v>0</v>
      </c>
      <c r="G114" s="2"/>
      <c r="H114" s="6"/>
      <c r="I114" s="2"/>
      <c r="J114" s="7">
        <f t="shared" si="65"/>
        <v>0</v>
      </c>
      <c r="K114" s="2"/>
      <c r="L114" s="6">
        <f t="shared" si="66"/>
        <v>0</v>
      </c>
      <c r="M114" s="2"/>
      <c r="N114" s="7">
        <f t="shared" si="67"/>
        <v>0</v>
      </c>
      <c r="O114" s="11"/>
      <c r="P114" s="6">
        <v>507.64</v>
      </c>
      <c r="Q114" s="2"/>
      <c r="R114" s="7">
        <f t="shared" si="68"/>
        <v>3.4057893252549938E-4</v>
      </c>
      <c r="S114" s="2"/>
      <c r="T114" s="6"/>
      <c r="U114" s="2"/>
      <c r="V114" s="7">
        <f t="shared" si="69"/>
        <v>0</v>
      </c>
      <c r="W114" s="2"/>
      <c r="X114" s="6">
        <f t="shared" si="70"/>
        <v>507.64</v>
      </c>
      <c r="Y114" s="2"/>
      <c r="Z114" s="7">
        <f t="shared" si="71"/>
        <v>0</v>
      </c>
    </row>
    <row r="115" spans="1:26" s="29" customFormat="1" outlineLevel="1" collapsed="1" x14ac:dyDescent="0.3">
      <c r="A115" s="28"/>
      <c r="B115" s="14" t="str">
        <f>CONCATENATE("     ","Repair and Maintenance                            ")</f>
        <v xml:space="preserve">     Repair and Maintenance                            </v>
      </c>
      <c r="C115" s="14"/>
      <c r="D115" s="1">
        <f>SUM(OSRRefD22_8x_0)</f>
        <v>0</v>
      </c>
      <c r="E115" s="1"/>
      <c r="F115" s="5">
        <f t="shared" si="64"/>
        <v>0</v>
      </c>
      <c r="G115" s="1"/>
      <c r="H115" s="1">
        <f>SUM(OSRRefH22_8x_0)</f>
        <v>0</v>
      </c>
      <c r="I115" s="1"/>
      <c r="J115" s="5">
        <f t="shared" si="65"/>
        <v>0</v>
      </c>
      <c r="K115" s="1"/>
      <c r="L115" s="1">
        <f t="shared" si="66"/>
        <v>0</v>
      </c>
      <c r="M115" s="1"/>
      <c r="N115" s="5">
        <f t="shared" si="67"/>
        <v>0</v>
      </c>
      <c r="O115" s="14"/>
      <c r="P115" s="1">
        <f>SUM(OSRRefP22_8x_0)</f>
        <v>9.24</v>
      </c>
      <c r="Q115" s="1"/>
      <c r="R115" s="5">
        <f t="shared" si="68"/>
        <v>6.1991752748711969E-6</v>
      </c>
      <c r="S115" s="1"/>
      <c r="T115" s="1">
        <f>SUM(OSRRefT22_8x_0)</f>
        <v>0</v>
      </c>
      <c r="U115" s="1"/>
      <c r="V115" s="5">
        <f t="shared" si="69"/>
        <v>0</v>
      </c>
      <c r="W115" s="1"/>
      <c r="X115" s="1">
        <f t="shared" si="70"/>
        <v>9.24</v>
      </c>
      <c r="Y115" s="1"/>
      <c r="Z115" s="5">
        <f t="shared" si="71"/>
        <v>0</v>
      </c>
    </row>
    <row r="116" spans="1:26" s="24" customFormat="1" hidden="1" outlineLevel="2" x14ac:dyDescent="0.3">
      <c r="A116" s="27"/>
      <c r="B116" s="11" t="str">
        <f>CONCATENATE("          ", "6373", " - ", "MAINTENANCE CONTRACTS")</f>
        <v xml:space="preserve">          6373 - MAINTENANCE CONTRACTS</v>
      </c>
      <c r="C116" s="11"/>
      <c r="D116" s="6"/>
      <c r="E116" s="2"/>
      <c r="F116" s="7">
        <f t="shared" si="64"/>
        <v>0</v>
      </c>
      <c r="G116" s="2"/>
      <c r="H116" s="6"/>
      <c r="I116" s="2"/>
      <c r="J116" s="7">
        <f t="shared" si="65"/>
        <v>0</v>
      </c>
      <c r="K116" s="2"/>
      <c r="L116" s="6">
        <f t="shared" si="66"/>
        <v>0</v>
      </c>
      <c r="M116" s="2"/>
      <c r="N116" s="7">
        <f t="shared" si="67"/>
        <v>0</v>
      </c>
      <c r="O116" s="11"/>
      <c r="P116" s="6">
        <v>5.7</v>
      </c>
      <c r="Q116" s="2"/>
      <c r="R116" s="7">
        <f t="shared" si="68"/>
        <v>3.8241665656672963E-6</v>
      </c>
      <c r="S116" s="2"/>
      <c r="T116" s="6"/>
      <c r="U116" s="2"/>
      <c r="V116" s="7">
        <f t="shared" si="69"/>
        <v>0</v>
      </c>
      <c r="W116" s="2"/>
      <c r="X116" s="6">
        <f t="shared" si="70"/>
        <v>5.7</v>
      </c>
      <c r="Y116" s="2"/>
      <c r="Z116" s="7">
        <f t="shared" si="71"/>
        <v>0</v>
      </c>
    </row>
    <row r="117" spans="1:26" s="24" customFormat="1" hidden="1" outlineLevel="2" x14ac:dyDescent="0.3">
      <c r="A117" s="27"/>
      <c r="B117" s="11" t="str">
        <f>CONCATENATE("          ", "6375", " - ", "OUTSIDE REPAIRS &amp; MAINTENANCE")</f>
        <v xml:space="preserve">          6375 - OUTSIDE REPAIRS &amp; MAINTENANCE</v>
      </c>
      <c r="C117" s="11"/>
      <c r="D117" s="6"/>
      <c r="E117" s="2"/>
      <c r="F117" s="7">
        <f t="shared" si="64"/>
        <v>0</v>
      </c>
      <c r="G117" s="2"/>
      <c r="H117" s="6"/>
      <c r="I117" s="2"/>
      <c r="J117" s="7">
        <f t="shared" si="65"/>
        <v>0</v>
      </c>
      <c r="K117" s="2"/>
      <c r="L117" s="6">
        <f t="shared" si="66"/>
        <v>0</v>
      </c>
      <c r="M117" s="2"/>
      <c r="N117" s="7">
        <f t="shared" si="67"/>
        <v>0</v>
      </c>
      <c r="O117" s="11"/>
      <c r="P117" s="6">
        <v>3.54</v>
      </c>
      <c r="Q117" s="2"/>
      <c r="R117" s="7">
        <f t="shared" si="68"/>
        <v>2.3750087092039002E-6</v>
      </c>
      <c r="S117" s="2"/>
      <c r="T117" s="6"/>
      <c r="U117" s="2"/>
      <c r="V117" s="7">
        <f t="shared" si="69"/>
        <v>0</v>
      </c>
      <c r="W117" s="2"/>
      <c r="X117" s="6">
        <f t="shared" si="70"/>
        <v>3.54</v>
      </c>
      <c r="Y117" s="2"/>
      <c r="Z117" s="7">
        <f t="shared" si="71"/>
        <v>0</v>
      </c>
    </row>
    <row r="118" spans="1:26" s="29" customFormat="1" outlineLevel="1" collapsed="1" x14ac:dyDescent="0.3">
      <c r="A118" s="28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1">
        <f>SUM(OSRRefD22_9x_0)</f>
        <v>0</v>
      </c>
      <c r="E118" s="1"/>
      <c r="F118" s="5">
        <f t="shared" ref="F118:F120" si="72">IF(D$12=0,0,D118/D$12)</f>
        <v>0</v>
      </c>
      <c r="G118" s="1"/>
      <c r="H118" s="1">
        <f>SUM(OSRRefH22_9x_0)</f>
        <v>0</v>
      </c>
      <c r="I118" s="1"/>
      <c r="J118" s="5">
        <f t="shared" ref="J118:J120" si="73">IF(H$12=0,0,H118/H$12)</f>
        <v>0</v>
      </c>
      <c r="K118" s="1"/>
      <c r="L118" s="1">
        <f t="shared" ref="L118:L120" si="74">+D118-H118</f>
        <v>0</v>
      </c>
      <c r="M118" s="1"/>
      <c r="N118" s="5">
        <f t="shared" ref="N118:N120" si="75">IF(H118=0,0,L118/H118)</f>
        <v>0</v>
      </c>
      <c r="O118" s="14"/>
      <c r="P118" s="1">
        <f>SUM(OSRRefP22_9x_0)</f>
        <v>16132.79</v>
      </c>
      <c r="Q118" s="1"/>
      <c r="R118" s="5">
        <f t="shared" ref="R118:R120" si="76">IF(P$12=0,0,P118/P$12)</f>
        <v>1.0823592303321352E-2</v>
      </c>
      <c r="S118" s="1"/>
      <c r="T118" s="1">
        <f>SUM(OSRRefT22_9x_0)</f>
        <v>18411.8</v>
      </c>
      <c r="U118" s="1"/>
      <c r="V118" s="5">
        <f t="shared" ref="V118:V120" si="77">IF(T$12=0,0,T118/T$12)</f>
        <v>2.5937490504193122E-2</v>
      </c>
      <c r="W118" s="1"/>
      <c r="X118" s="1">
        <f t="shared" ref="X118:X120" si="78">+P118-T118</f>
        <v>-2279.0099999999984</v>
      </c>
      <c r="Y118" s="1"/>
      <c r="Z118" s="5">
        <f t="shared" ref="Z118:Z120" si="79">IF(T118=0,0,X118/T118)</f>
        <v>-0.12377985856896112</v>
      </c>
    </row>
    <row r="119" spans="1:26" s="24" customFormat="1" hidden="1" outlineLevel="2" x14ac:dyDescent="0.3">
      <c r="A119" s="27"/>
      <c r="B119" s="11" t="str">
        <f>CONCATENATE("          ", "6253", " - ", "ROYALTY DUE ATHLETICS-LRG")</f>
        <v xml:space="preserve">          6253 - ROYALTY DUE ATHLETICS-LRG</v>
      </c>
      <c r="C119" s="11"/>
      <c r="D119" s="6"/>
      <c r="E119" s="2"/>
      <c r="F119" s="7">
        <f t="shared" si="72"/>
        <v>0</v>
      </c>
      <c r="G119" s="2"/>
      <c r="H119" s="6"/>
      <c r="I119" s="2"/>
      <c r="J119" s="7">
        <f t="shared" si="73"/>
        <v>0</v>
      </c>
      <c r="K119" s="2"/>
      <c r="L119" s="6">
        <f t="shared" si="74"/>
        <v>0</v>
      </c>
      <c r="M119" s="2"/>
      <c r="N119" s="7">
        <f t="shared" si="75"/>
        <v>0</v>
      </c>
      <c r="O119" s="11"/>
      <c r="P119" s="6">
        <v>23160.29</v>
      </c>
      <c r="Q119" s="2"/>
      <c r="R119" s="7">
        <f t="shared" si="76"/>
        <v>1.5538387134940112E-2</v>
      </c>
      <c r="S119" s="2"/>
      <c r="T119" s="6">
        <v>18411.8</v>
      </c>
      <c r="U119" s="2"/>
      <c r="V119" s="7">
        <f t="shared" si="77"/>
        <v>2.5937490504193122E-2</v>
      </c>
      <c r="W119" s="2"/>
      <c r="X119" s="6">
        <f t="shared" si="78"/>
        <v>4748.4900000000016</v>
      </c>
      <c r="Y119" s="2"/>
      <c r="Z119" s="7">
        <f t="shared" si="79"/>
        <v>0.25790471328169989</v>
      </c>
    </row>
    <row r="120" spans="1:26" s="24" customFormat="1" hidden="1" outlineLevel="2" x14ac:dyDescent="0.3">
      <c r="A120" s="27"/>
      <c r="B120" s="11" t="str">
        <f>CONCATENATE("          ", "6254", " - ", "ROYALTY &amp; COMMISSIONS")</f>
        <v xml:space="preserve">          6254 - ROYALTY &amp; COMMISSIONS</v>
      </c>
      <c r="C120" s="11"/>
      <c r="D120" s="6"/>
      <c r="E120" s="2"/>
      <c r="F120" s="7">
        <f t="shared" si="72"/>
        <v>0</v>
      </c>
      <c r="G120" s="2"/>
      <c r="H120" s="6"/>
      <c r="I120" s="2"/>
      <c r="J120" s="7">
        <f t="shared" si="73"/>
        <v>0</v>
      </c>
      <c r="K120" s="2"/>
      <c r="L120" s="6">
        <f t="shared" si="74"/>
        <v>0</v>
      </c>
      <c r="M120" s="2"/>
      <c r="N120" s="7">
        <f t="shared" si="75"/>
        <v>0</v>
      </c>
      <c r="O120" s="11"/>
      <c r="P120" s="6">
        <v>-7027.5</v>
      </c>
      <c r="Q120" s="2"/>
      <c r="R120" s="7">
        <f t="shared" si="76"/>
        <v>-4.7147948316187587E-3</v>
      </c>
      <c r="S120" s="2"/>
      <c r="T120" s="6"/>
      <c r="U120" s="2"/>
      <c r="V120" s="7">
        <f t="shared" si="77"/>
        <v>0</v>
      </c>
      <c r="W120" s="2"/>
      <c r="X120" s="6">
        <f t="shared" si="78"/>
        <v>-7027.5</v>
      </c>
      <c r="Y120" s="2"/>
      <c r="Z120" s="7">
        <f t="shared" si="79"/>
        <v>0</v>
      </c>
    </row>
    <row r="121" spans="1:26" s="29" customFormat="1" outlineLevel="1" collapsed="1" x14ac:dyDescent="0.3">
      <c r="A121" s="28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1">
        <f>SUM(OSRRefD22_10x_0)</f>
        <v>0</v>
      </c>
      <c r="E121" s="1"/>
      <c r="F121" s="5">
        <f t="shared" ref="F121:F123" si="80">IF(D$12=0,0,D121/D$12)</f>
        <v>0</v>
      </c>
      <c r="G121" s="1"/>
      <c r="H121" s="1">
        <f>SUM(OSRRefH22_10x_0)</f>
        <v>-441</v>
      </c>
      <c r="I121" s="1"/>
      <c r="J121" s="5">
        <f t="shared" ref="J121:J123" si="81">IF(H$12=0,0,H121/H$12)</f>
        <v>-5.2968296492742076E-3</v>
      </c>
      <c r="K121" s="1"/>
      <c r="L121" s="1">
        <f t="shared" ref="L121:L123" si="82">+D121-H121</f>
        <v>441</v>
      </c>
      <c r="M121" s="1"/>
      <c r="N121" s="5">
        <f t="shared" ref="N121:N123" si="83">IF(H121=0,0,L121/H121)</f>
        <v>-1</v>
      </c>
      <c r="O121" s="14"/>
      <c r="P121" s="1">
        <f>SUM(OSRRefP22_10x_0)</f>
        <v>0</v>
      </c>
      <c r="Q121" s="1"/>
      <c r="R121" s="5">
        <f t="shared" ref="R121:R123" si="84">IF(P$12=0,0,P121/P$12)</f>
        <v>0</v>
      </c>
      <c r="S121" s="1"/>
      <c r="T121" s="1">
        <f>SUM(OSRRefT22_10x_0)</f>
        <v>-365.27</v>
      </c>
      <c r="U121" s="1"/>
      <c r="V121" s="5">
        <f t="shared" ref="V121:V123" si="85">IF(T$12=0,0,T121/T$12)</f>
        <v>-5.1457147896819553E-4</v>
      </c>
      <c r="W121" s="1"/>
      <c r="X121" s="1">
        <f t="shared" ref="X121:X123" si="86">+P121-T121</f>
        <v>365.27</v>
      </c>
      <c r="Y121" s="1"/>
      <c r="Z121" s="5">
        <f t="shared" ref="Z121:Z123" si="87">IF(T121=0,0,X121/T121)</f>
        <v>-1</v>
      </c>
    </row>
    <row r="122" spans="1:26" s="24" customFormat="1" hidden="1" outlineLevel="2" x14ac:dyDescent="0.3">
      <c r="A122" s="27"/>
      <c r="B122" s="11" t="str">
        <f>CONCATENATE("          ", "6258", " - ", "MEMBERSHIP DUES")</f>
        <v xml:space="preserve">          6258 - MEMBERSHIP DUES</v>
      </c>
      <c r="C122" s="11"/>
      <c r="D122" s="6"/>
      <c r="E122" s="2"/>
      <c r="F122" s="7">
        <f t="shared" si="80"/>
        <v>0</v>
      </c>
      <c r="G122" s="2"/>
      <c r="H122" s="6">
        <v>-441</v>
      </c>
      <c r="I122" s="2"/>
      <c r="J122" s="7">
        <f t="shared" si="81"/>
        <v>-5.2968296492742076E-3</v>
      </c>
      <c r="K122" s="2"/>
      <c r="L122" s="6">
        <f t="shared" si="82"/>
        <v>441</v>
      </c>
      <c r="M122" s="2"/>
      <c r="N122" s="7">
        <f t="shared" si="83"/>
        <v>-1</v>
      </c>
      <c r="O122" s="11"/>
      <c r="P122" s="6"/>
      <c r="Q122" s="2"/>
      <c r="R122" s="7">
        <f t="shared" si="84"/>
        <v>0</v>
      </c>
      <c r="S122" s="2"/>
      <c r="T122" s="6">
        <v>-441</v>
      </c>
      <c r="U122" s="2"/>
      <c r="V122" s="7">
        <f t="shared" si="85"/>
        <v>-6.212555704683501E-4</v>
      </c>
      <c r="W122" s="2"/>
      <c r="X122" s="6">
        <f t="shared" si="86"/>
        <v>441</v>
      </c>
      <c r="Y122" s="2"/>
      <c r="Z122" s="7">
        <f t="shared" si="87"/>
        <v>-1</v>
      </c>
    </row>
    <row r="123" spans="1:26" s="24" customFormat="1" hidden="1" outlineLevel="2" x14ac:dyDescent="0.3">
      <c r="A123" s="27"/>
      <c r="B123" s="11" t="str">
        <f>CONCATENATE("          ", "6275", " - ", "SUBSCRIPTIONS")</f>
        <v xml:space="preserve">          6275 - SUBSCRIPTIONS</v>
      </c>
      <c r="C123" s="11"/>
      <c r="D123" s="6"/>
      <c r="E123" s="2"/>
      <c r="F123" s="7">
        <f t="shared" si="80"/>
        <v>0</v>
      </c>
      <c r="G123" s="2"/>
      <c r="H123" s="6"/>
      <c r="I123" s="2"/>
      <c r="J123" s="7">
        <f t="shared" si="81"/>
        <v>0</v>
      </c>
      <c r="K123" s="2"/>
      <c r="L123" s="6">
        <f t="shared" si="82"/>
        <v>0</v>
      </c>
      <c r="M123" s="2"/>
      <c r="N123" s="7">
        <f t="shared" si="83"/>
        <v>0</v>
      </c>
      <c r="O123" s="11"/>
      <c r="P123" s="6"/>
      <c r="Q123" s="2"/>
      <c r="R123" s="7">
        <f t="shared" si="84"/>
        <v>0</v>
      </c>
      <c r="S123" s="2"/>
      <c r="T123" s="6">
        <v>75.73</v>
      </c>
      <c r="U123" s="2"/>
      <c r="V123" s="7">
        <f t="shared" si="85"/>
        <v>1.0668409150015454E-4</v>
      </c>
      <c r="W123" s="2"/>
      <c r="X123" s="6">
        <f t="shared" si="86"/>
        <v>-75.73</v>
      </c>
      <c r="Y123" s="2"/>
      <c r="Z123" s="7">
        <f t="shared" si="87"/>
        <v>-1</v>
      </c>
    </row>
    <row r="124" spans="1:26" s="29" customFormat="1" outlineLevel="1" collapsed="1" x14ac:dyDescent="0.3">
      <c r="A124" s="28"/>
      <c r="B124" s="14" t="str">
        <f>CONCATENATE("     ","Supplies                                          ")</f>
        <v xml:space="preserve">     Supplies                                          </v>
      </c>
      <c r="C124" s="14"/>
      <c r="D124" s="1">
        <f>SUM(OSRRefD22_11x_0)</f>
        <v>164.36</v>
      </c>
      <c r="E124" s="1"/>
      <c r="F124" s="5">
        <f t="shared" ref="F124:F127" si="88">IF(D$12=0,0,D124/D$12)</f>
        <v>6.9672589274787447E-4</v>
      </c>
      <c r="G124" s="1"/>
      <c r="H124" s="1">
        <f>SUM(OSRRefH22_11x_0)</f>
        <v>338.09000000000003</v>
      </c>
      <c r="I124" s="1"/>
      <c r="J124" s="5">
        <f t="shared" ref="J124:J127" si="89">IF(H$12=0,0,H124/H$12)</f>
        <v>4.0607826215943695E-3</v>
      </c>
      <c r="K124" s="1"/>
      <c r="L124" s="1">
        <f t="shared" ref="L124:L127" si="90">+D124-H124</f>
        <v>-173.73000000000002</v>
      </c>
      <c r="M124" s="1"/>
      <c r="N124" s="5">
        <f t="shared" ref="N124:N127" si="91">IF(H124=0,0,L124/H124)</f>
        <v>-0.51385725694341744</v>
      </c>
      <c r="O124" s="14"/>
      <c r="P124" s="1">
        <f>SUM(OSRRefP22_11x_0)</f>
        <v>7048.3899999999994</v>
      </c>
      <c r="Q124" s="1"/>
      <c r="R124" s="5">
        <f t="shared" ref="R124:R127" si="92">IF(P$12=0,0,P124/P$12)</f>
        <v>4.7288100666287216E-3</v>
      </c>
      <c r="S124" s="1"/>
      <c r="T124" s="1">
        <f>SUM(OSRRefT22_11x_0)</f>
        <v>1644.7</v>
      </c>
      <c r="U124" s="1"/>
      <c r="V124" s="5">
        <f t="shared" ref="V124:V127" si="93">IF(T$12=0,0,T124/T$12)</f>
        <v>2.3169592670052048E-3</v>
      </c>
      <c r="W124" s="1"/>
      <c r="X124" s="1">
        <f t="shared" ref="X124:X127" si="94">+P124-T124</f>
        <v>5403.69</v>
      </c>
      <c r="Y124" s="1"/>
      <c r="Z124" s="5">
        <f t="shared" ref="Z124:Z127" si="95">IF(T124=0,0,X124/T124)</f>
        <v>3.2855171155833887</v>
      </c>
    </row>
    <row r="125" spans="1:26" s="24" customFormat="1" hidden="1" outlineLevel="2" x14ac:dyDescent="0.3">
      <c r="A125" s="27"/>
      <c r="B125" s="11" t="str">
        <f>CONCATENATE("          ", "6235", " - ", "COVID-19 EXPENSES")</f>
        <v xml:space="preserve">          6235 - COVID-19 EXPENSES</v>
      </c>
      <c r="C125" s="11"/>
      <c r="D125" s="6"/>
      <c r="E125" s="2"/>
      <c r="F125" s="7">
        <f t="shared" si="88"/>
        <v>0</v>
      </c>
      <c r="G125" s="2"/>
      <c r="H125" s="6">
        <v>65.05</v>
      </c>
      <c r="I125" s="2"/>
      <c r="J125" s="7">
        <f t="shared" si="89"/>
        <v>7.8131240064690979E-4</v>
      </c>
      <c r="K125" s="2"/>
      <c r="L125" s="6">
        <f t="shared" si="90"/>
        <v>-65.05</v>
      </c>
      <c r="M125" s="2"/>
      <c r="N125" s="7">
        <f t="shared" si="91"/>
        <v>-1</v>
      </c>
      <c r="O125" s="11"/>
      <c r="P125" s="6"/>
      <c r="Q125" s="2"/>
      <c r="R125" s="7">
        <f t="shared" si="92"/>
        <v>0</v>
      </c>
      <c r="S125" s="2"/>
      <c r="T125" s="6">
        <v>1026.43</v>
      </c>
      <c r="U125" s="2"/>
      <c r="V125" s="7">
        <f t="shared" si="93"/>
        <v>1.4459758621220603E-3</v>
      </c>
      <c r="W125" s="2"/>
      <c r="X125" s="6">
        <f t="shared" si="94"/>
        <v>-1026.43</v>
      </c>
      <c r="Y125" s="2"/>
      <c r="Z125" s="7">
        <f t="shared" si="95"/>
        <v>-1</v>
      </c>
    </row>
    <row r="126" spans="1:26" s="24" customFormat="1" hidden="1" outlineLevel="2" x14ac:dyDescent="0.3">
      <c r="A126" s="27"/>
      <c r="B126" s="11" t="str">
        <f>CONCATENATE("          ", "6241", " - ", "OFFICE EXPENSE")</f>
        <v xml:space="preserve">          6241 - OFFICE EXPENSE</v>
      </c>
      <c r="C126" s="11"/>
      <c r="D126" s="6">
        <v>164.36</v>
      </c>
      <c r="E126" s="2"/>
      <c r="F126" s="7">
        <f t="shared" si="88"/>
        <v>6.9672589274787447E-4</v>
      </c>
      <c r="G126" s="2"/>
      <c r="H126" s="6">
        <v>273.04000000000002</v>
      </c>
      <c r="I126" s="2"/>
      <c r="J126" s="7">
        <f t="shared" si="89"/>
        <v>3.27947022094746E-3</v>
      </c>
      <c r="K126" s="2"/>
      <c r="L126" s="6">
        <f t="shared" si="90"/>
        <v>-108.68</v>
      </c>
      <c r="M126" s="2"/>
      <c r="N126" s="7">
        <f t="shared" si="91"/>
        <v>-0.39803691766774096</v>
      </c>
      <c r="O126" s="11"/>
      <c r="P126" s="6">
        <v>831.24</v>
      </c>
      <c r="Q126" s="2"/>
      <c r="R126" s="7">
        <f t="shared" si="92"/>
        <v>5.5768424842899712E-4</v>
      </c>
      <c r="S126" s="2"/>
      <c r="T126" s="6">
        <v>431.56</v>
      </c>
      <c r="U126" s="2"/>
      <c r="V126" s="7">
        <f t="shared" si="93"/>
        <v>6.0795703852907295E-4</v>
      </c>
      <c r="W126" s="2"/>
      <c r="X126" s="6">
        <f t="shared" si="94"/>
        <v>399.68</v>
      </c>
      <c r="Y126" s="2"/>
      <c r="Z126" s="7">
        <f t="shared" si="95"/>
        <v>0.9261284641764761</v>
      </c>
    </row>
    <row r="127" spans="1:26" s="24" customFormat="1" hidden="1" outlineLevel="2" x14ac:dyDescent="0.3">
      <c r="A127" s="27"/>
      <c r="B127" s="11" t="str">
        <f>CONCATENATE("          ", "6247", " - ", "STORE SUPPLIES")</f>
        <v xml:space="preserve">          6247 - STORE SUPPLIES</v>
      </c>
      <c r="C127" s="11"/>
      <c r="D127" s="6"/>
      <c r="E127" s="2"/>
      <c r="F127" s="7">
        <f t="shared" si="88"/>
        <v>0</v>
      </c>
      <c r="G127" s="2"/>
      <c r="H127" s="6"/>
      <c r="I127" s="2"/>
      <c r="J127" s="7">
        <f t="shared" si="89"/>
        <v>0</v>
      </c>
      <c r="K127" s="2"/>
      <c r="L127" s="6">
        <f t="shared" si="90"/>
        <v>0</v>
      </c>
      <c r="M127" s="2"/>
      <c r="N127" s="7">
        <f t="shared" si="91"/>
        <v>0</v>
      </c>
      <c r="O127" s="11"/>
      <c r="P127" s="6">
        <v>6217.15</v>
      </c>
      <c r="Q127" s="2"/>
      <c r="R127" s="7">
        <f t="shared" si="92"/>
        <v>4.1711258181997245E-3</v>
      </c>
      <c r="S127" s="2"/>
      <c r="T127" s="6">
        <v>186.71</v>
      </c>
      <c r="U127" s="2"/>
      <c r="V127" s="7">
        <f t="shared" si="93"/>
        <v>2.6302636635407178E-4</v>
      </c>
      <c r="W127" s="2"/>
      <c r="X127" s="6">
        <f t="shared" si="94"/>
        <v>6030.44</v>
      </c>
      <c r="Y127" s="2"/>
      <c r="Z127" s="7">
        <f t="shared" si="95"/>
        <v>32.298430721439665</v>
      </c>
    </row>
    <row r="128" spans="1:26" s="29" customFormat="1" outlineLevel="1" collapsed="1" x14ac:dyDescent="0.3">
      <c r="A128" s="28"/>
      <c r="B128" s="14" t="str">
        <f>CONCATENATE("     ","Telephone/Data Lines                              ")</f>
        <v xml:space="preserve">     Telephone/Data Lines                              </v>
      </c>
      <c r="C128" s="14"/>
      <c r="D128" s="1">
        <f>SUM(OSRRefD22_12x_0)</f>
        <v>248.85</v>
      </c>
      <c r="E128" s="1"/>
      <c r="F128" s="5">
        <f t="shared" ref="F128:F131" si="96">IF(D$12=0,0,D128/D$12)</f>
        <v>1.0548809832703124E-3</v>
      </c>
      <c r="G128" s="1"/>
      <c r="H128" s="1">
        <f>SUM(OSRRefH22_12x_0)</f>
        <v>281.55</v>
      </c>
      <c r="I128" s="1"/>
      <c r="J128" s="5">
        <f t="shared" ref="J128:J131" si="97">IF(H$12=0,0,H128/H$12)</f>
        <v>3.3816834189413906E-3</v>
      </c>
      <c r="K128" s="1"/>
      <c r="L128" s="1">
        <f t="shared" ref="L128:L131" si="98">+D128-H128</f>
        <v>-32.700000000000017</v>
      </c>
      <c r="M128" s="1"/>
      <c r="N128" s="5">
        <f t="shared" ref="N128:N131" si="99">IF(H128=0,0,L128/H128)</f>
        <v>-0.11614278103356425</v>
      </c>
      <c r="O128" s="14"/>
      <c r="P128" s="1">
        <f>SUM(OSRRefP22_12x_0)</f>
        <v>1039.45</v>
      </c>
      <c r="Q128" s="1"/>
      <c r="R128" s="5">
        <f t="shared" ref="R128:R131" si="100">IF(P$12=0,0,P128/P$12)</f>
        <v>6.9737367310225811E-4</v>
      </c>
      <c r="S128" s="1"/>
      <c r="T128" s="1">
        <f>SUM(OSRRefT22_12x_0)</f>
        <v>2301.88</v>
      </c>
      <c r="U128" s="1"/>
      <c r="V128" s="5">
        <f t="shared" ref="V128:V131" si="101">IF(T$12=0,0,T128/T$12)</f>
        <v>3.2427568538541626E-3</v>
      </c>
      <c r="W128" s="1"/>
      <c r="X128" s="1">
        <f t="shared" ref="X128:X131" si="102">+P128-T128</f>
        <v>-1262.43</v>
      </c>
      <c r="Y128" s="1"/>
      <c r="Z128" s="5">
        <f t="shared" ref="Z128:Z131" si="103">IF(T128=0,0,X128/T128)</f>
        <v>-0.54843432324882269</v>
      </c>
    </row>
    <row r="129" spans="1:26" s="24" customFormat="1" hidden="1" outlineLevel="2" x14ac:dyDescent="0.3">
      <c r="A129" s="27"/>
      <c r="B129" s="11" t="str">
        <f>CONCATENATE("          ", "6309", " - ", "TELEPHONE")</f>
        <v xml:space="preserve">          6309 - TELEPHONE</v>
      </c>
      <c r="C129" s="11"/>
      <c r="D129" s="6">
        <v>248.85</v>
      </c>
      <c r="E129" s="2"/>
      <c r="F129" s="7">
        <f t="shared" si="96"/>
        <v>1.0548809832703124E-3</v>
      </c>
      <c r="G129" s="2"/>
      <c r="H129" s="6">
        <v>281.55</v>
      </c>
      <c r="I129" s="2"/>
      <c r="J129" s="7">
        <f t="shared" si="97"/>
        <v>3.3816834189413906E-3</v>
      </c>
      <c r="K129" s="2"/>
      <c r="L129" s="6">
        <f t="shared" si="98"/>
        <v>-32.700000000000017</v>
      </c>
      <c r="M129" s="2"/>
      <c r="N129" s="7">
        <f t="shared" si="99"/>
        <v>-0.11614278103356425</v>
      </c>
      <c r="O129" s="11"/>
      <c r="P129" s="6">
        <v>1039.45</v>
      </c>
      <c r="Q129" s="2"/>
      <c r="R129" s="7">
        <f t="shared" si="100"/>
        <v>6.9737367310225811E-4</v>
      </c>
      <c r="S129" s="2"/>
      <c r="T129" s="6">
        <v>2301.88</v>
      </c>
      <c r="U129" s="2"/>
      <c r="V129" s="7">
        <f t="shared" si="101"/>
        <v>3.2427568538541626E-3</v>
      </c>
      <c r="W129" s="2"/>
      <c r="X129" s="6">
        <f t="shared" si="102"/>
        <v>-1262.43</v>
      </c>
      <c r="Y129" s="2"/>
      <c r="Z129" s="7">
        <f t="shared" si="103"/>
        <v>-0.54843432324882269</v>
      </c>
    </row>
    <row r="130" spans="1:26" s="29" customFormat="1" outlineLevel="1" collapsed="1" x14ac:dyDescent="0.3">
      <c r="A130" s="28"/>
      <c r="B130" s="14" t="str">
        <f>CONCATENATE("     ","Travel                                            ")</f>
        <v xml:space="preserve">     Travel                                            </v>
      </c>
      <c r="C130" s="14"/>
      <c r="D130" s="1">
        <f>SUM(OSRRefD22_13x_0)</f>
        <v>0</v>
      </c>
      <c r="E130" s="1"/>
      <c r="F130" s="5">
        <f t="shared" si="96"/>
        <v>0</v>
      </c>
      <c r="G130" s="1"/>
      <c r="H130" s="1">
        <f>SUM(OSRRefH22_13x_0)</f>
        <v>0</v>
      </c>
      <c r="I130" s="1"/>
      <c r="J130" s="5">
        <f t="shared" si="97"/>
        <v>0</v>
      </c>
      <c r="K130" s="1"/>
      <c r="L130" s="1">
        <f t="shared" si="98"/>
        <v>0</v>
      </c>
      <c r="M130" s="1"/>
      <c r="N130" s="5">
        <f t="shared" si="99"/>
        <v>0</v>
      </c>
      <c r="O130" s="14"/>
      <c r="P130" s="1">
        <f>SUM(OSRRefP22_13x_0)</f>
        <v>40.32</v>
      </c>
      <c r="Q130" s="1"/>
      <c r="R130" s="5">
        <f t="shared" si="100"/>
        <v>2.7050946653983403E-5</v>
      </c>
      <c r="S130" s="1"/>
      <c r="T130" s="1">
        <f>SUM(OSRRefT22_13x_0)</f>
        <v>0</v>
      </c>
      <c r="U130" s="1"/>
      <c r="V130" s="5">
        <f t="shared" si="101"/>
        <v>0</v>
      </c>
      <c r="W130" s="1"/>
      <c r="X130" s="1">
        <f t="shared" si="102"/>
        <v>40.32</v>
      </c>
      <c r="Y130" s="1"/>
      <c r="Z130" s="5">
        <f t="shared" si="103"/>
        <v>0</v>
      </c>
    </row>
    <row r="131" spans="1:26" s="24" customFormat="1" hidden="1" outlineLevel="2" x14ac:dyDescent="0.3">
      <c r="A131" s="27"/>
      <c r="B131" s="11" t="str">
        <f>CONCATENATE("          ", "6294", " - ", "TRAVEL OPERATIONAL")</f>
        <v xml:space="preserve">          6294 - TRAVEL OPERATIONAL</v>
      </c>
      <c r="C131" s="11"/>
      <c r="D131" s="6"/>
      <c r="E131" s="2"/>
      <c r="F131" s="7">
        <f t="shared" si="96"/>
        <v>0</v>
      </c>
      <c r="G131" s="2"/>
      <c r="H131" s="6"/>
      <c r="I131" s="2"/>
      <c r="J131" s="7">
        <f t="shared" si="97"/>
        <v>0</v>
      </c>
      <c r="K131" s="2"/>
      <c r="L131" s="6">
        <f t="shared" si="98"/>
        <v>0</v>
      </c>
      <c r="M131" s="2"/>
      <c r="N131" s="7">
        <f t="shared" si="99"/>
        <v>0</v>
      </c>
      <c r="O131" s="11"/>
      <c r="P131" s="6">
        <v>40.32</v>
      </c>
      <c r="Q131" s="2"/>
      <c r="R131" s="7">
        <f t="shared" si="100"/>
        <v>2.7050946653983403E-5</v>
      </c>
      <c r="S131" s="2"/>
      <c r="T131" s="6"/>
      <c r="U131" s="2"/>
      <c r="V131" s="7">
        <f t="shared" si="101"/>
        <v>0</v>
      </c>
      <c r="W131" s="2"/>
      <c r="X131" s="6">
        <f t="shared" si="102"/>
        <v>40.32</v>
      </c>
      <c r="Y131" s="2"/>
      <c r="Z131" s="7">
        <f t="shared" si="103"/>
        <v>0</v>
      </c>
    </row>
    <row r="132" spans="1:26" s="62" customFormat="1" x14ac:dyDescent="0.3">
      <c r="A132" s="37"/>
      <c r="B132" s="37"/>
      <c r="C132" s="37"/>
      <c r="D132" s="1"/>
      <c r="E132" s="1"/>
      <c r="F132" s="5"/>
      <c r="G132" s="1"/>
      <c r="H132" s="1"/>
      <c r="I132" s="1"/>
      <c r="J132" s="5"/>
      <c r="K132" s="1"/>
      <c r="L132" s="1"/>
      <c r="M132" s="1"/>
      <c r="N132" s="5"/>
      <c r="O132" s="37"/>
      <c r="P132" s="1"/>
      <c r="Q132" s="1"/>
      <c r="R132" s="5"/>
      <c r="S132" s="1"/>
      <c r="T132" s="1"/>
      <c r="U132" s="1"/>
      <c r="V132" s="5"/>
      <c r="W132" s="1"/>
      <c r="X132" s="1"/>
      <c r="Y132" s="1"/>
      <c r="Z132" s="5"/>
    </row>
    <row r="133" spans="1:26" s="23" customFormat="1" collapsed="1" x14ac:dyDescent="0.3">
      <c r="A133" s="10"/>
      <c r="B133" s="26" t="s">
        <v>292</v>
      </c>
      <c r="C133" s="10"/>
      <c r="D133" s="4">
        <f>SUM(OSRRefD25x_0)</f>
        <v>0</v>
      </c>
      <c r="E133" s="4"/>
      <c r="F133" s="12">
        <f t="shared" ref="F133:F135" si="104">IF(D$12=0,0,D133/D$12)</f>
        <v>0</v>
      </c>
      <c r="G133" s="4"/>
      <c r="H133" s="4">
        <f>SUM(OSRRefH25x_0)</f>
        <v>14886.94</v>
      </c>
      <c r="I133" s="4"/>
      <c r="J133" s="12">
        <f t="shared" ref="J133:J135" si="105">IF(H$12=0,0,H133/H$12)</f>
        <v>0.17880631559856278</v>
      </c>
      <c r="K133" s="4"/>
      <c r="L133" s="4">
        <f t="shared" ref="L133:L135" si="106">+D133-H133</f>
        <v>-14886.94</v>
      </c>
      <c r="M133" s="4"/>
      <c r="N133" s="12">
        <f t="shared" ref="N133:N135" si="107">IF(H133=0,0,L133/H133)</f>
        <v>-1</v>
      </c>
      <c r="O133" s="10"/>
      <c r="P133" s="4">
        <f>SUM(OSRRefP25x_0)</f>
        <v>119063.12</v>
      </c>
      <c r="Q133" s="4"/>
      <c r="R133" s="12">
        <f t="shared" ref="R133:R135" si="108">IF(P$12=0,0,P133/P$12)</f>
        <v>7.9880211001409338E-2</v>
      </c>
      <c r="S133" s="4"/>
      <c r="T133" s="4">
        <f>SUM(OSRRefT25x_0)</f>
        <v>207874.45</v>
      </c>
      <c r="U133" s="4"/>
      <c r="V133" s="12">
        <f t="shared" ref="V133:V135" si="109">IF(T$12=0,0,T133/T$12)</f>
        <v>0.29284163269964741</v>
      </c>
      <c r="W133" s="4"/>
      <c r="X133" s="4">
        <f t="shared" ref="X133:X135" si="110">+P133-T133</f>
        <v>-88811.330000000016</v>
      </c>
      <c r="Y133" s="4"/>
      <c r="Z133" s="12">
        <f t="shared" ref="Z133:Z135" si="111">IF(T133=0,0,X133/T133)</f>
        <v>-0.4272354298471987</v>
      </c>
    </row>
    <row r="134" spans="1:26" s="24" customFormat="1" hidden="1" outlineLevel="1" x14ac:dyDescent="0.3">
      <c r="A134" s="44"/>
      <c r="B134" s="11" t="str">
        <f>CONCATENATE("          ", "9150", " - ", "MISC. INCOME")</f>
        <v xml:space="preserve">          9150 - MISC. INCOME</v>
      </c>
      <c r="C134" s="11"/>
      <c r="D134" s="2">
        <f t="shared" ref="D134:D135" si="112">0</f>
        <v>0</v>
      </c>
      <c r="E134" s="2"/>
      <c r="F134" s="19">
        <f t="shared" si="104"/>
        <v>0</v>
      </c>
      <c r="G134" s="2"/>
      <c r="H134" s="2">
        <f>--145</f>
        <v>145</v>
      </c>
      <c r="I134" s="2"/>
      <c r="J134" s="19">
        <f t="shared" si="105"/>
        <v>1.741587979920091E-3</v>
      </c>
      <c r="K134" s="2"/>
      <c r="L134" s="2">
        <f t="shared" si="106"/>
        <v>-145</v>
      </c>
      <c r="M134" s="2"/>
      <c r="N134" s="19">
        <f t="shared" si="107"/>
        <v>-1</v>
      </c>
      <c r="O134" s="11"/>
      <c r="P134" s="2">
        <f>--46314.92</f>
        <v>46314.92</v>
      </c>
      <c r="Q134" s="2"/>
      <c r="R134" s="19">
        <f t="shared" si="108"/>
        <v>3.1072976939571156E-2</v>
      </c>
      <c r="S134" s="2"/>
      <c r="T134" s="2">
        <f>--32468.61</f>
        <v>32468.61</v>
      </c>
      <c r="U134" s="2"/>
      <c r="V134" s="19">
        <f t="shared" si="109"/>
        <v>4.5739920244590421E-2</v>
      </c>
      <c r="W134" s="2"/>
      <c r="X134" s="2">
        <f t="shared" si="110"/>
        <v>13846.309999999998</v>
      </c>
      <c r="Y134" s="2"/>
      <c r="Z134" s="19">
        <f t="shared" si="111"/>
        <v>0.42645219490455544</v>
      </c>
    </row>
    <row r="135" spans="1:26" s="24" customFormat="1" hidden="1" outlineLevel="1" x14ac:dyDescent="0.3">
      <c r="A135" s="44"/>
      <c r="B135" s="11" t="str">
        <f>CONCATENATE("          ", "9163", " - ", "MISC. INCOME")</f>
        <v xml:space="preserve">          9163 - MISC. INCOME</v>
      </c>
      <c r="C135" s="11"/>
      <c r="D135" s="2">
        <f t="shared" si="112"/>
        <v>0</v>
      </c>
      <c r="E135" s="2"/>
      <c r="F135" s="19">
        <f t="shared" si="104"/>
        <v>0</v>
      </c>
      <c r="G135" s="2"/>
      <c r="H135" s="2">
        <f>--14741.94</f>
        <v>14741.94</v>
      </c>
      <c r="I135" s="2"/>
      <c r="J135" s="19">
        <f t="shared" si="105"/>
        <v>0.17706472761864267</v>
      </c>
      <c r="K135" s="2"/>
      <c r="L135" s="2">
        <f t="shared" si="106"/>
        <v>-14741.94</v>
      </c>
      <c r="M135" s="2"/>
      <c r="N135" s="19">
        <f t="shared" si="107"/>
        <v>-1</v>
      </c>
      <c r="O135" s="11"/>
      <c r="P135" s="2">
        <f>--72748.2</f>
        <v>72748.2</v>
      </c>
      <c r="Q135" s="2"/>
      <c r="R135" s="19">
        <f t="shared" si="108"/>
        <v>4.8807234061838178E-2</v>
      </c>
      <c r="S135" s="2"/>
      <c r="T135" s="2">
        <f>--175405.84</f>
        <v>175405.84</v>
      </c>
      <c r="U135" s="2"/>
      <c r="V135" s="19">
        <f t="shared" si="109"/>
        <v>0.24710171245505699</v>
      </c>
      <c r="W135" s="2"/>
      <c r="X135" s="2">
        <f t="shared" si="110"/>
        <v>-102657.64</v>
      </c>
      <c r="Y135" s="2"/>
      <c r="Z135" s="19">
        <f t="shared" si="111"/>
        <v>-0.58525782265858428</v>
      </c>
    </row>
    <row r="136" spans="1:26" x14ac:dyDescent="0.3">
      <c r="A136" s="9"/>
      <c r="B136" s="10"/>
      <c r="C136" s="10"/>
      <c r="D136" s="3"/>
      <c r="E136" s="3"/>
      <c r="F136" s="8"/>
      <c r="G136" s="3"/>
      <c r="H136" s="3"/>
      <c r="I136" s="3"/>
      <c r="J136" s="8"/>
      <c r="K136" s="3"/>
      <c r="L136" s="3"/>
      <c r="M136" s="3"/>
      <c r="N136" s="8"/>
      <c r="O136" s="10"/>
      <c r="P136" s="3"/>
      <c r="Q136" s="3"/>
      <c r="R136" s="8"/>
      <c r="S136" s="3"/>
      <c r="T136" s="3"/>
      <c r="U136" s="3"/>
      <c r="V136" s="8"/>
      <c r="W136" s="3"/>
      <c r="X136" s="3"/>
      <c r="Y136" s="3"/>
      <c r="Z136" s="8"/>
    </row>
    <row r="137" spans="1:26" s="23" customFormat="1" x14ac:dyDescent="0.3">
      <c r="A137" s="10"/>
      <c r="B137" s="25" t="s">
        <v>276</v>
      </c>
      <c r="C137" s="25"/>
      <c r="D137" s="21">
        <f>+D82-D84+D133</f>
        <v>62526.680000000008</v>
      </c>
      <c r="E137" s="13"/>
      <c r="F137" s="22">
        <f>IF(D$12=0,0,D137/D$12)</f>
        <v>0.26505206220224309</v>
      </c>
      <c r="G137" s="13"/>
      <c r="H137" s="21">
        <f>+H82-H84+H133</f>
        <v>15855.819999999998</v>
      </c>
      <c r="I137" s="13"/>
      <c r="J137" s="22">
        <f>IF(H$12=0,0,H137/H$12)</f>
        <v>0.19044348637087291</v>
      </c>
      <c r="K137" s="16"/>
      <c r="L137" s="21">
        <f>+D137-H137</f>
        <v>46670.860000000008</v>
      </c>
      <c r="M137" s="16"/>
      <c r="N137" s="22">
        <f>IF(H137=0,0,L137/H137)</f>
        <v>2.9434529403083545</v>
      </c>
      <c r="O137" s="26"/>
      <c r="P137" s="21">
        <f>+P82-P84+P133</f>
        <v>492166.67000000004</v>
      </c>
      <c r="Q137" s="13"/>
      <c r="R137" s="22">
        <f>IF(P$12=0,0,P137/P$12)</f>
        <v>0.33019777616663332</v>
      </c>
      <c r="S137" s="13"/>
      <c r="T137" s="21">
        <f>+T82-T84+T133</f>
        <v>251297.87000000026</v>
      </c>
      <c r="U137" s="13"/>
      <c r="V137" s="22">
        <f>IF(T$12=0,0,T137/T$12)</f>
        <v>0.3540140625495044</v>
      </c>
      <c r="W137" s="16"/>
      <c r="X137" s="21">
        <f>+P137-T137</f>
        <v>240868.79999999978</v>
      </c>
      <c r="Y137" s="16"/>
      <c r="Z137" s="22">
        <f>IF(T137=0,0,X137/T137)</f>
        <v>0.95849917072516189</v>
      </c>
    </row>
    <row r="138" spans="1:26" x14ac:dyDescent="0.3">
      <c r="A138" s="9"/>
      <c r="B138" s="10"/>
      <c r="C138" s="9"/>
      <c r="D138" s="3"/>
      <c r="E138" s="3"/>
      <c r="F138" s="8"/>
      <c r="G138" s="3"/>
      <c r="H138" s="3"/>
      <c r="I138" s="3"/>
      <c r="J138" s="8"/>
      <c r="K138" s="3"/>
      <c r="L138" s="3"/>
      <c r="M138" s="3"/>
      <c r="N138" s="8"/>
      <c r="P138" s="3"/>
      <c r="Q138" s="3"/>
      <c r="R138" s="8"/>
      <c r="S138" s="3"/>
      <c r="T138" s="3"/>
      <c r="U138" s="3"/>
      <c r="V138" s="8"/>
      <c r="W138" s="3"/>
      <c r="X138" s="3"/>
      <c r="Y138" s="3"/>
      <c r="Z138" s="8"/>
    </row>
    <row r="139" spans="1:26" s="23" customFormat="1" x14ac:dyDescent="0.3">
      <c r="A139" s="51"/>
      <c r="B139" s="10" t="s">
        <v>127</v>
      </c>
      <c r="C139" s="10"/>
      <c r="D139" s="4">
        <v>32515.119999999999</v>
      </c>
      <c r="E139" s="4"/>
      <c r="F139" s="12">
        <f>IF(D$12=0,0,D139/D$12)</f>
        <v>0.13783235586398312</v>
      </c>
      <c r="G139" s="4"/>
      <c r="H139" s="4">
        <v>-22938.45</v>
      </c>
      <c r="I139" s="4"/>
      <c r="J139" s="12">
        <f>IF(H$12=0,0,H139/H$12)</f>
        <v>-0.27551261239998631</v>
      </c>
      <c r="K139" s="4"/>
      <c r="L139" s="4">
        <f>+D139-H139</f>
        <v>55453.57</v>
      </c>
      <c r="M139" s="4"/>
      <c r="N139" s="12">
        <f>IF(H139=0,0,L139/H139)</f>
        <v>-2.417494207324383</v>
      </c>
      <c r="O139" s="10"/>
      <c r="P139" s="4">
        <v>177538.53</v>
      </c>
      <c r="Q139" s="4"/>
      <c r="R139" s="12">
        <f>IF(P$12=0,0,P139/P$12)</f>
        <v>0.11911173869188076</v>
      </c>
      <c r="S139" s="4"/>
      <c r="T139" s="4">
        <v>112795.62</v>
      </c>
      <c r="U139" s="4"/>
      <c r="V139" s="12">
        <f>IF(T$12=0,0,T139/T$12)</f>
        <v>0.15890001643861959</v>
      </c>
      <c r="W139" s="4"/>
      <c r="X139" s="4">
        <f>+P139-T139</f>
        <v>64742.91</v>
      </c>
      <c r="Y139" s="4"/>
      <c r="Z139" s="12">
        <f>IF(T139=0,0,X139/T139)</f>
        <v>0.5739842557716337</v>
      </c>
    </row>
    <row r="140" spans="1:26" x14ac:dyDescent="0.3">
      <c r="A140" s="9"/>
      <c r="B140" s="10"/>
      <c r="C140" s="10"/>
      <c r="D140" s="3"/>
      <c r="E140" s="3"/>
      <c r="F140" s="8"/>
      <c r="G140" s="3"/>
      <c r="H140" s="3"/>
      <c r="I140" s="3"/>
      <c r="J140" s="8"/>
      <c r="K140" s="3"/>
      <c r="L140" s="3"/>
      <c r="M140" s="3"/>
      <c r="N140" s="8"/>
      <c r="O140" s="10"/>
      <c r="P140" s="3"/>
      <c r="Q140" s="3"/>
      <c r="R140" s="8"/>
      <c r="S140" s="3"/>
      <c r="T140" s="3"/>
      <c r="U140" s="3"/>
      <c r="V140" s="8"/>
      <c r="W140" s="3"/>
      <c r="X140" s="3"/>
      <c r="Y140" s="3"/>
      <c r="Z140" s="8"/>
    </row>
    <row r="141" spans="1:26" s="23" customFormat="1" ht="15" thickBot="1" x14ac:dyDescent="0.35">
      <c r="A141" s="10"/>
      <c r="B141" s="25" t="s">
        <v>125</v>
      </c>
      <c r="C141" s="25"/>
      <c r="D141" s="35">
        <f>+D137-D139</f>
        <v>30011.560000000009</v>
      </c>
      <c r="E141" s="13"/>
      <c r="F141" s="31">
        <f>IF(D$12=0,0,D141/D$12)</f>
        <v>0.12721970633825994</v>
      </c>
      <c r="G141" s="13"/>
      <c r="H141" s="35">
        <f>+H137-H139</f>
        <v>38794.269999999997</v>
      </c>
      <c r="I141" s="13"/>
      <c r="J141" s="31">
        <f>IF(H$12=0,0,H141/H$12)</f>
        <v>0.4659560987708592</v>
      </c>
      <c r="K141" s="16"/>
      <c r="L141" s="35">
        <f>D141-H141</f>
        <v>-8782.7099999999882</v>
      </c>
      <c r="M141" s="16"/>
      <c r="N141" s="31">
        <f>IF(H141=0,0,L141/H141)</f>
        <v>-0.22639193880951977</v>
      </c>
      <c r="O141" s="26"/>
      <c r="P141" s="35">
        <f>+P137-P139</f>
        <v>314628.14</v>
      </c>
      <c r="Q141" s="13"/>
      <c r="R141" s="31">
        <f>IF(P$12=0,0,P141/P$12)</f>
        <v>0.21108603747475252</v>
      </c>
      <c r="S141" s="13"/>
      <c r="T141" s="35">
        <f>+T137-T139</f>
        <v>138502.25000000026</v>
      </c>
      <c r="U141" s="13"/>
      <c r="V141" s="31">
        <f>IF(T$12=0,0,T141/T$12)</f>
        <v>0.19511404611088481</v>
      </c>
      <c r="W141" s="16"/>
      <c r="X141" s="35">
        <f>P141-T141</f>
        <v>176125.88999999975</v>
      </c>
      <c r="Y141" s="16"/>
      <c r="Z141" s="31">
        <f>IF(T141=0,0,X141/T141)</f>
        <v>1.2716464172964657</v>
      </c>
    </row>
    <row r="142" spans="1:26" ht="15" thickTop="1" x14ac:dyDescent="0.3">
      <c r="A142" s="9"/>
      <c r="B142" s="9"/>
      <c r="C142" s="9"/>
      <c r="D142" s="3"/>
      <c r="E142" s="3"/>
      <c r="F142" s="8"/>
      <c r="G142" s="3"/>
      <c r="H142" s="3"/>
      <c r="I142" s="3"/>
      <c r="J142" s="8"/>
      <c r="K142" s="3"/>
      <c r="L142" s="3"/>
      <c r="M142" s="3"/>
      <c r="N142" s="8"/>
      <c r="P142" s="3"/>
      <c r="Q142" s="3"/>
      <c r="R142" s="8"/>
      <c r="S142" s="3"/>
      <c r="T142" s="3"/>
      <c r="U142" s="3"/>
      <c r="V142" s="8"/>
      <c r="W142" s="3"/>
      <c r="X142" s="3"/>
      <c r="Y142" s="3"/>
      <c r="Z142" s="8"/>
    </row>
    <row r="143" spans="1:26" x14ac:dyDescent="0.3">
      <c r="A143" s="9"/>
      <c r="B143" s="9"/>
      <c r="C143" s="9"/>
      <c r="D143" s="3"/>
      <c r="E143" s="3"/>
      <c r="F143" s="8"/>
      <c r="G143" s="3"/>
      <c r="H143" s="3"/>
      <c r="I143" s="3"/>
      <c r="J143" s="8"/>
      <c r="K143" s="3"/>
      <c r="L143" s="3"/>
      <c r="M143" s="3"/>
      <c r="N143" s="8"/>
      <c r="P143" s="3"/>
      <c r="Q143" s="3"/>
      <c r="R143" s="8"/>
      <c r="S143" s="3"/>
      <c r="T143" s="3"/>
      <c r="U143" s="3"/>
      <c r="V143" s="8"/>
      <c r="W143" s="3"/>
      <c r="X143" s="3"/>
      <c r="Y143" s="3"/>
      <c r="Z143" s="8"/>
    </row>
    <row r="144" spans="1:26" s="23" customFormat="1" ht="15" thickBot="1" x14ac:dyDescent="0.35">
      <c r="A144" s="10"/>
      <c r="B144" s="25" t="s">
        <v>293</v>
      </c>
      <c r="C144" s="25"/>
      <c r="D144" s="36">
        <f>SUM(D141:D143)</f>
        <v>30011.560000000009</v>
      </c>
      <c r="E144" s="13"/>
      <c r="F144" s="33">
        <f>IF(D$12=0,0,D144/D$12)</f>
        <v>0.12721970633825994</v>
      </c>
      <c r="G144" s="13"/>
      <c r="H144" s="36">
        <f>SUM(H141:H143)</f>
        <v>38794.269999999997</v>
      </c>
      <c r="I144" s="13"/>
      <c r="J144" s="33">
        <f>IF(H$12=0,0,H144/H$12)</f>
        <v>0.4659560987708592</v>
      </c>
      <c r="K144" s="16"/>
      <c r="L144" s="36">
        <f>+D144-H144</f>
        <v>-8782.7099999999882</v>
      </c>
      <c r="M144" s="16"/>
      <c r="N144" s="33">
        <f>IF(H144=0,0,L144/H144)</f>
        <v>-0.22639193880951977</v>
      </c>
      <c r="O144" s="26"/>
      <c r="P144" s="36">
        <f>SUM(P141:P143)</f>
        <v>314628.14</v>
      </c>
      <c r="Q144" s="13"/>
      <c r="R144" s="33">
        <f>IF(P$12=0,0,P144/P$12)</f>
        <v>0.21108603747475252</v>
      </c>
      <c r="S144" s="13"/>
      <c r="T144" s="36">
        <f>SUM(T141:T143)</f>
        <v>138502.25000000026</v>
      </c>
      <c r="U144" s="13"/>
      <c r="V144" s="33">
        <f>IF(T$12=0,0,T144/T$12)</f>
        <v>0.19511404611088481</v>
      </c>
      <c r="W144" s="16"/>
      <c r="X144" s="36">
        <f>+P144-T144</f>
        <v>176125.88999999975</v>
      </c>
      <c r="Y144" s="16"/>
      <c r="Z144" s="33">
        <f>IF(T144=0,0,X144/T144)</f>
        <v>1.2716464172964657</v>
      </c>
    </row>
    <row r="145" spans="1:24" ht="15" thickTop="1" x14ac:dyDescent="0.3">
      <c r="A145" s="9"/>
      <c r="C145" s="9"/>
      <c r="D145" s="17"/>
      <c r="E145" s="17"/>
      <c r="G145" s="17"/>
      <c r="H145" s="17"/>
      <c r="I145" s="17"/>
      <c r="J145" s="42"/>
      <c r="K145" s="17"/>
      <c r="L145" s="17"/>
      <c r="M145" s="17"/>
      <c r="P145" s="17"/>
      <c r="Q145" s="17"/>
      <c r="R145" s="42"/>
      <c r="S145" s="17"/>
      <c r="T145" s="17"/>
      <c r="U145" s="17"/>
      <c r="V145" s="42"/>
      <c r="W145" s="17"/>
      <c r="X145" s="17"/>
    </row>
    <row r="146" spans="1:24" x14ac:dyDescent="0.3">
      <c r="A146" s="9"/>
      <c r="B146" s="52">
        <v>44543.765594675926</v>
      </c>
      <c r="D146" s="17"/>
      <c r="E146" s="17"/>
      <c r="G146" s="17"/>
      <c r="H146" s="17"/>
      <c r="I146" s="17"/>
      <c r="J146" s="42"/>
      <c r="K146" s="17"/>
      <c r="L146" s="17"/>
      <c r="M146" s="17"/>
      <c r="P146" s="17"/>
      <c r="Q146" s="17"/>
      <c r="R146" s="42"/>
      <c r="S146" s="17"/>
      <c r="T146" s="17"/>
      <c r="U146" s="17"/>
      <c r="V146" s="42"/>
      <c r="W146" s="17"/>
      <c r="X146" s="17"/>
    </row>
    <row r="147" spans="1:24" x14ac:dyDescent="0.3">
      <c r="A147" s="9"/>
      <c r="B147" s="59" t="s">
        <v>56</v>
      </c>
      <c r="D147" s="17"/>
      <c r="E147" s="17"/>
      <c r="G147" s="17"/>
      <c r="H147" s="17"/>
      <c r="I147" s="17"/>
      <c r="J147" s="42"/>
      <c r="K147" s="17"/>
      <c r="L147" s="17"/>
      <c r="M147" s="17"/>
      <c r="P147" s="17"/>
      <c r="Q147" s="17"/>
      <c r="R147" s="42"/>
      <c r="S147" s="17"/>
      <c r="T147" s="17"/>
      <c r="U147" s="17"/>
      <c r="V147" s="42"/>
      <c r="W147" s="17"/>
      <c r="X147" s="17"/>
    </row>
    <row r="148" spans="1:24" x14ac:dyDescent="0.3">
      <c r="A148" s="9"/>
      <c r="B148" s="61"/>
      <c r="D148" s="17"/>
      <c r="E148" s="17"/>
      <c r="G148" s="17"/>
      <c r="H148" s="17"/>
      <c r="I148" s="17"/>
      <c r="J148" s="42"/>
      <c r="K148" s="17"/>
      <c r="L148" s="17"/>
      <c r="M148" s="17"/>
      <c r="P148" s="17"/>
      <c r="Q148" s="17"/>
      <c r="R148" s="42"/>
      <c r="S148" s="17"/>
      <c r="T148" s="17"/>
      <c r="U148" s="17"/>
      <c r="V148" s="42"/>
      <c r="W148" s="17"/>
      <c r="X148" s="17"/>
    </row>
    <row r="149" spans="1:24" x14ac:dyDescent="0.3">
      <c r="D149" s="17"/>
      <c r="E149" s="17"/>
      <c r="G149" s="17"/>
      <c r="H149" s="17"/>
      <c r="I149" s="17"/>
      <c r="J149" s="42"/>
      <c r="K149" s="17"/>
      <c r="L149" s="17"/>
      <c r="M149" s="17"/>
      <c r="P149" s="17"/>
      <c r="Q149" s="17"/>
      <c r="R149" s="42"/>
      <c r="S149" s="17"/>
      <c r="T149" s="17"/>
      <c r="U149" s="17"/>
      <c r="V149" s="42"/>
      <c r="W149" s="17"/>
      <c r="X149" s="17"/>
    </row>
  </sheetData>
  <pageMargins left="0.25" right="0.25" top="0.75" bottom="0.75" header="0.3" footer="0.3"/>
  <pageSetup scale="55" fitToWidth="2" orientation="landscape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92D050"/>
    <outlinePr summaryBelow="0" summaryRight="0"/>
  </sheetPr>
  <dimension ref="A2:Z11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","326", " - ", "2nd Street Store")</f>
        <v>Department 326 - 2nd Street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29384.78</v>
      </c>
      <c r="E12" s="4"/>
      <c r="F12" s="12"/>
      <c r="G12" s="4"/>
      <c r="H12" s="4">
        <f>SUM(OSRRefH13x_0)</f>
        <v>17593.260000000002</v>
      </c>
      <c r="I12" s="4"/>
      <c r="J12" s="12"/>
      <c r="K12" s="4"/>
      <c r="L12" s="4">
        <f t="shared" ref="L12:L34" si="0">+D12-H12</f>
        <v>11791.519999999997</v>
      </c>
      <c r="M12" s="4"/>
      <c r="N12" s="12">
        <f t="shared" ref="N12:N34" si="1">IF(H12=0,0,L12/H12)</f>
        <v>0.67022939466591158</v>
      </c>
      <c r="O12" s="10"/>
      <c r="P12" s="4">
        <f>SUM(OSRRefP13x_0)</f>
        <v>147213.48000000001</v>
      </c>
      <c r="Q12" s="4"/>
      <c r="R12" s="12"/>
      <c r="S12" s="4"/>
      <c r="T12" s="4">
        <f>SUM(OSRRefT13x_0)</f>
        <v>106015.12000000001</v>
      </c>
      <c r="U12" s="4"/>
      <c r="V12" s="12"/>
      <c r="W12" s="4"/>
      <c r="X12" s="4">
        <f t="shared" ref="X12:X34" si="2">+P12-T12</f>
        <v>41198.36</v>
      </c>
      <c r="Y12" s="4"/>
      <c r="Z12" s="12">
        <f t="shared" ref="Z12:Z34" si="3">IF(T12=0,0,X12/T12)</f>
        <v>0.38860834190443777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--30610.98</f>
        <v>30610.98</v>
      </c>
      <c r="E13" s="2"/>
      <c r="F13" s="19"/>
      <c r="G13" s="2"/>
      <c r="H13" s="2">
        <f>-341.41</f>
        <v>-341.41</v>
      </c>
      <c r="I13" s="2"/>
      <c r="J13" s="19"/>
      <c r="K13" s="2"/>
      <c r="L13" s="2">
        <f t="shared" si="0"/>
        <v>30952.39</v>
      </c>
      <c r="M13" s="2"/>
      <c r="N13" s="19">
        <f t="shared" si="1"/>
        <v>-90.660466887320226</v>
      </c>
      <c r="O13" s="11"/>
      <c r="P13" s="2">
        <f>--152240.88</f>
        <v>152240.88</v>
      </c>
      <c r="Q13" s="2"/>
      <c r="R13" s="19"/>
      <c r="S13" s="2"/>
      <c r="T13" s="2">
        <f>-2844.36</f>
        <v>-2844.36</v>
      </c>
      <c r="U13" s="2"/>
      <c r="V13" s="19"/>
      <c r="W13" s="2"/>
      <c r="X13" s="2">
        <f t="shared" si="2"/>
        <v>155085.24</v>
      </c>
      <c r="Y13" s="2"/>
      <c r="Z13" s="19">
        <f t="shared" si="3"/>
        <v>-54.523773362021679</v>
      </c>
    </row>
    <row r="14" spans="1:26" s="24" customFormat="1" hidden="1" outlineLevel="1" x14ac:dyDescent="0.3">
      <c r="A14" s="44"/>
      <c r="B14" s="11" t="str">
        <f>CONCATENATE("          ", "4026", " - ", "TAXABLE SALES-WRITING INSTRUME")</f>
        <v xml:space="preserve">          4026 - TAXABLE SALES-WRITING INSTRUME</v>
      </c>
      <c r="C14" s="11"/>
      <c r="D14" s="2">
        <f t="shared" ref="D14:D21" si="4">0</f>
        <v>0</v>
      </c>
      <c r="E14" s="2"/>
      <c r="F14" s="19"/>
      <c r="G14" s="2"/>
      <c r="H14" s="2">
        <f>--18.37</f>
        <v>18.37</v>
      </c>
      <c r="I14" s="2"/>
      <c r="J14" s="19"/>
      <c r="K14" s="2"/>
      <c r="L14" s="2">
        <f t="shared" si="0"/>
        <v>-18.37</v>
      </c>
      <c r="M14" s="2"/>
      <c r="N14" s="19">
        <f t="shared" si="1"/>
        <v>-1</v>
      </c>
      <c r="O14" s="11"/>
      <c r="P14" s="2">
        <f t="shared" ref="P14:P21" si="5">0</f>
        <v>0</v>
      </c>
      <c r="Q14" s="2"/>
      <c r="R14" s="19"/>
      <c r="S14" s="2"/>
      <c r="T14" s="2">
        <f>--57.7</f>
        <v>57.7</v>
      </c>
      <c r="U14" s="2"/>
      <c r="V14" s="19"/>
      <c r="W14" s="2"/>
      <c r="X14" s="2">
        <f t="shared" si="2"/>
        <v>-57.7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"4027", " - ", "TAXABLE SALES-SCHOOL SUPPLIES")</f>
        <v xml:space="preserve">          4027 - TAXABLE SALES-SCHOOL SUPPLIES</v>
      </c>
      <c r="C15" s="11"/>
      <c r="D15" s="2">
        <f t="shared" si="4"/>
        <v>0</v>
      </c>
      <c r="E15" s="2"/>
      <c r="F15" s="19"/>
      <c r="G15" s="2"/>
      <c r="H15" s="2">
        <f>--32.78</f>
        <v>32.78</v>
      </c>
      <c r="I15" s="2"/>
      <c r="J15" s="19"/>
      <c r="K15" s="2"/>
      <c r="L15" s="2">
        <f t="shared" si="0"/>
        <v>-32.78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--50.24</f>
        <v>50.24</v>
      </c>
      <c r="U15" s="2"/>
      <c r="V15" s="19"/>
      <c r="W15" s="2"/>
      <c r="X15" s="2">
        <f t="shared" si="2"/>
        <v>-50.24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"4040", " - ", "TAXABLE SALES-LOGO CLOTHING")</f>
        <v xml:space="preserve">          4040 - TAXABLE SALES-LOGO CLOTHING</v>
      </c>
      <c r="C16" s="11"/>
      <c r="D16" s="2">
        <f t="shared" si="4"/>
        <v>0</v>
      </c>
      <c r="E16" s="2"/>
      <c r="F16" s="19"/>
      <c r="G16" s="2"/>
      <c r="H16" s="2">
        <f>--13840.8</f>
        <v>13840.8</v>
      </c>
      <c r="I16" s="2"/>
      <c r="J16" s="19"/>
      <c r="K16" s="2"/>
      <c r="L16" s="2">
        <f t="shared" si="0"/>
        <v>-13840.8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--88540.99</f>
        <v>88540.99</v>
      </c>
      <c r="U16" s="2"/>
      <c r="V16" s="19"/>
      <c r="W16" s="2"/>
      <c r="X16" s="2">
        <f t="shared" si="2"/>
        <v>-88540.99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"4041", " - ", "TAXABLE SALES-LOGO GIFTS")</f>
        <v xml:space="preserve">          4041 - TAXABLE SALES-LOGO GIFTS</v>
      </c>
      <c r="C17" s="11"/>
      <c r="D17" s="2">
        <f t="shared" si="4"/>
        <v>0</v>
      </c>
      <c r="E17" s="2"/>
      <c r="F17" s="19"/>
      <c r="G17" s="2"/>
      <c r="H17" s="2">
        <f>--1678.59</f>
        <v>1678.59</v>
      </c>
      <c r="I17" s="2"/>
      <c r="J17" s="19"/>
      <c r="K17" s="2"/>
      <c r="L17" s="2">
        <f t="shared" si="0"/>
        <v>-1678.59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--13702.19</f>
        <v>13702.19</v>
      </c>
      <c r="U17" s="2"/>
      <c r="V17" s="19"/>
      <c r="W17" s="2"/>
      <c r="X17" s="2">
        <f t="shared" si="2"/>
        <v>-13702.19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"4042", " - ", "TAXABLE SALES-EVERYDAY GIFTS")</f>
        <v xml:space="preserve">          4042 - TAXABLE SALES-EVERYDAY GIFTS</v>
      </c>
      <c r="C18" s="11"/>
      <c r="D18" s="2">
        <f t="shared" si="4"/>
        <v>0</v>
      </c>
      <c r="E18" s="2"/>
      <c r="F18" s="19"/>
      <c r="G18" s="2"/>
      <c r="H18" s="2">
        <f>--414.83</f>
        <v>414.83</v>
      </c>
      <c r="I18" s="2"/>
      <c r="J18" s="19"/>
      <c r="K18" s="2"/>
      <c r="L18" s="2">
        <f t="shared" si="0"/>
        <v>-414.83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--5007.85</f>
        <v>5007.8500000000004</v>
      </c>
      <c r="U18" s="2"/>
      <c r="V18" s="19"/>
      <c r="W18" s="2"/>
      <c r="X18" s="2">
        <f t="shared" si="2"/>
        <v>-5007.8500000000004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"4043", " - ", "TAXABLE SALES-CARDS")</f>
        <v xml:space="preserve">          4043 - TAXABLE SALES-CARDS</v>
      </c>
      <c r="C19" s="11"/>
      <c r="D19" s="2">
        <f t="shared" si="4"/>
        <v>0</v>
      </c>
      <c r="E19" s="2"/>
      <c r="F19" s="19"/>
      <c r="G19" s="2"/>
      <c r="H19" s="2">
        <f>--2053.76</f>
        <v>2053.7600000000002</v>
      </c>
      <c r="I19" s="2"/>
      <c r="J19" s="19"/>
      <c r="K19" s="2"/>
      <c r="L19" s="2">
        <f t="shared" si="0"/>
        <v>-2053.7600000000002</v>
      </c>
      <c r="M19" s="2"/>
      <c r="N19" s="19">
        <f t="shared" si="1"/>
        <v>-1</v>
      </c>
      <c r="O19" s="11"/>
      <c r="P19" s="2">
        <f t="shared" si="5"/>
        <v>0</v>
      </c>
      <c r="Q19" s="2"/>
      <c r="R19" s="19"/>
      <c r="S19" s="2"/>
      <c r="T19" s="2">
        <f>--2870.98</f>
        <v>2870.98</v>
      </c>
      <c r="U19" s="2"/>
      <c r="V19" s="19"/>
      <c r="W19" s="2"/>
      <c r="X19" s="2">
        <f t="shared" si="2"/>
        <v>-2870.98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"4044", " - ", "TAXABLE SALES-ACCESSORIES")</f>
        <v xml:space="preserve">          4044 - TAXABLE SALES-ACCESSORIES</v>
      </c>
      <c r="C20" s="11"/>
      <c r="D20" s="2">
        <f t="shared" si="4"/>
        <v>0</v>
      </c>
      <c r="E20" s="2"/>
      <c r="F20" s="19"/>
      <c r="G20" s="2"/>
      <c r="H20" s="2">
        <f>--231.32</f>
        <v>231.32</v>
      </c>
      <c r="I20" s="2"/>
      <c r="J20" s="19"/>
      <c r="K20" s="2"/>
      <c r="L20" s="2">
        <f t="shared" si="0"/>
        <v>-231.32</v>
      </c>
      <c r="M20" s="2"/>
      <c r="N20" s="19">
        <f t="shared" si="1"/>
        <v>-1</v>
      </c>
      <c r="O20" s="11"/>
      <c r="P20" s="2">
        <f t="shared" si="5"/>
        <v>0</v>
      </c>
      <c r="Q20" s="2"/>
      <c r="R20" s="19"/>
      <c r="S20" s="2"/>
      <c r="T20" s="2">
        <f>--1228.34</f>
        <v>1228.3399999999999</v>
      </c>
      <c r="U20" s="2"/>
      <c r="V20" s="19"/>
      <c r="W20" s="2"/>
      <c r="X20" s="2">
        <f t="shared" si="2"/>
        <v>-1228.3399999999999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"4045", " - ", "TAXABLE SALES-SPECIAL ORDERS")</f>
        <v xml:space="preserve">          4045 - TAXABLE SALES-SPECIAL ORDERS</v>
      </c>
      <c r="C21" s="11"/>
      <c r="D21" s="2">
        <f t="shared" si="4"/>
        <v>0</v>
      </c>
      <c r="E21" s="2"/>
      <c r="F21" s="19"/>
      <c r="G21" s="2"/>
      <c r="H21" s="2">
        <f>--14.95</f>
        <v>14.95</v>
      </c>
      <c r="I21" s="2"/>
      <c r="J21" s="19"/>
      <c r="K21" s="2"/>
      <c r="L21" s="2">
        <f t="shared" si="0"/>
        <v>-14.95</v>
      </c>
      <c r="M21" s="2"/>
      <c r="N21" s="19">
        <f t="shared" si="1"/>
        <v>-1</v>
      </c>
      <c r="O21" s="11"/>
      <c r="P21" s="2">
        <f t="shared" si="5"/>
        <v>0</v>
      </c>
      <c r="Q21" s="2"/>
      <c r="R21" s="19"/>
      <c r="S21" s="2"/>
      <c r="T21" s="2">
        <f>--286.47</f>
        <v>286.47000000000003</v>
      </c>
      <c r="U21" s="2"/>
      <c r="V21" s="19"/>
      <c r="W21" s="2"/>
      <c r="X21" s="2">
        <f t="shared" si="2"/>
        <v>-286.47000000000003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"4100", " - ", "NON-TAXABLE SALES")</f>
        <v xml:space="preserve">          4100 - NON-TAXABLE SALES</v>
      </c>
      <c r="C22" s="11"/>
      <c r="D22" s="2">
        <f>--7.8</f>
        <v>7.8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7.8</v>
      </c>
      <c r="M22" s="2"/>
      <c r="N22" s="19">
        <f t="shared" si="1"/>
        <v>0</v>
      </c>
      <c r="O22" s="11"/>
      <c r="P22" s="2">
        <f>--141.9</f>
        <v>141.9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141.9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"4131", " - ", "NON-TAXABLE SALES-FOOD")</f>
        <v xml:space="preserve">          4131 - NON-TAXABLE SALES-FOOD</v>
      </c>
      <c r="C23" s="11"/>
      <c r="D23" s="2">
        <f t="shared" ref="D23:D26" si="6">0</f>
        <v>0</v>
      </c>
      <c r="E23" s="2"/>
      <c r="F23" s="19"/>
      <c r="G23" s="2"/>
      <c r="H23" s="2">
        <f>--6</f>
        <v>6</v>
      </c>
      <c r="I23" s="2"/>
      <c r="J23" s="19"/>
      <c r="K23" s="2"/>
      <c r="L23" s="2">
        <f t="shared" si="0"/>
        <v>-6</v>
      </c>
      <c r="M23" s="2"/>
      <c r="N23" s="19">
        <f t="shared" si="1"/>
        <v>-1</v>
      </c>
      <c r="O23" s="11"/>
      <c r="P23" s="2">
        <f t="shared" ref="P23:P26" si="7">0</f>
        <v>0</v>
      </c>
      <c r="Q23" s="2"/>
      <c r="R23" s="19"/>
      <c r="S23" s="2"/>
      <c r="T23" s="2">
        <f>--36</f>
        <v>36</v>
      </c>
      <c r="U23" s="2"/>
      <c r="V23" s="19"/>
      <c r="W23" s="2"/>
      <c r="X23" s="2">
        <f t="shared" si="2"/>
        <v>-36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"4137", " - ", "NON-TAXABLE SALES-WATER")</f>
        <v xml:space="preserve">          4137 - NON-TAXABLE SALES-WATER</v>
      </c>
      <c r="C24" s="11"/>
      <c r="D24" s="2">
        <f t="shared" si="6"/>
        <v>0</v>
      </c>
      <c r="E24" s="2"/>
      <c r="F24" s="19"/>
      <c r="G24" s="2"/>
      <c r="H24" s="2">
        <f>0</f>
        <v>0</v>
      </c>
      <c r="I24" s="2"/>
      <c r="J24" s="19"/>
      <c r="K24" s="2"/>
      <c r="L24" s="2">
        <f t="shared" si="0"/>
        <v>0</v>
      </c>
      <c r="M24" s="2"/>
      <c r="N24" s="19">
        <f t="shared" si="1"/>
        <v>0</v>
      </c>
      <c r="O24" s="11"/>
      <c r="P24" s="2">
        <f t="shared" si="7"/>
        <v>0</v>
      </c>
      <c r="Q24" s="2"/>
      <c r="R24" s="19"/>
      <c r="S24" s="2"/>
      <c r="T24" s="2">
        <f>--9</f>
        <v>9</v>
      </c>
      <c r="U24" s="2"/>
      <c r="V24" s="19"/>
      <c r="W24" s="2"/>
      <c r="X24" s="2">
        <f t="shared" si="2"/>
        <v>-9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"4140", " - ", "NON-TAXABLE SALES-LOGO CLOTHIN")</f>
        <v xml:space="preserve">          4140 - NON-TAXABLE SALES-LOGO CLOTHIN</v>
      </c>
      <c r="C25" s="11"/>
      <c r="D25" s="2">
        <f t="shared" si="6"/>
        <v>0</v>
      </c>
      <c r="E25" s="2"/>
      <c r="F25" s="19"/>
      <c r="G25" s="2"/>
      <c r="H25" s="2">
        <f>--24.95</f>
        <v>24.95</v>
      </c>
      <c r="I25" s="2"/>
      <c r="J25" s="19"/>
      <c r="K25" s="2"/>
      <c r="L25" s="2">
        <f t="shared" si="0"/>
        <v>-24.95</v>
      </c>
      <c r="M25" s="2"/>
      <c r="N25" s="19">
        <f t="shared" si="1"/>
        <v>-1</v>
      </c>
      <c r="O25" s="11"/>
      <c r="P25" s="2">
        <f t="shared" si="7"/>
        <v>0</v>
      </c>
      <c r="Q25" s="2"/>
      <c r="R25" s="19"/>
      <c r="S25" s="2"/>
      <c r="T25" s="2">
        <f>--165.78</f>
        <v>165.78</v>
      </c>
      <c r="U25" s="2"/>
      <c r="V25" s="19"/>
      <c r="W25" s="2"/>
      <c r="X25" s="2">
        <f t="shared" si="2"/>
        <v>-165.78</v>
      </c>
      <c r="Y25" s="2"/>
      <c r="Z25" s="19">
        <f t="shared" si="3"/>
        <v>-1</v>
      </c>
    </row>
    <row r="26" spans="1:26" s="24" customFormat="1" hidden="1" outlineLevel="1" x14ac:dyDescent="0.3">
      <c r="A26" s="44"/>
      <c r="B26" s="11" t="str">
        <f>CONCATENATE("          ", "4145", " - ", "NON-TAXABLE SALES-SPECIAL ORDE")</f>
        <v xml:space="preserve">          4145 - NON-TAXABLE SALES-SPECIAL ORDE</v>
      </c>
      <c r="C26" s="11"/>
      <c r="D26" s="2">
        <f t="shared" si="6"/>
        <v>0</v>
      </c>
      <c r="E26" s="2"/>
      <c r="F26" s="19"/>
      <c r="G26" s="2"/>
      <c r="H26" s="2">
        <f t="shared" ref="H26:H29" si="8">0</f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si="7"/>
        <v>0</v>
      </c>
      <c r="Q26" s="2"/>
      <c r="R26" s="19"/>
      <c r="S26" s="2"/>
      <c r="T26" s="2">
        <f>--7</f>
        <v>7</v>
      </c>
      <c r="U26" s="2"/>
      <c r="V26" s="19"/>
      <c r="W26" s="2"/>
      <c r="X26" s="2">
        <f t="shared" si="2"/>
        <v>-7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"4200", " - ", "TAXABLE RETURNS")</f>
        <v xml:space="preserve">          4200 - TAXABLE RETURNS</v>
      </c>
      <c r="C27" s="11"/>
      <c r="D27" s="2">
        <f>-1074.92</f>
        <v>-1074.92</v>
      </c>
      <c r="E27" s="2"/>
      <c r="F27" s="19"/>
      <c r="G27" s="2"/>
      <c r="H27" s="2">
        <f t="shared" si="8"/>
        <v>0</v>
      </c>
      <c r="I27" s="2"/>
      <c r="J27" s="19"/>
      <c r="K27" s="2"/>
      <c r="L27" s="2">
        <f t="shared" si="0"/>
        <v>-1074.92</v>
      </c>
      <c r="M27" s="2"/>
      <c r="N27" s="19">
        <f t="shared" si="1"/>
        <v>0</v>
      </c>
      <c r="O27" s="11"/>
      <c r="P27" s="2">
        <f>-4672.44</f>
        <v>-4672.4399999999996</v>
      </c>
      <c r="Q27" s="2"/>
      <c r="R27" s="19"/>
      <c r="S27" s="2"/>
      <c r="T27" s="2">
        <f>0</f>
        <v>0</v>
      </c>
      <c r="U27" s="2"/>
      <c r="V27" s="19"/>
      <c r="W27" s="2"/>
      <c r="X27" s="2">
        <f t="shared" si="2"/>
        <v>-4672.4399999999996</v>
      </c>
      <c r="Y27" s="2"/>
      <c r="Z27" s="19">
        <f t="shared" si="3"/>
        <v>0</v>
      </c>
    </row>
    <row r="28" spans="1:26" s="24" customFormat="1" hidden="1" outlineLevel="1" x14ac:dyDescent="0.3">
      <c r="A28" s="44"/>
      <c r="B28" s="11" t="str">
        <f>CONCATENATE("          ", "4226", " - ", "SALES RETURN TAXABLE-WRITING I")</f>
        <v xml:space="preserve">          4226 - SALES RETURN TAXABLE-WRITING I</v>
      </c>
      <c r="C28" s="11"/>
      <c r="D28" s="2">
        <f t="shared" ref="D28:D33" si="9">0</f>
        <v>0</v>
      </c>
      <c r="E28" s="2"/>
      <c r="F28" s="19"/>
      <c r="G28" s="2"/>
      <c r="H28" s="2">
        <f t="shared" si="8"/>
        <v>0</v>
      </c>
      <c r="I28" s="2"/>
      <c r="J28" s="19"/>
      <c r="K28" s="2"/>
      <c r="L28" s="2">
        <f t="shared" si="0"/>
        <v>0</v>
      </c>
      <c r="M28" s="2"/>
      <c r="N28" s="19">
        <f t="shared" si="1"/>
        <v>0</v>
      </c>
      <c r="O28" s="11"/>
      <c r="P28" s="2">
        <f t="shared" ref="P28:P33" si="10">0</f>
        <v>0</v>
      </c>
      <c r="Q28" s="2"/>
      <c r="R28" s="19"/>
      <c r="S28" s="2"/>
      <c r="T28" s="2">
        <f>-27.85</f>
        <v>-27.85</v>
      </c>
      <c r="U28" s="2"/>
      <c r="V28" s="19"/>
      <c r="W28" s="2"/>
      <c r="X28" s="2">
        <f t="shared" si="2"/>
        <v>27.85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"4227", " - ", "SALES RETURN TAXABLE-SCHOOL SU")</f>
        <v xml:space="preserve">          4227 - SALES RETURN TAXABLE-SCHOOL SU</v>
      </c>
      <c r="C29" s="11"/>
      <c r="D29" s="2">
        <f t="shared" si="9"/>
        <v>0</v>
      </c>
      <c r="E29" s="2"/>
      <c r="F29" s="19"/>
      <c r="G29" s="2"/>
      <c r="H29" s="2">
        <f t="shared" si="8"/>
        <v>0</v>
      </c>
      <c r="I29" s="2"/>
      <c r="J29" s="19"/>
      <c r="K29" s="2"/>
      <c r="L29" s="2">
        <f t="shared" si="0"/>
        <v>0</v>
      </c>
      <c r="M29" s="2"/>
      <c r="N29" s="19">
        <f t="shared" si="1"/>
        <v>0</v>
      </c>
      <c r="O29" s="11"/>
      <c r="P29" s="2">
        <f t="shared" si="10"/>
        <v>0</v>
      </c>
      <c r="Q29" s="2"/>
      <c r="R29" s="19"/>
      <c r="S29" s="2"/>
      <c r="T29" s="2">
        <f>-30</f>
        <v>-30</v>
      </c>
      <c r="U29" s="2"/>
      <c r="V29" s="19"/>
      <c r="W29" s="2"/>
      <c r="X29" s="2">
        <f t="shared" si="2"/>
        <v>30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"4240", " - ", "SALES RETURN TAXABLE-LOGO CLOT")</f>
        <v xml:space="preserve">          4240 - SALES RETURN TAXABLE-LOGO CLOT</v>
      </c>
      <c r="C30" s="11"/>
      <c r="D30" s="2">
        <f t="shared" si="9"/>
        <v>0</v>
      </c>
      <c r="E30" s="2"/>
      <c r="F30" s="19"/>
      <c r="G30" s="2"/>
      <c r="H30" s="2">
        <f>-351.8</f>
        <v>-351.8</v>
      </c>
      <c r="I30" s="2"/>
      <c r="J30" s="19"/>
      <c r="K30" s="2"/>
      <c r="L30" s="2">
        <f t="shared" si="0"/>
        <v>351.8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-2773.03</f>
        <v>-2773.03</v>
      </c>
      <c r="U30" s="2"/>
      <c r="V30" s="19"/>
      <c r="W30" s="2"/>
      <c r="X30" s="2">
        <f t="shared" si="2"/>
        <v>2773.03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"4241", " - ", "SALES RETURN TAXABLE-LOGO GIFT")</f>
        <v xml:space="preserve">          4241 - SALES RETURN TAXABLE-LOGO GIFT</v>
      </c>
      <c r="C31" s="11"/>
      <c r="D31" s="2">
        <f t="shared" si="9"/>
        <v>0</v>
      </c>
      <c r="E31" s="2"/>
      <c r="F31" s="19"/>
      <c r="G31" s="2"/>
      <c r="H31" s="2">
        <f>-26.9</f>
        <v>-26.9</v>
      </c>
      <c r="I31" s="2"/>
      <c r="J31" s="19"/>
      <c r="K31" s="2"/>
      <c r="L31" s="2">
        <f t="shared" si="0"/>
        <v>26.9</v>
      </c>
      <c r="M31" s="2"/>
      <c r="N31" s="19">
        <f t="shared" si="1"/>
        <v>-1</v>
      </c>
      <c r="O31" s="11"/>
      <c r="P31" s="2">
        <f t="shared" si="10"/>
        <v>0</v>
      </c>
      <c r="Q31" s="2"/>
      <c r="R31" s="19"/>
      <c r="S31" s="2"/>
      <c r="T31" s="2">
        <f>-150.4</f>
        <v>-150.4</v>
      </c>
      <c r="U31" s="2"/>
      <c r="V31" s="19"/>
      <c r="W31" s="2"/>
      <c r="X31" s="2">
        <f t="shared" si="2"/>
        <v>150.4</v>
      </c>
      <c r="Y31" s="2"/>
      <c r="Z31" s="19">
        <f t="shared" si="3"/>
        <v>-1</v>
      </c>
    </row>
    <row r="32" spans="1:26" s="24" customFormat="1" hidden="1" outlineLevel="1" x14ac:dyDescent="0.3">
      <c r="A32" s="44"/>
      <c r="B32" s="11" t="str">
        <f>CONCATENATE("          ", "4242", " - ", "SALES RETURN TAXABLE-EVERYDAY")</f>
        <v xml:space="preserve">          4242 - SALES RETURN TAXABLE-EVERYDAY</v>
      </c>
      <c r="C32" s="11"/>
      <c r="D32" s="2">
        <f t="shared" si="9"/>
        <v>0</v>
      </c>
      <c r="E32" s="2"/>
      <c r="F32" s="19"/>
      <c r="G32" s="2"/>
      <c r="H32" s="2">
        <f>-2.98</f>
        <v>-2.98</v>
      </c>
      <c r="I32" s="2"/>
      <c r="J32" s="19"/>
      <c r="K32" s="2"/>
      <c r="L32" s="2">
        <f t="shared" si="0"/>
        <v>2.98</v>
      </c>
      <c r="M32" s="2"/>
      <c r="N32" s="19">
        <f t="shared" si="1"/>
        <v>-1</v>
      </c>
      <c r="O32" s="11"/>
      <c r="P32" s="2">
        <f t="shared" si="10"/>
        <v>0</v>
      </c>
      <c r="Q32" s="2"/>
      <c r="R32" s="19"/>
      <c r="S32" s="2"/>
      <c r="T32" s="2">
        <f>-114.78</f>
        <v>-114.78</v>
      </c>
      <c r="U32" s="2"/>
      <c r="V32" s="19"/>
      <c r="W32" s="2"/>
      <c r="X32" s="2">
        <f t="shared" si="2"/>
        <v>114.78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"4245", " - ", "SALES RETURN TAXABLE-SPECIAL O")</f>
        <v xml:space="preserve">          4245 - SALES RETURN TAXABLE-SPECIAL O</v>
      </c>
      <c r="C33" s="11"/>
      <c r="D33" s="2">
        <f t="shared" si="9"/>
        <v>0</v>
      </c>
      <c r="E33" s="2"/>
      <c r="F33" s="19"/>
      <c r="G33" s="2"/>
      <c r="H33" s="2">
        <f t="shared" ref="H33:H34" si="11">0</f>
        <v>0</v>
      </c>
      <c r="I33" s="2"/>
      <c r="J33" s="19"/>
      <c r="K33" s="2"/>
      <c r="L33" s="2">
        <f t="shared" si="0"/>
        <v>0</v>
      </c>
      <c r="M33" s="2"/>
      <c r="N33" s="19">
        <f t="shared" si="1"/>
        <v>0</v>
      </c>
      <c r="O33" s="11"/>
      <c r="P33" s="2">
        <f t="shared" si="10"/>
        <v>0</v>
      </c>
      <c r="Q33" s="2"/>
      <c r="R33" s="19"/>
      <c r="S33" s="2"/>
      <c r="T33" s="2">
        <f>-7</f>
        <v>-7</v>
      </c>
      <c r="U33" s="2"/>
      <c r="V33" s="19"/>
      <c r="W33" s="2"/>
      <c r="X33" s="2">
        <f t="shared" si="2"/>
        <v>7</v>
      </c>
      <c r="Y33" s="2"/>
      <c r="Z33" s="19">
        <f t="shared" si="3"/>
        <v>-1</v>
      </c>
    </row>
    <row r="34" spans="1:26" s="24" customFormat="1" hidden="1" outlineLevel="1" x14ac:dyDescent="0.3">
      <c r="A34" s="44"/>
      <c r="B34" s="11" t="str">
        <f>CONCATENATE("          ", "4500", " - ", "SALES DISCOUNT")</f>
        <v xml:space="preserve">          4500 - SALES DISCOUNT</v>
      </c>
      <c r="C34" s="11"/>
      <c r="D34" s="2">
        <f>-159.08</f>
        <v>-159.08000000000001</v>
      </c>
      <c r="E34" s="2"/>
      <c r="F34" s="19"/>
      <c r="G34" s="2"/>
      <c r="H34" s="2">
        <f t="shared" si="11"/>
        <v>0</v>
      </c>
      <c r="I34" s="2"/>
      <c r="J34" s="19"/>
      <c r="K34" s="2"/>
      <c r="L34" s="2">
        <f t="shared" si="0"/>
        <v>-159.08000000000001</v>
      </c>
      <c r="M34" s="2"/>
      <c r="N34" s="19">
        <f t="shared" si="1"/>
        <v>0</v>
      </c>
      <c r="O34" s="11"/>
      <c r="P34" s="2">
        <f>-496.86</f>
        <v>-496.86</v>
      </c>
      <c r="Q34" s="2"/>
      <c r="R34" s="19"/>
      <c r="S34" s="2"/>
      <c r="T34" s="2">
        <f>0</f>
        <v>0</v>
      </c>
      <c r="U34" s="2"/>
      <c r="V34" s="19"/>
      <c r="W34" s="2"/>
      <c r="X34" s="2">
        <f t="shared" si="2"/>
        <v>-496.86</v>
      </c>
      <c r="Y34" s="2"/>
      <c r="Z34" s="19">
        <f t="shared" si="3"/>
        <v>0</v>
      </c>
    </row>
    <row r="35" spans="1:26" x14ac:dyDescent="0.3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collapsed="1" x14ac:dyDescent="0.3">
      <c r="A36" s="10"/>
      <c r="B36" s="26" t="s">
        <v>256</v>
      </c>
      <c r="C36" s="10"/>
      <c r="D36" s="4">
        <f>SUM(OSRRefD16x_0)</f>
        <v>13659.65</v>
      </c>
      <c r="E36" s="4"/>
      <c r="F36" s="12">
        <f t="shared" ref="F36:F43" si="12">IF(D$12=0,0,D36/D$12)</f>
        <v>0.46485459479363128</v>
      </c>
      <c r="G36" s="4"/>
      <c r="H36" s="4">
        <f>SUM(OSRRefH16x_0)</f>
        <v>8258</v>
      </c>
      <c r="I36" s="4"/>
      <c r="J36" s="12">
        <f t="shared" ref="J36:J43" si="13">IF(H$12=0,0,H36/H$12)</f>
        <v>0.46938429830514633</v>
      </c>
      <c r="K36" s="4"/>
      <c r="L36" s="4">
        <f t="shared" ref="L36:L43" si="14">+D36-H36</f>
        <v>5401.65</v>
      </c>
      <c r="M36" s="4"/>
      <c r="N36" s="12">
        <f t="shared" ref="N36:N43" si="15">IF(H36=0,0,L36/H36)</f>
        <v>0.65411116493097599</v>
      </c>
      <c r="O36" s="10"/>
      <c r="P36" s="4">
        <f>SUM(OSRRefP16x_0)</f>
        <v>70149.53</v>
      </c>
      <c r="Q36" s="4"/>
      <c r="R36" s="12">
        <f t="shared" ref="R36:R43" si="16">IF(P$12=0,0,P36/P$12)</f>
        <v>0.47651566962481962</v>
      </c>
      <c r="S36" s="4"/>
      <c r="T36" s="4">
        <f>SUM(OSRRefT16x_0)</f>
        <v>43614</v>
      </c>
      <c r="U36" s="4"/>
      <c r="V36" s="12">
        <f t="shared" ref="V36:V43" si="17">IF(T$12=0,0,T36/T$12)</f>
        <v>0.41139414830639248</v>
      </c>
      <c r="W36" s="4"/>
      <c r="X36" s="4">
        <f t="shared" ref="X36:X43" si="18">+P36-T36</f>
        <v>26535.53</v>
      </c>
      <c r="Y36" s="4"/>
      <c r="Z36" s="12">
        <f t="shared" ref="Z36:Z43" si="19">IF(T36=0,0,X36/T36)</f>
        <v>0.60841770990966204</v>
      </c>
    </row>
    <row r="37" spans="1:26" s="24" customFormat="1" hidden="1" outlineLevel="1" x14ac:dyDescent="0.3">
      <c r="A37" s="44"/>
      <c r="B37" s="11" t="str">
        <f>CONCATENATE("          ", "5000", " - ", "PURCHASES @ COST")</f>
        <v xml:space="preserve">          5000 - PURCHASES @ COST</v>
      </c>
      <c r="C37" s="11"/>
      <c r="D37" s="2"/>
      <c r="E37" s="2"/>
      <c r="F37" s="19">
        <f t="shared" si="12"/>
        <v>0</v>
      </c>
      <c r="G37" s="2"/>
      <c r="H37" s="2"/>
      <c r="I37" s="2"/>
      <c r="J37" s="19">
        <f t="shared" si="13"/>
        <v>0</v>
      </c>
      <c r="K37" s="2"/>
      <c r="L37" s="2">
        <f t="shared" si="14"/>
        <v>0</v>
      </c>
      <c r="M37" s="2"/>
      <c r="N37" s="19">
        <f t="shared" si="15"/>
        <v>0</v>
      </c>
      <c r="O37" s="11"/>
      <c r="P37" s="2">
        <v>1173.7</v>
      </c>
      <c r="Q37" s="2"/>
      <c r="R37" s="19">
        <f t="shared" si="16"/>
        <v>7.9727753192166909E-3</v>
      </c>
      <c r="S37" s="2"/>
      <c r="T37" s="2"/>
      <c r="U37" s="2"/>
      <c r="V37" s="19">
        <f t="shared" si="17"/>
        <v>0</v>
      </c>
      <c r="W37" s="2"/>
      <c r="X37" s="2">
        <f t="shared" si="18"/>
        <v>1173.7</v>
      </c>
      <c r="Y37" s="2"/>
      <c r="Z37" s="19">
        <f t="shared" si="19"/>
        <v>0</v>
      </c>
    </row>
    <row r="38" spans="1:26" s="24" customFormat="1" hidden="1" outlineLevel="1" x14ac:dyDescent="0.3">
      <c r="A38" s="44"/>
      <c r="B38" s="11" t="str">
        <f>CONCATENATE("          ", "5040", " - ", "PURCHASES @ COST-LOGO CLOTHING")</f>
        <v xml:space="preserve">          5040 - PURCHASES @ COST-LOGO CLOTHING</v>
      </c>
      <c r="C38" s="11"/>
      <c r="D38" s="2"/>
      <c r="E38" s="2"/>
      <c r="F38" s="19">
        <f t="shared" si="12"/>
        <v>0</v>
      </c>
      <c r="G38" s="2"/>
      <c r="H38" s="2"/>
      <c r="I38" s="2"/>
      <c r="J38" s="19">
        <f t="shared" si="13"/>
        <v>0</v>
      </c>
      <c r="K38" s="2"/>
      <c r="L38" s="2">
        <f t="shared" si="14"/>
        <v>0</v>
      </c>
      <c r="M38" s="2"/>
      <c r="N38" s="19">
        <f t="shared" si="15"/>
        <v>0</v>
      </c>
      <c r="O38" s="11"/>
      <c r="P38" s="2"/>
      <c r="Q38" s="2"/>
      <c r="R38" s="19">
        <f t="shared" si="16"/>
        <v>0</v>
      </c>
      <c r="S38" s="2"/>
      <c r="T38" s="2">
        <v>0</v>
      </c>
      <c r="U38" s="2"/>
      <c r="V38" s="19">
        <f t="shared" si="17"/>
        <v>0</v>
      </c>
      <c r="W38" s="2"/>
      <c r="X38" s="2">
        <f t="shared" si="18"/>
        <v>0</v>
      </c>
      <c r="Y38" s="2"/>
      <c r="Z38" s="19">
        <f t="shared" si="19"/>
        <v>0</v>
      </c>
    </row>
    <row r="39" spans="1:26" s="24" customFormat="1" hidden="1" outlineLevel="1" x14ac:dyDescent="0.3">
      <c r="A39" s="44"/>
      <c r="B39" s="11" t="str">
        <f>CONCATENATE("          ", "5041", " - ", "PURCHASES @ COST-LOGO GIFTS")</f>
        <v xml:space="preserve">          5041 - PURCHASES @ COST-LOGO GIFTS</v>
      </c>
      <c r="C39" s="11"/>
      <c r="D39" s="2"/>
      <c r="E39" s="2"/>
      <c r="F39" s="19">
        <f t="shared" si="12"/>
        <v>0</v>
      </c>
      <c r="G39" s="2"/>
      <c r="H39" s="2"/>
      <c r="I39" s="2"/>
      <c r="J39" s="19">
        <f t="shared" si="13"/>
        <v>0</v>
      </c>
      <c r="K39" s="2"/>
      <c r="L39" s="2">
        <f t="shared" si="14"/>
        <v>0</v>
      </c>
      <c r="M39" s="2"/>
      <c r="N39" s="19">
        <f t="shared" si="15"/>
        <v>0</v>
      </c>
      <c r="O39" s="11"/>
      <c r="P39" s="2"/>
      <c r="Q39" s="2"/>
      <c r="R39" s="19">
        <f t="shared" si="16"/>
        <v>0</v>
      </c>
      <c r="S39" s="2"/>
      <c r="T39" s="2">
        <v>207.6</v>
      </c>
      <c r="U39" s="2"/>
      <c r="V39" s="19">
        <f t="shared" si="17"/>
        <v>1.958211243830125E-3</v>
      </c>
      <c r="W39" s="2"/>
      <c r="X39" s="2">
        <f t="shared" si="18"/>
        <v>-207.6</v>
      </c>
      <c r="Y39" s="2"/>
      <c r="Z39" s="19">
        <f t="shared" si="19"/>
        <v>-1</v>
      </c>
    </row>
    <row r="40" spans="1:26" s="24" customFormat="1" hidden="1" outlineLevel="1" x14ac:dyDescent="0.3">
      <c r="A40" s="44"/>
      <c r="B40" s="11" t="str">
        <f>CONCATENATE("          ", "5042", " - ", "PURCHASES @ COST-EVERYDAY GIFT")</f>
        <v xml:space="preserve">          5042 - PURCHASES @ COST-EVERYDAY GIFT</v>
      </c>
      <c r="C40" s="11"/>
      <c r="D40" s="2"/>
      <c r="E40" s="2"/>
      <c r="F40" s="19">
        <f t="shared" si="12"/>
        <v>0</v>
      </c>
      <c r="G40" s="2"/>
      <c r="H40" s="2"/>
      <c r="I40" s="2"/>
      <c r="J40" s="19">
        <f t="shared" si="13"/>
        <v>0</v>
      </c>
      <c r="K40" s="2"/>
      <c r="L40" s="2">
        <f t="shared" si="14"/>
        <v>0</v>
      </c>
      <c r="M40" s="2"/>
      <c r="N40" s="19">
        <f t="shared" si="15"/>
        <v>0</v>
      </c>
      <c r="O40" s="11"/>
      <c r="P40" s="2"/>
      <c r="Q40" s="2"/>
      <c r="R40" s="19">
        <f t="shared" si="16"/>
        <v>0</v>
      </c>
      <c r="S40" s="2"/>
      <c r="T40" s="2">
        <v>7946.04</v>
      </c>
      <c r="U40" s="2"/>
      <c r="V40" s="19">
        <f t="shared" si="17"/>
        <v>7.4951950250115265E-2</v>
      </c>
      <c r="W40" s="2"/>
      <c r="X40" s="2">
        <f t="shared" si="18"/>
        <v>-7946.04</v>
      </c>
      <c r="Y40" s="2"/>
      <c r="Z40" s="19">
        <f t="shared" si="19"/>
        <v>-1</v>
      </c>
    </row>
    <row r="41" spans="1:26" s="24" customFormat="1" hidden="1" outlineLevel="1" x14ac:dyDescent="0.3">
      <c r="A41" s="44"/>
      <c r="B41" s="11" t="str">
        <f>CONCATENATE("          ", "5200", " - ", "PURCHASES OFFSET")</f>
        <v xml:space="preserve">          5200 - PURCHASES OFFSET</v>
      </c>
      <c r="C41" s="11"/>
      <c r="D41" s="2"/>
      <c r="E41" s="2"/>
      <c r="F41" s="19">
        <f t="shared" si="12"/>
        <v>0</v>
      </c>
      <c r="G41" s="2"/>
      <c r="H41" s="2"/>
      <c r="I41" s="2"/>
      <c r="J41" s="19">
        <f t="shared" si="13"/>
        <v>0</v>
      </c>
      <c r="K41" s="2"/>
      <c r="L41" s="2">
        <f t="shared" si="14"/>
        <v>0</v>
      </c>
      <c r="M41" s="2"/>
      <c r="N41" s="19">
        <f t="shared" si="15"/>
        <v>0</v>
      </c>
      <c r="O41" s="11"/>
      <c r="P41" s="2">
        <v>-1225.78</v>
      </c>
      <c r="Q41" s="2"/>
      <c r="R41" s="19">
        <f t="shared" si="16"/>
        <v>-8.3265472699918502E-3</v>
      </c>
      <c r="S41" s="2"/>
      <c r="T41" s="2">
        <v>-8153.64</v>
      </c>
      <c r="U41" s="2"/>
      <c r="V41" s="19">
        <f t="shared" si="17"/>
        <v>-7.6910161493945389E-2</v>
      </c>
      <c r="W41" s="2"/>
      <c r="X41" s="2">
        <f t="shared" si="18"/>
        <v>6927.8600000000006</v>
      </c>
      <c r="Y41" s="2"/>
      <c r="Z41" s="19">
        <f t="shared" si="19"/>
        <v>-0.84966468963554931</v>
      </c>
    </row>
    <row r="42" spans="1:26" s="24" customFormat="1" hidden="1" outlineLevel="1" x14ac:dyDescent="0.3">
      <c r="A42" s="44"/>
      <c r="B42" s="11" t="str">
        <f>CONCATENATE("          ", "5300", " - ", "COG$ OFFSET")</f>
        <v xml:space="preserve">          5300 - COG$ OFFSET</v>
      </c>
      <c r="C42" s="11"/>
      <c r="D42" s="2">
        <v>13659.65</v>
      </c>
      <c r="E42" s="2"/>
      <c r="F42" s="19">
        <f t="shared" si="12"/>
        <v>0.46485459479363128</v>
      </c>
      <c r="G42" s="2"/>
      <c r="H42" s="2">
        <v>8258</v>
      </c>
      <c r="I42" s="2"/>
      <c r="J42" s="19">
        <f t="shared" si="13"/>
        <v>0.46938429830514633</v>
      </c>
      <c r="K42" s="2"/>
      <c r="L42" s="2">
        <f t="shared" si="14"/>
        <v>5401.65</v>
      </c>
      <c r="M42" s="2"/>
      <c r="N42" s="19">
        <f t="shared" si="15"/>
        <v>0.65411116493097599</v>
      </c>
      <c r="O42" s="11"/>
      <c r="P42" s="2">
        <v>70149.53</v>
      </c>
      <c r="Q42" s="2"/>
      <c r="R42" s="19">
        <f t="shared" si="16"/>
        <v>0.47651566962481962</v>
      </c>
      <c r="S42" s="2"/>
      <c r="T42" s="2">
        <v>43614</v>
      </c>
      <c r="U42" s="2"/>
      <c r="V42" s="19">
        <f t="shared" si="17"/>
        <v>0.41139414830639248</v>
      </c>
      <c r="W42" s="2"/>
      <c r="X42" s="2">
        <f t="shared" si="18"/>
        <v>26535.53</v>
      </c>
      <c r="Y42" s="2"/>
      <c r="Z42" s="19">
        <f t="shared" si="19"/>
        <v>0.60841770990966204</v>
      </c>
    </row>
    <row r="43" spans="1:26" s="24" customFormat="1" hidden="1" outlineLevel="1" x14ac:dyDescent="0.3">
      <c r="A43" s="44"/>
      <c r="B43" s="11" t="str">
        <f>CONCATENATE("          ", "5500", " - ", "FREIGHT-IN")</f>
        <v xml:space="preserve">          5500 - FREIGHT-IN</v>
      </c>
      <c r="C43" s="11"/>
      <c r="D43" s="2"/>
      <c r="E43" s="2"/>
      <c r="F43" s="19">
        <f t="shared" si="12"/>
        <v>0</v>
      </c>
      <c r="G43" s="2"/>
      <c r="H43" s="2"/>
      <c r="I43" s="2"/>
      <c r="J43" s="19">
        <f t="shared" si="13"/>
        <v>0</v>
      </c>
      <c r="K43" s="2"/>
      <c r="L43" s="2">
        <f t="shared" si="14"/>
        <v>0</v>
      </c>
      <c r="M43" s="2"/>
      <c r="N43" s="19">
        <f t="shared" si="15"/>
        <v>0</v>
      </c>
      <c r="O43" s="11"/>
      <c r="P43" s="2">
        <v>52.08</v>
      </c>
      <c r="Q43" s="2"/>
      <c r="R43" s="19">
        <f t="shared" si="16"/>
        <v>3.5377195077515995E-4</v>
      </c>
      <c r="S43" s="2"/>
      <c r="T43" s="2"/>
      <c r="U43" s="2"/>
      <c r="V43" s="19">
        <f t="shared" si="17"/>
        <v>0</v>
      </c>
      <c r="W43" s="2"/>
      <c r="X43" s="2">
        <f t="shared" si="18"/>
        <v>52.08</v>
      </c>
      <c r="Y43" s="2"/>
      <c r="Z43" s="19">
        <f t="shared" si="19"/>
        <v>0</v>
      </c>
    </row>
    <row r="44" spans="1:26" x14ac:dyDescent="0.3">
      <c r="A44" s="9"/>
      <c r="B44" s="10"/>
      <c r="C44" s="10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O44" s="10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x14ac:dyDescent="0.3">
      <c r="A45" s="10"/>
      <c r="B45" s="25" t="s">
        <v>107</v>
      </c>
      <c r="C45" s="25"/>
      <c r="D45" s="21">
        <f>D12-D36</f>
        <v>15725.13</v>
      </c>
      <c r="E45" s="13"/>
      <c r="F45" s="22">
        <f>IF(D$12=0,0,D45/D$12)</f>
        <v>0.53514540520636877</v>
      </c>
      <c r="G45" s="13"/>
      <c r="H45" s="21">
        <f>H12-H36</f>
        <v>9335.260000000002</v>
      </c>
      <c r="I45" s="13"/>
      <c r="J45" s="22">
        <f>IF(H$12=0,0,H45/H$12)</f>
        <v>0.53061570169485361</v>
      </c>
      <c r="K45" s="16"/>
      <c r="L45" s="21">
        <f>+D45-H45</f>
        <v>6389.8699999999972</v>
      </c>
      <c r="M45" s="16"/>
      <c r="N45" s="22">
        <f>IF(H45=0,0,L45/H45)</f>
        <v>0.68448763076764818</v>
      </c>
      <c r="O45" s="26"/>
      <c r="P45" s="21">
        <f>P12-P36</f>
        <v>77063.950000000012</v>
      </c>
      <c r="Q45" s="13"/>
      <c r="R45" s="22">
        <f>IF(P$12=0,0,P45/P$12)</f>
        <v>0.52348433037518038</v>
      </c>
      <c r="S45" s="13"/>
      <c r="T45" s="21">
        <f>T12-T36</f>
        <v>62401.12000000001</v>
      </c>
      <c r="U45" s="13"/>
      <c r="V45" s="22">
        <f>IF(T$12=0,0,T45/T$12)</f>
        <v>0.58860585169360746</v>
      </c>
      <c r="W45" s="16"/>
      <c r="X45" s="21">
        <f>+P45-T45</f>
        <v>14662.830000000002</v>
      </c>
      <c r="Y45" s="16"/>
      <c r="Z45" s="22">
        <f>IF(T45=0,0,X45/T45)</f>
        <v>0.23497703246351986</v>
      </c>
    </row>
    <row r="46" spans="1:26" x14ac:dyDescent="0.3">
      <c r="A46" s="9"/>
      <c r="B46" s="10"/>
      <c r="C46" s="9"/>
      <c r="D46" s="1"/>
      <c r="E46" s="1"/>
      <c r="F46" s="5"/>
      <c r="G46" s="1"/>
      <c r="H46" s="1"/>
      <c r="I46" s="1"/>
      <c r="J46" s="5"/>
      <c r="K46" s="1"/>
      <c r="L46" s="1"/>
      <c r="M46" s="1"/>
      <c r="N46" s="5"/>
      <c r="O46" s="37"/>
      <c r="P46" s="1"/>
      <c r="Q46" s="1"/>
      <c r="R46" s="5"/>
      <c r="S46" s="1"/>
      <c r="T46" s="1"/>
      <c r="U46" s="1"/>
      <c r="V46" s="5"/>
      <c r="W46" s="1"/>
      <c r="X46" s="1"/>
      <c r="Y46" s="1"/>
      <c r="Z46" s="5"/>
    </row>
    <row r="47" spans="1:26" s="23" customFormat="1" x14ac:dyDescent="0.3">
      <c r="A47" s="10"/>
      <c r="B47" s="26" t="s">
        <v>294</v>
      </c>
      <c r="C47" s="10"/>
      <c r="D47" s="20">
        <f>SUM(OSRRefD22x_0)</f>
        <v>18259.380000000005</v>
      </c>
      <c r="E47" s="20"/>
      <c r="F47" s="32">
        <f t="shared" ref="F47:F56" si="20">IF(D$12=0,0,D47/D$12)</f>
        <v>0.6213890320090879</v>
      </c>
      <c r="G47" s="20"/>
      <c r="H47" s="20">
        <f>SUM(OSRRefH22x_0)</f>
        <v>20583.830000000005</v>
      </c>
      <c r="I47" s="20"/>
      <c r="J47" s="32">
        <f t="shared" ref="J47:J56" si="21">IF(H$12=0,0,H47/H$12)</f>
        <v>1.1699838460865128</v>
      </c>
      <c r="K47" s="4"/>
      <c r="L47" s="20">
        <f t="shared" ref="L47:L56" si="22">+D47-H47</f>
        <v>-2324.4500000000007</v>
      </c>
      <c r="M47" s="4"/>
      <c r="N47" s="32">
        <f t="shared" ref="N47:N56" si="23">IF(H47=0,0,L47/H47)</f>
        <v>-0.11292602008469756</v>
      </c>
      <c r="O47" s="10"/>
      <c r="P47" s="20">
        <f>SUM(OSRRefP22x_0)</f>
        <v>84207.360000000015</v>
      </c>
      <c r="Q47" s="20"/>
      <c r="R47" s="32">
        <f t="shared" ref="R47:R56" si="24">IF(P$12=0,0,P47/P$12)</f>
        <v>0.57200848726624764</v>
      </c>
      <c r="S47" s="20"/>
      <c r="T47" s="20">
        <f>SUM(OSRRefT22x_0)</f>
        <v>106425.79000000002</v>
      </c>
      <c r="U47" s="20"/>
      <c r="V47" s="32">
        <f t="shared" ref="V47:V56" si="25">IF(T$12=0,0,T47/T$12)</f>
        <v>1.0038736927336405</v>
      </c>
      <c r="W47" s="4"/>
      <c r="X47" s="20">
        <f t="shared" ref="X47:X56" si="26">+P47-T47</f>
        <v>-22218.430000000008</v>
      </c>
      <c r="Y47" s="4"/>
      <c r="Z47" s="32">
        <f t="shared" ref="Z47:Z56" si="27">IF(T47=0,0,X47/T47)</f>
        <v>-0.20876922783471941</v>
      </c>
    </row>
    <row r="48" spans="1:26" s="29" customFormat="1" outlineLevel="1" collapsed="1" x14ac:dyDescent="0.3">
      <c r="A48" s="28"/>
      <c r="B48" s="14" t="str">
        <f>CONCATENATE("     ","*Benefits                                         ")</f>
        <v xml:space="preserve">     *Benefits                                         </v>
      </c>
      <c r="C48" s="14"/>
      <c r="D48" s="1">
        <f>SUM(OSRRefD22_0x_0)</f>
        <v>1203.0000000000002</v>
      </c>
      <c r="E48" s="1"/>
      <c r="F48" s="5">
        <f t="shared" si="20"/>
        <v>4.0939561228636061E-2</v>
      </c>
      <c r="G48" s="1"/>
      <c r="H48" s="1">
        <f>SUM(OSRRefH22_0x_0)</f>
        <v>5216.1000000000004</v>
      </c>
      <c r="I48" s="1"/>
      <c r="J48" s="5">
        <f t="shared" si="21"/>
        <v>0.2964828576398007</v>
      </c>
      <c r="K48" s="1"/>
      <c r="L48" s="1">
        <f t="shared" si="22"/>
        <v>-4013.1000000000004</v>
      </c>
      <c r="M48" s="1"/>
      <c r="N48" s="5">
        <f t="shared" si="23"/>
        <v>-0.76936791855984354</v>
      </c>
      <c r="O48" s="14"/>
      <c r="P48" s="1">
        <f>SUM(OSRRefP22_0x_0)</f>
        <v>6421.7800000000007</v>
      </c>
      <c r="Q48" s="1"/>
      <c r="R48" s="5">
        <f t="shared" si="24"/>
        <v>4.3622228073135698E-2</v>
      </c>
      <c r="S48" s="1"/>
      <c r="T48" s="1">
        <f>SUM(OSRRefT22_0x_0)</f>
        <v>26049.420000000002</v>
      </c>
      <c r="U48" s="1"/>
      <c r="V48" s="5">
        <f t="shared" si="25"/>
        <v>0.24571419623917795</v>
      </c>
      <c r="W48" s="1"/>
      <c r="X48" s="1">
        <f t="shared" si="26"/>
        <v>-19627.64</v>
      </c>
      <c r="Y48" s="1"/>
      <c r="Z48" s="5">
        <f t="shared" si="27"/>
        <v>-0.75347704478640976</v>
      </c>
    </row>
    <row r="49" spans="1:26" s="24" customFormat="1" hidden="1" outlineLevel="2" x14ac:dyDescent="0.3">
      <c r="A49" s="27"/>
      <c r="B49" s="11" t="str">
        <f>CONCATENATE("          ", "6111", " - ", "F.I.C.A.")</f>
        <v xml:space="preserve">          6111 - F.I.C.A.</v>
      </c>
      <c r="C49" s="11"/>
      <c r="D49" s="6">
        <v>231.52</v>
      </c>
      <c r="E49" s="2"/>
      <c r="F49" s="7">
        <f t="shared" si="20"/>
        <v>7.8789087411918687E-3</v>
      </c>
      <c r="G49" s="2"/>
      <c r="H49" s="6">
        <v>643.12</v>
      </c>
      <c r="I49" s="2"/>
      <c r="J49" s="7">
        <f t="shared" si="21"/>
        <v>3.6554907959070689E-2</v>
      </c>
      <c r="K49" s="2"/>
      <c r="L49" s="6">
        <f t="shared" si="22"/>
        <v>-411.6</v>
      </c>
      <c r="M49" s="2"/>
      <c r="N49" s="7">
        <f t="shared" si="23"/>
        <v>-0.64000497574325166</v>
      </c>
      <c r="O49" s="11"/>
      <c r="P49" s="6">
        <v>1491.51</v>
      </c>
      <c r="Q49" s="2"/>
      <c r="R49" s="7">
        <f t="shared" si="24"/>
        <v>1.0131612947401284E-2</v>
      </c>
      <c r="S49" s="2"/>
      <c r="T49" s="6">
        <v>3851.5</v>
      </c>
      <c r="U49" s="2"/>
      <c r="V49" s="7">
        <f t="shared" si="25"/>
        <v>3.6329723533775178E-2</v>
      </c>
      <c r="W49" s="2"/>
      <c r="X49" s="6">
        <f t="shared" si="26"/>
        <v>-2359.9899999999998</v>
      </c>
      <c r="Y49" s="2"/>
      <c r="Z49" s="7">
        <f t="shared" si="27"/>
        <v>-0.61274568349993508</v>
      </c>
    </row>
    <row r="50" spans="1:26" s="24" customFormat="1" hidden="1" outlineLevel="2" x14ac:dyDescent="0.3">
      <c r="A50" s="27"/>
      <c r="B50" s="11" t="str">
        <f>CONCATENATE("          ", "6112", " - ", "COMPENSATION INSURANCE")</f>
        <v xml:space="preserve">          6112 - COMPENSATION INSURANCE</v>
      </c>
      <c r="C50" s="11"/>
      <c r="D50" s="6">
        <v>18.3</v>
      </c>
      <c r="E50" s="2"/>
      <c r="F50" s="7">
        <f t="shared" si="20"/>
        <v>6.2277138028598482E-4</v>
      </c>
      <c r="G50" s="2"/>
      <c r="H50" s="6">
        <v>354.54</v>
      </c>
      <c r="I50" s="2"/>
      <c r="J50" s="7">
        <f t="shared" si="21"/>
        <v>2.0152035495411311E-2</v>
      </c>
      <c r="K50" s="2"/>
      <c r="L50" s="6">
        <f t="shared" si="22"/>
        <v>-336.24</v>
      </c>
      <c r="M50" s="2"/>
      <c r="N50" s="7">
        <f t="shared" si="23"/>
        <v>-0.94838382128955823</v>
      </c>
      <c r="O50" s="11"/>
      <c r="P50" s="6">
        <v>222.34</v>
      </c>
      <c r="Q50" s="2"/>
      <c r="R50" s="7">
        <f t="shared" si="24"/>
        <v>1.5103236469921097E-3</v>
      </c>
      <c r="S50" s="2"/>
      <c r="T50" s="6">
        <v>1428.13</v>
      </c>
      <c r="U50" s="2"/>
      <c r="V50" s="7">
        <f t="shared" si="25"/>
        <v>1.3471003004099792E-2</v>
      </c>
      <c r="W50" s="2"/>
      <c r="X50" s="6">
        <f t="shared" si="26"/>
        <v>-1205.7900000000002</v>
      </c>
      <c r="Y50" s="2"/>
      <c r="Z50" s="7">
        <f t="shared" si="27"/>
        <v>-0.84431389299293491</v>
      </c>
    </row>
    <row r="51" spans="1:26" s="24" customFormat="1" hidden="1" outlineLevel="2" x14ac:dyDescent="0.3">
      <c r="A51" s="27"/>
      <c r="B51" s="11" t="str">
        <f>CONCATENATE("          ", "6113", " - ", "GROUP INSURANCE")</f>
        <v xml:space="preserve">          6113 - GROUP INSURANCE</v>
      </c>
      <c r="C51" s="11"/>
      <c r="D51" s="6">
        <v>526.70000000000005</v>
      </c>
      <c r="E51" s="2"/>
      <c r="F51" s="7">
        <f t="shared" si="20"/>
        <v>1.7924245136427774E-2</v>
      </c>
      <c r="G51" s="2"/>
      <c r="H51" s="6">
        <v>2714.98</v>
      </c>
      <c r="I51" s="2"/>
      <c r="J51" s="7">
        <f t="shared" si="21"/>
        <v>0.1543193245595188</v>
      </c>
      <c r="K51" s="2"/>
      <c r="L51" s="6">
        <f t="shared" si="22"/>
        <v>-2188.2799999999997</v>
      </c>
      <c r="M51" s="2"/>
      <c r="N51" s="7">
        <f t="shared" si="23"/>
        <v>-0.80600225416025151</v>
      </c>
      <c r="O51" s="11"/>
      <c r="P51" s="6">
        <v>2644.75</v>
      </c>
      <c r="Q51" s="2"/>
      <c r="R51" s="7">
        <f t="shared" si="24"/>
        <v>1.7965406428813446E-2</v>
      </c>
      <c r="S51" s="2"/>
      <c r="T51" s="6">
        <v>12872.39</v>
      </c>
      <c r="U51" s="2"/>
      <c r="V51" s="7">
        <f t="shared" si="25"/>
        <v>0.12142032193143769</v>
      </c>
      <c r="W51" s="2"/>
      <c r="X51" s="6">
        <f t="shared" si="26"/>
        <v>-10227.64</v>
      </c>
      <c r="Y51" s="2"/>
      <c r="Z51" s="7">
        <f t="shared" si="27"/>
        <v>-0.79454087391696493</v>
      </c>
    </row>
    <row r="52" spans="1:26" s="24" customFormat="1" hidden="1" outlineLevel="2" x14ac:dyDescent="0.3">
      <c r="A52" s="27"/>
      <c r="B52" s="11" t="str">
        <f>CONCATENATE("          ", "6114", " - ", "STATE UNEMPLOYMENT INSURANCE")</f>
        <v xml:space="preserve">          6114 - STATE UNEMPLOYMENT INSURANCE</v>
      </c>
      <c r="C52" s="11"/>
      <c r="D52" s="6">
        <v>3.22</v>
      </c>
      <c r="E52" s="2"/>
      <c r="F52" s="7">
        <f t="shared" si="20"/>
        <v>1.0958053795196018E-4</v>
      </c>
      <c r="G52" s="2"/>
      <c r="H52" s="6">
        <v>49.83</v>
      </c>
      <c r="I52" s="2"/>
      <c r="J52" s="7">
        <f t="shared" si="21"/>
        <v>2.8323346554305451E-3</v>
      </c>
      <c r="K52" s="2"/>
      <c r="L52" s="6">
        <f t="shared" si="22"/>
        <v>-46.61</v>
      </c>
      <c r="M52" s="2"/>
      <c r="N52" s="7">
        <f t="shared" si="23"/>
        <v>-0.93538029299618708</v>
      </c>
      <c r="O52" s="11"/>
      <c r="P52" s="6">
        <v>39.06</v>
      </c>
      <c r="Q52" s="2"/>
      <c r="R52" s="7">
        <f t="shared" si="24"/>
        <v>2.6532896308136998E-4</v>
      </c>
      <c r="S52" s="2"/>
      <c r="T52" s="6">
        <v>174.37</v>
      </c>
      <c r="U52" s="2"/>
      <c r="V52" s="7">
        <f t="shared" si="25"/>
        <v>1.6447653881823648E-3</v>
      </c>
      <c r="W52" s="2"/>
      <c r="X52" s="6">
        <f t="shared" si="26"/>
        <v>-135.31</v>
      </c>
      <c r="Y52" s="2"/>
      <c r="Z52" s="7">
        <f t="shared" si="27"/>
        <v>-0.7759935768767563</v>
      </c>
    </row>
    <row r="53" spans="1:26" s="24" customFormat="1" hidden="1" outlineLevel="2" x14ac:dyDescent="0.3">
      <c r="A53" s="27"/>
      <c r="B53" s="11" t="str">
        <f>CONCATENATE("          ", "6115", " - ", "P.E.R.S.")</f>
        <v xml:space="preserve">          6115 - P.E.R.S.</v>
      </c>
      <c r="C53" s="11"/>
      <c r="D53" s="6">
        <v>92.45</v>
      </c>
      <c r="E53" s="2"/>
      <c r="F53" s="7">
        <f t="shared" si="20"/>
        <v>3.1461865632480489E-3</v>
      </c>
      <c r="G53" s="2"/>
      <c r="H53" s="6">
        <v>362.12</v>
      </c>
      <c r="I53" s="2"/>
      <c r="J53" s="7">
        <f t="shared" si="21"/>
        <v>2.0582882308338532E-2</v>
      </c>
      <c r="K53" s="2"/>
      <c r="L53" s="6">
        <f t="shared" si="22"/>
        <v>-269.67</v>
      </c>
      <c r="M53" s="2"/>
      <c r="N53" s="7">
        <f t="shared" si="23"/>
        <v>-0.74469789020214294</v>
      </c>
      <c r="O53" s="11"/>
      <c r="P53" s="6">
        <v>492.46</v>
      </c>
      <c r="Q53" s="2"/>
      <c r="R53" s="7">
        <f t="shared" si="24"/>
        <v>3.3452099631093562E-3</v>
      </c>
      <c r="S53" s="2"/>
      <c r="T53" s="6">
        <v>1883.02</v>
      </c>
      <c r="U53" s="2"/>
      <c r="V53" s="7">
        <f t="shared" si="25"/>
        <v>1.7761806051816004E-2</v>
      </c>
      <c r="W53" s="2"/>
      <c r="X53" s="6">
        <f t="shared" si="26"/>
        <v>-1390.56</v>
      </c>
      <c r="Y53" s="2"/>
      <c r="Z53" s="7">
        <f t="shared" si="27"/>
        <v>-0.73847330352306395</v>
      </c>
    </row>
    <row r="54" spans="1:26" s="24" customFormat="1" hidden="1" outlineLevel="2" x14ac:dyDescent="0.3">
      <c r="A54" s="27"/>
      <c r="B54" s="11" t="str">
        <f>CONCATENATE("          ", "6118", " - ", "VACATION")</f>
        <v xml:space="preserve">          6118 - VACATION</v>
      </c>
      <c r="C54" s="11"/>
      <c r="D54" s="6">
        <v>89.07</v>
      </c>
      <c r="E54" s="2"/>
      <c r="F54" s="7">
        <f t="shared" si="20"/>
        <v>3.0311610296214569E-3</v>
      </c>
      <c r="G54" s="2"/>
      <c r="H54" s="6">
        <v>498.76</v>
      </c>
      <c r="I54" s="2"/>
      <c r="J54" s="7">
        <f t="shared" si="21"/>
        <v>2.8349492930815547E-2</v>
      </c>
      <c r="K54" s="2"/>
      <c r="L54" s="6">
        <f t="shared" si="22"/>
        <v>-409.69</v>
      </c>
      <c r="M54" s="2"/>
      <c r="N54" s="7">
        <f t="shared" si="23"/>
        <v>-0.82141711444382071</v>
      </c>
      <c r="O54" s="11"/>
      <c r="P54" s="6">
        <v>474.45</v>
      </c>
      <c r="Q54" s="2"/>
      <c r="R54" s="7">
        <f t="shared" si="24"/>
        <v>3.2228706229891443E-3</v>
      </c>
      <c r="S54" s="2"/>
      <c r="T54" s="6">
        <v>2646.93</v>
      </c>
      <c r="U54" s="2"/>
      <c r="V54" s="7">
        <f t="shared" si="25"/>
        <v>2.4967476337337539E-2</v>
      </c>
      <c r="W54" s="2"/>
      <c r="X54" s="6">
        <f t="shared" si="26"/>
        <v>-2172.48</v>
      </c>
      <c r="Y54" s="2"/>
      <c r="Z54" s="7">
        <f t="shared" si="27"/>
        <v>-0.82075461005768957</v>
      </c>
    </row>
    <row r="55" spans="1:26" s="24" customFormat="1" hidden="1" outlineLevel="2" x14ac:dyDescent="0.3">
      <c r="A55" s="27"/>
      <c r="B55" s="11" t="str">
        <f>CONCATENATE("          ", "6119", " - ", "SICK LEAVE")</f>
        <v xml:space="preserve">          6119 - SICK LEAVE</v>
      </c>
      <c r="C55" s="11"/>
      <c r="D55" s="6">
        <v>56.18</v>
      </c>
      <c r="E55" s="2"/>
      <c r="F55" s="7">
        <f t="shared" si="20"/>
        <v>1.911874106255007E-3</v>
      </c>
      <c r="G55" s="2"/>
      <c r="H55" s="6">
        <v>446.7</v>
      </c>
      <c r="I55" s="2"/>
      <c r="J55" s="7">
        <f t="shared" si="21"/>
        <v>2.5390405189259974E-2</v>
      </c>
      <c r="K55" s="2"/>
      <c r="L55" s="6">
        <f t="shared" si="22"/>
        <v>-390.52</v>
      </c>
      <c r="M55" s="2"/>
      <c r="N55" s="7">
        <f t="shared" si="23"/>
        <v>-0.87423326617416608</v>
      </c>
      <c r="O55" s="11"/>
      <c r="P55" s="6">
        <v>299.27</v>
      </c>
      <c r="Q55" s="2"/>
      <c r="R55" s="7">
        <f t="shared" si="24"/>
        <v>2.0328980742796107E-3</v>
      </c>
      <c r="S55" s="2"/>
      <c r="T55" s="6">
        <v>2233.5</v>
      </c>
      <c r="U55" s="2"/>
      <c r="V55" s="7">
        <f t="shared" si="25"/>
        <v>2.1067749581380465E-2</v>
      </c>
      <c r="W55" s="2"/>
      <c r="X55" s="6">
        <f t="shared" si="26"/>
        <v>-1934.23</v>
      </c>
      <c r="Y55" s="2"/>
      <c r="Z55" s="7">
        <f t="shared" si="27"/>
        <v>-0.86600850682784869</v>
      </c>
    </row>
    <row r="56" spans="1:26" s="24" customFormat="1" hidden="1" outlineLevel="2" x14ac:dyDescent="0.3">
      <c r="A56" s="27"/>
      <c r="B56" s="11" t="str">
        <f>CONCATENATE("          ", "6156", " - ", "EMPLOYEE MEALS")</f>
        <v xml:space="preserve">          6156 - EMPLOYEE MEALS</v>
      </c>
      <c r="C56" s="11"/>
      <c r="D56" s="6">
        <v>185.56</v>
      </c>
      <c r="E56" s="2"/>
      <c r="F56" s="7">
        <f t="shared" si="20"/>
        <v>6.3148337336539533E-3</v>
      </c>
      <c r="G56" s="2"/>
      <c r="H56" s="6">
        <v>146.05000000000001</v>
      </c>
      <c r="I56" s="2"/>
      <c r="J56" s="7">
        <f t="shared" si="21"/>
        <v>8.301474541955272E-3</v>
      </c>
      <c r="K56" s="2"/>
      <c r="L56" s="6">
        <f t="shared" si="22"/>
        <v>39.509999999999991</v>
      </c>
      <c r="M56" s="2"/>
      <c r="N56" s="7">
        <f t="shared" si="23"/>
        <v>0.27052379322149939</v>
      </c>
      <c r="O56" s="11"/>
      <c r="P56" s="6">
        <v>757.94</v>
      </c>
      <c r="Q56" s="2"/>
      <c r="R56" s="7">
        <f t="shared" si="24"/>
        <v>5.1485774264693699E-3</v>
      </c>
      <c r="S56" s="2"/>
      <c r="T56" s="6">
        <v>959.58</v>
      </c>
      <c r="U56" s="2"/>
      <c r="V56" s="7">
        <f t="shared" si="25"/>
        <v>9.0513504111488993E-3</v>
      </c>
      <c r="W56" s="2"/>
      <c r="X56" s="6">
        <f t="shared" si="26"/>
        <v>-201.64</v>
      </c>
      <c r="Y56" s="2"/>
      <c r="Z56" s="7">
        <f t="shared" si="27"/>
        <v>-0.21013360011671769</v>
      </c>
    </row>
    <row r="57" spans="1:26" s="29" customFormat="1" outlineLevel="1" collapsed="1" x14ac:dyDescent="0.3">
      <c r="A57" s="28"/>
      <c r="B57" s="14" t="str">
        <f>CONCATENATE("     ","*Payroll                                          ")</f>
        <v xml:space="preserve">     *Payroll                                          </v>
      </c>
      <c r="C57" s="14"/>
      <c r="D57" s="1">
        <f>SUM(OSRRefD22_1x_0)</f>
        <v>7344.47</v>
      </c>
      <c r="E57" s="1"/>
      <c r="F57" s="5">
        <f t="shared" ref="F57:F62" si="28">IF(D$12=0,0,D57/D$12)</f>
        <v>0.24994129614038291</v>
      </c>
      <c r="G57" s="1"/>
      <c r="H57" s="1">
        <f>SUM(OSRRefH22_1x_0)</f>
        <v>7497.2</v>
      </c>
      <c r="I57" s="1"/>
      <c r="J57" s="5">
        <f t="shared" ref="J57:J62" si="29">IF(H$12=0,0,H57/H$12)</f>
        <v>0.42614046515540605</v>
      </c>
      <c r="K57" s="1"/>
      <c r="L57" s="1">
        <f t="shared" ref="L57:L62" si="30">+D57-H57</f>
        <v>-152.72999999999956</v>
      </c>
      <c r="M57" s="1"/>
      <c r="N57" s="5">
        <f t="shared" ref="N57:N62" si="31">IF(H57=0,0,L57/H57)</f>
        <v>-2.0371605399349034E-2</v>
      </c>
      <c r="O57" s="14"/>
      <c r="P57" s="1">
        <f>SUM(OSRRefP22_1x_0)</f>
        <v>32464.240000000002</v>
      </c>
      <c r="Q57" s="1"/>
      <c r="R57" s="5">
        <f t="shared" ref="R57:R62" si="32">IF(P$12=0,0,P57/P$12)</f>
        <v>0.22052491388696197</v>
      </c>
      <c r="S57" s="1"/>
      <c r="T57" s="1">
        <f>SUM(OSRRefT22_1x_0)</f>
        <v>39160.49</v>
      </c>
      <c r="U57" s="1"/>
      <c r="V57" s="5">
        <f t="shared" ref="V57:V62" si="33">IF(T$12=0,0,T57/T$12)</f>
        <v>0.36938589514401338</v>
      </c>
      <c r="W57" s="1"/>
      <c r="X57" s="1">
        <f t="shared" ref="X57:X62" si="34">+P57-T57</f>
        <v>-6696.2499999999964</v>
      </c>
      <c r="Y57" s="1"/>
      <c r="Z57" s="5">
        <f t="shared" ref="Z57:Z62" si="35">IF(T57=0,0,X57/T57)</f>
        <v>-0.17099505138980634</v>
      </c>
    </row>
    <row r="58" spans="1:26" s="24" customFormat="1" hidden="1" outlineLevel="2" x14ac:dyDescent="0.3">
      <c r="A58" s="27"/>
      <c r="B58" s="11" t="str">
        <f>CONCATENATE("          ", "6002", " - ", "STAFF SALARIES")</f>
        <v xml:space="preserve">          6002 - STAFF SALARIES</v>
      </c>
      <c r="C58" s="11"/>
      <c r="D58" s="6">
        <v>1218</v>
      </c>
      <c r="E58" s="2"/>
      <c r="F58" s="7">
        <f t="shared" si="28"/>
        <v>4.1450029573132763E-2</v>
      </c>
      <c r="G58" s="2"/>
      <c r="H58" s="6">
        <v>3981.93</v>
      </c>
      <c r="I58" s="2"/>
      <c r="J58" s="7">
        <f t="shared" si="29"/>
        <v>0.22633269786270421</v>
      </c>
      <c r="K58" s="2"/>
      <c r="L58" s="6">
        <f t="shared" si="30"/>
        <v>-2763.93</v>
      </c>
      <c r="M58" s="2"/>
      <c r="N58" s="7">
        <f t="shared" si="31"/>
        <v>-0.69411817887305904</v>
      </c>
      <c r="O58" s="11"/>
      <c r="P58" s="6">
        <v>6136.87</v>
      </c>
      <c r="Q58" s="2"/>
      <c r="R58" s="7">
        <f t="shared" si="32"/>
        <v>4.1686875413854761E-2</v>
      </c>
      <c r="S58" s="2"/>
      <c r="T58" s="6">
        <v>23423.1</v>
      </c>
      <c r="U58" s="2"/>
      <c r="V58" s="7">
        <f t="shared" si="33"/>
        <v>0.22094112613370617</v>
      </c>
      <c r="W58" s="2"/>
      <c r="X58" s="6">
        <f t="shared" si="34"/>
        <v>-17286.23</v>
      </c>
      <c r="Y58" s="2"/>
      <c r="Z58" s="7">
        <f t="shared" si="35"/>
        <v>-0.73799924006643014</v>
      </c>
    </row>
    <row r="59" spans="1:26" s="24" customFormat="1" hidden="1" outlineLevel="2" x14ac:dyDescent="0.3">
      <c r="A59" s="27"/>
      <c r="B59" s="11" t="str">
        <f>CONCATENATE("          ", "6004", " - ", "STAFF HOURLY")</f>
        <v xml:space="preserve">          6004 - STAFF HOURLY</v>
      </c>
      <c r="C59" s="11"/>
      <c r="D59" s="6">
        <v>1547.39</v>
      </c>
      <c r="E59" s="2"/>
      <c r="F59" s="7">
        <f t="shared" si="28"/>
        <v>5.2659574106050822E-2</v>
      </c>
      <c r="G59" s="2"/>
      <c r="H59" s="6">
        <v>500</v>
      </c>
      <c r="I59" s="2"/>
      <c r="J59" s="7">
        <f t="shared" si="29"/>
        <v>2.8419974467494936E-2</v>
      </c>
      <c r="K59" s="2"/>
      <c r="L59" s="6">
        <f t="shared" si="30"/>
        <v>1047.3900000000001</v>
      </c>
      <c r="M59" s="2"/>
      <c r="N59" s="7">
        <f t="shared" si="31"/>
        <v>2.0947800000000001</v>
      </c>
      <c r="O59" s="11"/>
      <c r="P59" s="6">
        <v>3494.14</v>
      </c>
      <c r="Q59" s="2"/>
      <c r="R59" s="7">
        <f t="shared" si="32"/>
        <v>2.3735190554560626E-2</v>
      </c>
      <c r="S59" s="2"/>
      <c r="T59" s="6">
        <v>2350.44</v>
      </c>
      <c r="U59" s="2"/>
      <c r="V59" s="7">
        <f t="shared" si="33"/>
        <v>2.2170799787803851E-2</v>
      </c>
      <c r="W59" s="2"/>
      <c r="X59" s="6">
        <f t="shared" si="34"/>
        <v>1143.6999999999998</v>
      </c>
      <c r="Y59" s="2"/>
      <c r="Z59" s="7">
        <f t="shared" si="35"/>
        <v>0.48658974489882739</v>
      </c>
    </row>
    <row r="60" spans="1:26" s="24" customFormat="1" hidden="1" outlineLevel="2" x14ac:dyDescent="0.3">
      <c r="A60" s="27"/>
      <c r="B60" s="11" t="str">
        <f>CONCATENATE("          ", "6005", " - ", "TEMPORARY WAGES-HOURLY")</f>
        <v xml:space="preserve">          6005 - TEMPORARY WAGES-HOURLY</v>
      </c>
      <c r="C60" s="11"/>
      <c r="D60" s="6">
        <v>261.14</v>
      </c>
      <c r="E60" s="2"/>
      <c r="F60" s="7">
        <f t="shared" si="28"/>
        <v>8.8869135654580361E-3</v>
      </c>
      <c r="G60" s="2"/>
      <c r="H60" s="6">
        <v>1601.12</v>
      </c>
      <c r="I60" s="2"/>
      <c r="J60" s="7">
        <f t="shared" si="29"/>
        <v>9.1007579038790976E-2</v>
      </c>
      <c r="K60" s="2"/>
      <c r="L60" s="6">
        <f t="shared" si="30"/>
        <v>-1339.98</v>
      </c>
      <c r="M60" s="2"/>
      <c r="N60" s="7">
        <f t="shared" si="31"/>
        <v>-0.83690166883181782</v>
      </c>
      <c r="O60" s="11"/>
      <c r="P60" s="6">
        <v>3433.65</v>
      </c>
      <c r="Q60" s="2"/>
      <c r="R60" s="7">
        <f t="shared" si="32"/>
        <v>2.3324290683162982E-2</v>
      </c>
      <c r="S60" s="2"/>
      <c r="T60" s="6">
        <v>6347.7</v>
      </c>
      <c r="U60" s="2"/>
      <c r="V60" s="7">
        <f t="shared" si="33"/>
        <v>5.9875421543643954E-2</v>
      </c>
      <c r="W60" s="2"/>
      <c r="X60" s="6">
        <f t="shared" si="34"/>
        <v>-2914.0499999999997</v>
      </c>
      <c r="Y60" s="2"/>
      <c r="Z60" s="7">
        <f t="shared" si="35"/>
        <v>-0.45907178978212576</v>
      </c>
    </row>
    <row r="61" spans="1:26" s="24" customFormat="1" hidden="1" outlineLevel="2" x14ac:dyDescent="0.3">
      <c r="A61" s="27"/>
      <c r="B61" s="11" t="str">
        <f>CONCATENATE("          ", "6007", " - ", "STUDENT HOURLY")</f>
        <v xml:space="preserve">          6007 - STUDENT HOURLY</v>
      </c>
      <c r="C61" s="11"/>
      <c r="D61" s="6">
        <v>4077.49</v>
      </c>
      <c r="E61" s="2"/>
      <c r="F61" s="7">
        <f t="shared" si="28"/>
        <v>0.13876197133345902</v>
      </c>
      <c r="G61" s="2"/>
      <c r="H61" s="6">
        <v>1144.27</v>
      </c>
      <c r="I61" s="2"/>
      <c r="J61" s="7">
        <f t="shared" si="29"/>
        <v>6.5040248367840864E-2</v>
      </c>
      <c r="K61" s="2"/>
      <c r="L61" s="6">
        <f t="shared" si="30"/>
        <v>2933.22</v>
      </c>
      <c r="M61" s="2"/>
      <c r="N61" s="7">
        <f t="shared" si="31"/>
        <v>2.563398498606098</v>
      </c>
      <c r="O61" s="11"/>
      <c r="P61" s="6">
        <v>18717.54</v>
      </c>
      <c r="Q61" s="2"/>
      <c r="R61" s="7">
        <f t="shared" si="32"/>
        <v>0.12714555759431811</v>
      </c>
      <c r="S61" s="2"/>
      <c r="T61" s="6">
        <v>5774.48</v>
      </c>
      <c r="U61" s="2"/>
      <c r="V61" s="7">
        <f t="shared" si="33"/>
        <v>5.4468456952178133E-2</v>
      </c>
      <c r="W61" s="2"/>
      <c r="X61" s="6">
        <f t="shared" si="34"/>
        <v>12943.060000000001</v>
      </c>
      <c r="Y61" s="2"/>
      <c r="Z61" s="7">
        <f t="shared" si="35"/>
        <v>2.2414243360441115</v>
      </c>
    </row>
    <row r="62" spans="1:26" s="24" customFormat="1" hidden="1" outlineLevel="2" x14ac:dyDescent="0.3">
      <c r="A62" s="27"/>
      <c r="B62" s="11" t="str">
        <f>CONCATENATE("          ", "6008", " - ", "STUDENT HOURLY-FICA EXEMPT")</f>
        <v xml:space="preserve">          6008 - STUDENT HOURLY-FICA EXEMPT</v>
      </c>
      <c r="C62" s="11"/>
      <c r="D62" s="6">
        <v>240.45</v>
      </c>
      <c r="E62" s="2"/>
      <c r="F62" s="7">
        <f t="shared" si="28"/>
        <v>8.1828075622822419E-3</v>
      </c>
      <c r="G62" s="2"/>
      <c r="H62" s="6">
        <v>269.88</v>
      </c>
      <c r="I62" s="2"/>
      <c r="J62" s="7">
        <f t="shared" si="29"/>
        <v>1.5339965418575066E-2</v>
      </c>
      <c r="K62" s="2"/>
      <c r="L62" s="6">
        <f t="shared" si="30"/>
        <v>-29.430000000000007</v>
      </c>
      <c r="M62" s="2"/>
      <c r="N62" s="7">
        <f t="shared" si="31"/>
        <v>-0.1090484659848822</v>
      </c>
      <c r="O62" s="11"/>
      <c r="P62" s="6">
        <v>682.04</v>
      </c>
      <c r="Q62" s="2"/>
      <c r="R62" s="7">
        <f t="shared" si="32"/>
        <v>4.6329996410654781E-3</v>
      </c>
      <c r="S62" s="2"/>
      <c r="T62" s="6">
        <v>1264.77</v>
      </c>
      <c r="U62" s="2"/>
      <c r="V62" s="7">
        <f t="shared" si="33"/>
        <v>1.1930090726681249E-2</v>
      </c>
      <c r="W62" s="2"/>
      <c r="X62" s="6">
        <f t="shared" si="34"/>
        <v>-582.73</v>
      </c>
      <c r="Y62" s="2"/>
      <c r="Z62" s="7">
        <f t="shared" si="35"/>
        <v>-0.46073989737264487</v>
      </c>
    </row>
    <row r="63" spans="1:26" s="29" customFormat="1" outlineLevel="1" collapsed="1" x14ac:dyDescent="0.3">
      <c r="A63" s="28"/>
      <c r="B63" s="14" t="str">
        <f>CONCATENATE("     ","Advertising/Promo                                 ")</f>
        <v xml:space="preserve">     Advertising/Promo                                 </v>
      </c>
      <c r="C63" s="14"/>
      <c r="D63" s="1">
        <f>SUM(OSRRefD22_2x_0)</f>
        <v>314.02999999999997</v>
      </c>
      <c r="E63" s="1"/>
      <c r="F63" s="5">
        <f t="shared" ref="F63:F84" si="36">IF(D$12=0,0,D63/D$12)</f>
        <v>1.0686824948153432E-2</v>
      </c>
      <c r="G63" s="1"/>
      <c r="H63" s="1">
        <f>SUM(OSRRefH22_2x_0)</f>
        <v>35.28</v>
      </c>
      <c r="I63" s="1"/>
      <c r="J63" s="5">
        <f t="shared" ref="J63:J84" si="37">IF(H$12=0,0,H63/H$12)</f>
        <v>2.0053133984264428E-3</v>
      </c>
      <c r="K63" s="1"/>
      <c r="L63" s="1">
        <f t="shared" ref="L63:L84" si="38">+D63-H63</f>
        <v>278.75</v>
      </c>
      <c r="M63" s="1"/>
      <c r="N63" s="5">
        <f t="shared" ref="N63:N84" si="39">IF(H63=0,0,L63/H63)</f>
        <v>7.9010770975056683</v>
      </c>
      <c r="O63" s="14"/>
      <c r="P63" s="1">
        <f>SUM(OSRRefP22_2x_0)</f>
        <v>1124.3499999999999</v>
      </c>
      <c r="Q63" s="1"/>
      <c r="R63" s="5">
        <f t="shared" ref="R63:R84" si="40">IF(P$12=0,0,P63/P$12)</f>
        <v>7.6375478658611958E-3</v>
      </c>
      <c r="S63" s="1"/>
      <c r="T63" s="1">
        <f>SUM(OSRRefT22_2x_0)</f>
        <v>971.28</v>
      </c>
      <c r="U63" s="1"/>
      <c r="V63" s="5">
        <f t="shared" ref="V63:V84" si="41">IF(T$12=0,0,T63/T$12)</f>
        <v>9.1617120274919261E-3</v>
      </c>
      <c r="W63" s="1"/>
      <c r="X63" s="1">
        <f t="shared" ref="X63:X84" si="42">+P63-T63</f>
        <v>153.06999999999994</v>
      </c>
      <c r="Y63" s="1"/>
      <c r="Z63" s="5">
        <f t="shared" ref="Z63:Z84" si="43">IF(T63=0,0,X63/T63)</f>
        <v>0.15759616176591709</v>
      </c>
    </row>
    <row r="64" spans="1:26" s="24" customFormat="1" hidden="1" outlineLevel="2" x14ac:dyDescent="0.3">
      <c r="A64" s="27"/>
      <c r="B64" s="11" t="str">
        <f>CONCATENATE("          ", "6362", " - ", "ADVERTISING EXPENSE")</f>
        <v xml:space="preserve">          6362 - ADVERTISING EXPENSE</v>
      </c>
      <c r="C64" s="11"/>
      <c r="D64" s="6">
        <v>314.02999999999997</v>
      </c>
      <c r="E64" s="2"/>
      <c r="F64" s="7">
        <f t="shared" si="36"/>
        <v>1.0686824948153432E-2</v>
      </c>
      <c r="G64" s="2"/>
      <c r="H64" s="6">
        <v>35.28</v>
      </c>
      <c r="I64" s="2"/>
      <c r="J64" s="7">
        <f t="shared" si="37"/>
        <v>2.0053133984264428E-3</v>
      </c>
      <c r="K64" s="2"/>
      <c r="L64" s="6">
        <f t="shared" si="38"/>
        <v>278.75</v>
      </c>
      <c r="M64" s="2"/>
      <c r="N64" s="7">
        <f t="shared" si="39"/>
        <v>7.9010770975056683</v>
      </c>
      <c r="O64" s="11"/>
      <c r="P64" s="6">
        <v>1124.3499999999999</v>
      </c>
      <c r="Q64" s="2"/>
      <c r="R64" s="7">
        <f t="shared" si="40"/>
        <v>7.6375478658611958E-3</v>
      </c>
      <c r="S64" s="2"/>
      <c r="T64" s="6">
        <v>971.28</v>
      </c>
      <c r="U64" s="2"/>
      <c r="V64" s="7">
        <f t="shared" si="41"/>
        <v>9.1617120274919261E-3</v>
      </c>
      <c r="W64" s="2"/>
      <c r="X64" s="6">
        <f t="shared" si="42"/>
        <v>153.06999999999994</v>
      </c>
      <c r="Y64" s="2"/>
      <c r="Z64" s="7">
        <f t="shared" si="43"/>
        <v>0.15759616176591709</v>
      </c>
    </row>
    <row r="65" spans="1:26" s="29" customFormat="1" outlineLevel="1" collapsed="1" x14ac:dyDescent="0.3">
      <c r="A65" s="28"/>
      <c r="B65" s="14" t="str">
        <f>CONCATENATE("     ","Bad Debts/Over/Short                              ")</f>
        <v xml:space="preserve">     Bad Debts/Over/Short                              </v>
      </c>
      <c r="C65" s="14"/>
      <c r="D65" s="1">
        <f>SUM(OSRRefD22_3x_0)</f>
        <v>-0.66</v>
      </c>
      <c r="E65" s="1"/>
      <c r="F65" s="5">
        <f t="shared" si="36"/>
        <v>-2.246060715785519E-5</v>
      </c>
      <c r="G65" s="1"/>
      <c r="H65" s="1">
        <f>SUM(OSRRefH22_3x_0)</f>
        <v>-0.48</v>
      </c>
      <c r="I65" s="1"/>
      <c r="J65" s="5">
        <f t="shared" si="37"/>
        <v>-2.7283175488795136E-5</v>
      </c>
      <c r="K65" s="1"/>
      <c r="L65" s="1">
        <f t="shared" si="38"/>
        <v>-0.18000000000000005</v>
      </c>
      <c r="M65" s="1"/>
      <c r="N65" s="5">
        <f t="shared" si="39"/>
        <v>0.37500000000000011</v>
      </c>
      <c r="O65" s="14"/>
      <c r="P65" s="1">
        <f>SUM(OSRRefP22_3x_0)</f>
        <v>-9.02</v>
      </c>
      <c r="Q65" s="1"/>
      <c r="R65" s="5">
        <f t="shared" si="40"/>
        <v>-6.1271562903071096E-5</v>
      </c>
      <c r="S65" s="1"/>
      <c r="T65" s="1">
        <f>SUM(OSRRefT22_3x_0)</f>
        <v>-1.01</v>
      </c>
      <c r="U65" s="1"/>
      <c r="V65" s="5">
        <f t="shared" si="41"/>
        <v>-9.5269429492698766E-6</v>
      </c>
      <c r="W65" s="1"/>
      <c r="X65" s="1">
        <f t="shared" si="42"/>
        <v>-8.01</v>
      </c>
      <c r="Y65" s="1"/>
      <c r="Z65" s="5">
        <f t="shared" si="43"/>
        <v>7.9306930693069306</v>
      </c>
    </row>
    <row r="66" spans="1:26" s="24" customFormat="1" hidden="1" outlineLevel="2" x14ac:dyDescent="0.3">
      <c r="A66" s="27"/>
      <c r="B66" s="11" t="str">
        <f>CONCATENATE("          ", "6272", " - ", "CASH (OVER/SHORT)")</f>
        <v xml:space="preserve">          6272 - CASH (OVER/SHORT)</v>
      </c>
      <c r="C66" s="11"/>
      <c r="D66" s="6">
        <v>-0.66</v>
      </c>
      <c r="E66" s="2"/>
      <c r="F66" s="7">
        <f t="shared" si="36"/>
        <v>-2.246060715785519E-5</v>
      </c>
      <c r="G66" s="2"/>
      <c r="H66" s="6">
        <v>-0.48</v>
      </c>
      <c r="I66" s="2"/>
      <c r="J66" s="7">
        <f t="shared" si="37"/>
        <v>-2.7283175488795136E-5</v>
      </c>
      <c r="K66" s="2"/>
      <c r="L66" s="6">
        <f t="shared" si="38"/>
        <v>-0.18000000000000005</v>
      </c>
      <c r="M66" s="2"/>
      <c r="N66" s="7">
        <f t="shared" si="39"/>
        <v>0.37500000000000011</v>
      </c>
      <c r="O66" s="11"/>
      <c r="P66" s="6">
        <v>-9.02</v>
      </c>
      <c r="Q66" s="2"/>
      <c r="R66" s="7">
        <f t="shared" si="40"/>
        <v>-6.1271562903071096E-5</v>
      </c>
      <c r="S66" s="2"/>
      <c r="T66" s="6">
        <v>-1.01</v>
      </c>
      <c r="U66" s="2"/>
      <c r="V66" s="7">
        <f t="shared" si="41"/>
        <v>-9.5269429492698766E-6</v>
      </c>
      <c r="W66" s="2"/>
      <c r="X66" s="6">
        <f t="shared" si="42"/>
        <v>-8.01</v>
      </c>
      <c r="Y66" s="2"/>
      <c r="Z66" s="7">
        <f t="shared" si="43"/>
        <v>7.9306930693069306</v>
      </c>
    </row>
    <row r="67" spans="1:26" s="29" customFormat="1" outlineLevel="1" collapsed="1" x14ac:dyDescent="0.3">
      <c r="A67" s="28"/>
      <c r="B67" s="14" t="str">
        <f>CONCATENATE("     ","Bank/card Fees                                    ")</f>
        <v xml:space="preserve">     Bank/card Fees                                    </v>
      </c>
      <c r="C67" s="14"/>
      <c r="D67" s="1">
        <f>SUM(OSRRefD22_4x_0)</f>
        <v>552.5</v>
      </c>
      <c r="E67" s="1"/>
      <c r="F67" s="5">
        <f t="shared" si="36"/>
        <v>1.8802250688962109E-2</v>
      </c>
      <c r="G67" s="1"/>
      <c r="H67" s="1">
        <f>SUM(OSRRefH22_4x_0)</f>
        <v>315.25</v>
      </c>
      <c r="I67" s="1"/>
      <c r="J67" s="5">
        <f t="shared" si="37"/>
        <v>1.7918793901755558E-2</v>
      </c>
      <c r="K67" s="1"/>
      <c r="L67" s="1">
        <f t="shared" si="38"/>
        <v>237.25</v>
      </c>
      <c r="M67" s="1"/>
      <c r="N67" s="5">
        <f t="shared" si="39"/>
        <v>0.75257731958762886</v>
      </c>
      <c r="O67" s="14"/>
      <c r="P67" s="1">
        <f>SUM(OSRRefP22_4x_0)</f>
        <v>2474.44</v>
      </c>
      <c r="Q67" s="1"/>
      <c r="R67" s="5">
        <f t="shared" si="40"/>
        <v>1.6808515089786615E-2</v>
      </c>
      <c r="S67" s="1"/>
      <c r="T67" s="1">
        <f>SUM(OSRRefT22_4x_0)</f>
        <v>1672.92</v>
      </c>
      <c r="U67" s="1"/>
      <c r="V67" s="5">
        <f t="shared" si="41"/>
        <v>1.578001326603224E-2</v>
      </c>
      <c r="W67" s="1"/>
      <c r="X67" s="1">
        <f t="shared" si="42"/>
        <v>801.52</v>
      </c>
      <c r="Y67" s="1"/>
      <c r="Z67" s="5">
        <f t="shared" si="43"/>
        <v>0.4791143629103603</v>
      </c>
    </row>
    <row r="68" spans="1:26" s="24" customFormat="1" hidden="1" outlineLevel="2" x14ac:dyDescent="0.3">
      <c r="A68" s="27"/>
      <c r="B68" s="11" t="str">
        <f>CONCATENATE("          ", "6381", " - ", "BANK/CREDIT CARD FEES")</f>
        <v xml:space="preserve">          6381 - BANK/CREDIT CARD FEES</v>
      </c>
      <c r="C68" s="11"/>
      <c r="D68" s="6">
        <v>552.5</v>
      </c>
      <c r="E68" s="2"/>
      <c r="F68" s="7">
        <f t="shared" si="36"/>
        <v>1.8802250688962109E-2</v>
      </c>
      <c r="G68" s="2"/>
      <c r="H68" s="6">
        <v>315.25</v>
      </c>
      <c r="I68" s="2"/>
      <c r="J68" s="7">
        <f t="shared" si="37"/>
        <v>1.7918793901755558E-2</v>
      </c>
      <c r="K68" s="2"/>
      <c r="L68" s="6">
        <f t="shared" si="38"/>
        <v>237.25</v>
      </c>
      <c r="M68" s="2"/>
      <c r="N68" s="7">
        <f t="shared" si="39"/>
        <v>0.75257731958762886</v>
      </c>
      <c r="O68" s="11"/>
      <c r="P68" s="6">
        <v>2474.44</v>
      </c>
      <c r="Q68" s="2"/>
      <c r="R68" s="7">
        <f t="shared" si="40"/>
        <v>1.6808515089786615E-2</v>
      </c>
      <c r="S68" s="2"/>
      <c r="T68" s="6">
        <v>1672.92</v>
      </c>
      <c r="U68" s="2"/>
      <c r="V68" s="7">
        <f t="shared" si="41"/>
        <v>1.578001326603224E-2</v>
      </c>
      <c r="W68" s="2"/>
      <c r="X68" s="6">
        <f t="shared" si="42"/>
        <v>801.52</v>
      </c>
      <c r="Y68" s="2"/>
      <c r="Z68" s="7">
        <f t="shared" si="43"/>
        <v>0.4791143629103603</v>
      </c>
    </row>
    <row r="69" spans="1:26" s="29" customFormat="1" outlineLevel="1" collapsed="1" x14ac:dyDescent="0.3">
      <c r="A69" s="28"/>
      <c r="B69" s="14" t="str">
        <f>CONCATENATE("     ","Discounts and Markdowns                           ")</f>
        <v xml:space="preserve">     Discounts and Markdowns                           </v>
      </c>
      <c r="C69" s="14"/>
      <c r="D69" s="1">
        <f>SUM(OSRRefD22_5x_0)</f>
        <v>0</v>
      </c>
      <c r="E69" s="1"/>
      <c r="F69" s="5">
        <f t="shared" si="36"/>
        <v>0</v>
      </c>
      <c r="G69" s="1"/>
      <c r="H69" s="1">
        <f>SUM(OSRRefH22_5x_0)</f>
        <v>0</v>
      </c>
      <c r="I69" s="1"/>
      <c r="J69" s="5">
        <f t="shared" si="37"/>
        <v>0</v>
      </c>
      <c r="K69" s="1"/>
      <c r="L69" s="1">
        <f t="shared" si="38"/>
        <v>0</v>
      </c>
      <c r="M69" s="1"/>
      <c r="N69" s="5">
        <f t="shared" si="39"/>
        <v>0</v>
      </c>
      <c r="O69" s="14"/>
      <c r="P69" s="1">
        <f>SUM(OSRRefP22_5x_0)</f>
        <v>0</v>
      </c>
      <c r="Q69" s="1"/>
      <c r="R69" s="5">
        <f t="shared" si="40"/>
        <v>0</v>
      </c>
      <c r="S69" s="1"/>
      <c r="T69" s="1">
        <f>SUM(OSRRefT22_5x_0)</f>
        <v>0</v>
      </c>
      <c r="U69" s="1"/>
      <c r="V69" s="5">
        <f t="shared" si="41"/>
        <v>0</v>
      </c>
      <c r="W69" s="1"/>
      <c r="X69" s="1">
        <f t="shared" si="42"/>
        <v>0</v>
      </c>
      <c r="Y69" s="1"/>
      <c r="Z69" s="5">
        <f t="shared" si="43"/>
        <v>0</v>
      </c>
    </row>
    <row r="70" spans="1:26" s="24" customFormat="1" hidden="1" outlineLevel="2" x14ac:dyDescent="0.3">
      <c r="A70" s="27"/>
      <c r="B70" s="11" t="str">
        <f>CONCATENATE("          ", "6382", " - ", "DISCOUNTS/MARK DOWNS")</f>
        <v xml:space="preserve">          6382 - DISCOUNTS/MARK DOWNS</v>
      </c>
      <c r="C70" s="11"/>
      <c r="D70" s="6"/>
      <c r="E70" s="2"/>
      <c r="F70" s="7">
        <f t="shared" si="36"/>
        <v>0</v>
      </c>
      <c r="G70" s="2"/>
      <c r="H70" s="6">
        <v>0</v>
      </c>
      <c r="I70" s="2"/>
      <c r="J70" s="7">
        <f t="shared" si="37"/>
        <v>0</v>
      </c>
      <c r="K70" s="2"/>
      <c r="L70" s="6">
        <f t="shared" si="38"/>
        <v>0</v>
      </c>
      <c r="M70" s="2"/>
      <c r="N70" s="7">
        <f t="shared" si="39"/>
        <v>0</v>
      </c>
      <c r="O70" s="11"/>
      <c r="P70" s="6"/>
      <c r="Q70" s="2"/>
      <c r="R70" s="7">
        <f t="shared" si="40"/>
        <v>0</v>
      </c>
      <c r="S70" s="2"/>
      <c r="T70" s="6">
        <v>0</v>
      </c>
      <c r="U70" s="2"/>
      <c r="V70" s="7">
        <f t="shared" si="41"/>
        <v>0</v>
      </c>
      <c r="W70" s="2"/>
      <c r="X70" s="6">
        <f t="shared" si="42"/>
        <v>0</v>
      </c>
      <c r="Y70" s="2"/>
      <c r="Z70" s="7">
        <f t="shared" si="43"/>
        <v>0</v>
      </c>
    </row>
    <row r="71" spans="1:26" s="29" customFormat="1" outlineLevel="1" collapsed="1" x14ac:dyDescent="0.3">
      <c r="A71" s="28"/>
      <c r="B71" s="14" t="str">
        <f>CONCATENATE("     ","General                                           ")</f>
        <v xml:space="preserve">     General                                           </v>
      </c>
      <c r="C71" s="14"/>
      <c r="D71" s="1">
        <f>SUM(OSRRefD22_6x_0)</f>
        <v>1135.0899999999999</v>
      </c>
      <c r="E71" s="1"/>
      <c r="F71" s="5">
        <f t="shared" si="36"/>
        <v>3.8628500876984613E-2</v>
      </c>
      <c r="G71" s="1"/>
      <c r="H71" s="1">
        <f>SUM(OSRRefH22_6x_0)</f>
        <v>0</v>
      </c>
      <c r="I71" s="1"/>
      <c r="J71" s="5">
        <f t="shared" si="37"/>
        <v>0</v>
      </c>
      <c r="K71" s="1"/>
      <c r="L71" s="1">
        <f t="shared" si="38"/>
        <v>1135.0899999999999</v>
      </c>
      <c r="M71" s="1"/>
      <c r="N71" s="5">
        <f t="shared" si="39"/>
        <v>0</v>
      </c>
      <c r="O71" s="14"/>
      <c r="P71" s="1">
        <f>SUM(OSRRefP22_6x_0)</f>
        <v>1135.0899999999999</v>
      </c>
      <c r="Q71" s="1"/>
      <c r="R71" s="5">
        <f t="shared" si="40"/>
        <v>7.7105031414242764E-3</v>
      </c>
      <c r="S71" s="1"/>
      <c r="T71" s="1">
        <f>SUM(OSRRefT22_6x_0)</f>
        <v>0</v>
      </c>
      <c r="U71" s="1"/>
      <c r="V71" s="5">
        <f t="shared" si="41"/>
        <v>0</v>
      </c>
      <c r="W71" s="1"/>
      <c r="X71" s="1">
        <f t="shared" si="42"/>
        <v>1135.0899999999999</v>
      </c>
      <c r="Y71" s="1"/>
      <c r="Z71" s="5">
        <f t="shared" si="43"/>
        <v>0</v>
      </c>
    </row>
    <row r="72" spans="1:26" s="24" customFormat="1" hidden="1" outlineLevel="2" x14ac:dyDescent="0.3">
      <c r="A72" s="27"/>
      <c r="B72" s="11" t="str">
        <f>CONCATENATE("          ", "6279", " - ", "GENERAL EXPENSE")</f>
        <v xml:space="preserve">          6279 - GENERAL EXPENSE</v>
      </c>
      <c r="C72" s="11"/>
      <c r="D72" s="6">
        <v>1135.0899999999999</v>
      </c>
      <c r="E72" s="2"/>
      <c r="F72" s="7">
        <f t="shared" si="36"/>
        <v>3.8628500876984613E-2</v>
      </c>
      <c r="G72" s="2"/>
      <c r="H72" s="6"/>
      <c r="I72" s="2"/>
      <c r="J72" s="7">
        <f t="shared" si="37"/>
        <v>0</v>
      </c>
      <c r="K72" s="2"/>
      <c r="L72" s="6">
        <f t="shared" si="38"/>
        <v>1135.0899999999999</v>
      </c>
      <c r="M72" s="2"/>
      <c r="N72" s="7">
        <f t="shared" si="39"/>
        <v>0</v>
      </c>
      <c r="O72" s="11"/>
      <c r="P72" s="6">
        <v>1135.0899999999999</v>
      </c>
      <c r="Q72" s="2"/>
      <c r="R72" s="7">
        <f t="shared" si="40"/>
        <v>7.7105031414242764E-3</v>
      </c>
      <c r="S72" s="2"/>
      <c r="T72" s="6"/>
      <c r="U72" s="2"/>
      <c r="V72" s="7">
        <f t="shared" si="41"/>
        <v>0</v>
      </c>
      <c r="W72" s="2"/>
      <c r="X72" s="6">
        <f t="shared" si="42"/>
        <v>1135.0899999999999</v>
      </c>
      <c r="Y72" s="2"/>
      <c r="Z72" s="7">
        <f t="shared" si="43"/>
        <v>0</v>
      </c>
    </row>
    <row r="73" spans="1:26" s="29" customFormat="1" outlineLevel="1" collapsed="1" x14ac:dyDescent="0.3">
      <c r="A73" s="28"/>
      <c r="B73" s="14" t="str">
        <f>CONCATENATE("     ","Insurance                                         ")</f>
        <v xml:space="preserve">     Insurance                                         </v>
      </c>
      <c r="C73" s="14"/>
      <c r="D73" s="1">
        <f>SUM(OSRRefD22_7x_0)</f>
        <v>219.08</v>
      </c>
      <c r="E73" s="1"/>
      <c r="F73" s="5">
        <f t="shared" si="36"/>
        <v>7.4555603274892657E-3</v>
      </c>
      <c r="G73" s="1"/>
      <c r="H73" s="1">
        <f>SUM(OSRRefH22_7x_0)</f>
        <v>161.18</v>
      </c>
      <c r="I73" s="1"/>
      <c r="J73" s="5">
        <f t="shared" si="37"/>
        <v>9.1614629693416681E-3</v>
      </c>
      <c r="K73" s="1"/>
      <c r="L73" s="1">
        <f t="shared" si="38"/>
        <v>57.900000000000006</v>
      </c>
      <c r="M73" s="1"/>
      <c r="N73" s="5">
        <f t="shared" si="39"/>
        <v>0.35922571038590395</v>
      </c>
      <c r="O73" s="14"/>
      <c r="P73" s="1">
        <f>SUM(OSRRefP22_7x_0)</f>
        <v>1095.4000000000001</v>
      </c>
      <c r="Q73" s="1"/>
      <c r="R73" s="5">
        <f t="shared" si="40"/>
        <v>7.440894678938369E-3</v>
      </c>
      <c r="S73" s="1"/>
      <c r="T73" s="1">
        <f>SUM(OSRRefT22_7x_0)</f>
        <v>805.9</v>
      </c>
      <c r="U73" s="1"/>
      <c r="V73" s="5">
        <f t="shared" si="41"/>
        <v>7.6017458641748454E-3</v>
      </c>
      <c r="W73" s="1"/>
      <c r="X73" s="1">
        <f t="shared" si="42"/>
        <v>289.50000000000011</v>
      </c>
      <c r="Y73" s="1"/>
      <c r="Z73" s="5">
        <f t="shared" si="43"/>
        <v>0.35922571038590412</v>
      </c>
    </row>
    <row r="74" spans="1:26" s="24" customFormat="1" hidden="1" outlineLevel="2" x14ac:dyDescent="0.3">
      <c r="A74" s="27"/>
      <c r="B74" s="11" t="str">
        <f>CONCATENATE("          ", "6314", " - ", "LIABILITY INSURANCE")</f>
        <v xml:space="preserve">          6314 - LIABILITY INSURANCE</v>
      </c>
      <c r="C74" s="11"/>
      <c r="D74" s="6">
        <v>219.08</v>
      </c>
      <c r="E74" s="2"/>
      <c r="F74" s="7">
        <f t="shared" si="36"/>
        <v>7.4555603274892657E-3</v>
      </c>
      <c r="G74" s="2"/>
      <c r="H74" s="6">
        <v>161.18</v>
      </c>
      <c r="I74" s="2"/>
      <c r="J74" s="7">
        <f t="shared" si="37"/>
        <v>9.1614629693416681E-3</v>
      </c>
      <c r="K74" s="2"/>
      <c r="L74" s="6">
        <f t="shared" si="38"/>
        <v>57.900000000000006</v>
      </c>
      <c r="M74" s="2"/>
      <c r="N74" s="7">
        <f t="shared" si="39"/>
        <v>0.35922571038590395</v>
      </c>
      <c r="O74" s="11"/>
      <c r="P74" s="6">
        <v>1095.4000000000001</v>
      </c>
      <c r="Q74" s="2"/>
      <c r="R74" s="7">
        <f t="shared" si="40"/>
        <v>7.440894678938369E-3</v>
      </c>
      <c r="S74" s="2"/>
      <c r="T74" s="6">
        <v>805.9</v>
      </c>
      <c r="U74" s="2"/>
      <c r="V74" s="7">
        <f t="shared" si="41"/>
        <v>7.6017458641748454E-3</v>
      </c>
      <c r="W74" s="2"/>
      <c r="X74" s="6">
        <f t="shared" si="42"/>
        <v>289.50000000000011</v>
      </c>
      <c r="Y74" s="2"/>
      <c r="Z74" s="7">
        <f t="shared" si="43"/>
        <v>0.35922571038590412</v>
      </c>
    </row>
    <row r="75" spans="1:26" s="29" customFormat="1" outlineLevel="1" collapsed="1" x14ac:dyDescent="0.3">
      <c r="A75" s="28"/>
      <c r="B75" s="14" t="str">
        <f>CONCATENATE("     ","Inventory Adjustment                              ")</f>
        <v xml:space="preserve">     Inventory Adjustment                              </v>
      </c>
      <c r="C75" s="14"/>
      <c r="D75" s="1">
        <f>SUM(OSRRefD22_8x_0)</f>
        <v>100</v>
      </c>
      <c r="E75" s="1"/>
      <c r="F75" s="5">
        <f t="shared" si="36"/>
        <v>3.4031222966447259E-3</v>
      </c>
      <c r="G75" s="1"/>
      <c r="H75" s="1">
        <f>SUM(OSRRefH22_8x_0)</f>
        <v>100</v>
      </c>
      <c r="I75" s="1"/>
      <c r="J75" s="5">
        <f t="shared" si="37"/>
        <v>5.683994893498987E-3</v>
      </c>
      <c r="K75" s="1"/>
      <c r="L75" s="1">
        <f t="shared" si="38"/>
        <v>0</v>
      </c>
      <c r="M75" s="1"/>
      <c r="N75" s="5">
        <f t="shared" si="39"/>
        <v>0</v>
      </c>
      <c r="O75" s="14"/>
      <c r="P75" s="1">
        <f>SUM(OSRRefP22_8x_0)</f>
        <v>500</v>
      </c>
      <c r="Q75" s="1"/>
      <c r="R75" s="5">
        <f t="shared" si="40"/>
        <v>3.3964280988398616E-3</v>
      </c>
      <c r="S75" s="1"/>
      <c r="T75" s="1">
        <f>SUM(OSRRefT22_8x_0)</f>
        <v>500</v>
      </c>
      <c r="U75" s="1"/>
      <c r="V75" s="5">
        <f t="shared" si="41"/>
        <v>4.7163083907276618E-3</v>
      </c>
      <c r="W75" s="1"/>
      <c r="X75" s="1">
        <f t="shared" si="42"/>
        <v>0</v>
      </c>
      <c r="Y75" s="1"/>
      <c r="Z75" s="5">
        <f t="shared" si="43"/>
        <v>0</v>
      </c>
    </row>
    <row r="76" spans="1:26" s="24" customFormat="1" hidden="1" outlineLevel="2" x14ac:dyDescent="0.3">
      <c r="A76" s="27"/>
      <c r="B76" s="11" t="str">
        <f>CONCATENATE("          ", "6408", " - ", "INVENTORY ADJUSTMENT")</f>
        <v xml:space="preserve">          6408 - INVENTORY ADJUSTMENT</v>
      </c>
      <c r="C76" s="11"/>
      <c r="D76" s="6">
        <v>100</v>
      </c>
      <c r="E76" s="2"/>
      <c r="F76" s="7">
        <f t="shared" si="36"/>
        <v>3.4031222966447259E-3</v>
      </c>
      <c r="G76" s="2"/>
      <c r="H76" s="6">
        <v>100</v>
      </c>
      <c r="I76" s="2"/>
      <c r="J76" s="7">
        <f t="shared" si="37"/>
        <v>5.683994893498987E-3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>
        <v>500</v>
      </c>
      <c r="Q76" s="2"/>
      <c r="R76" s="7">
        <f t="shared" si="40"/>
        <v>3.3964280988398616E-3</v>
      </c>
      <c r="S76" s="2"/>
      <c r="T76" s="6">
        <v>500</v>
      </c>
      <c r="U76" s="2"/>
      <c r="V76" s="7">
        <f t="shared" si="41"/>
        <v>4.7163083907276618E-3</v>
      </c>
      <c r="W76" s="2"/>
      <c r="X76" s="6">
        <f t="shared" si="42"/>
        <v>0</v>
      </c>
      <c r="Y76" s="2"/>
      <c r="Z76" s="7">
        <f t="shared" si="43"/>
        <v>0</v>
      </c>
    </row>
    <row r="77" spans="1:26" s="29" customFormat="1" outlineLevel="1" collapsed="1" x14ac:dyDescent="0.3">
      <c r="A77" s="28"/>
      <c r="B77" s="14" t="str">
        <f>CONCATENATE("     ","Professional Services                             ")</f>
        <v xml:space="preserve">     Professional Services                             </v>
      </c>
      <c r="C77" s="14"/>
      <c r="D77" s="1">
        <f>SUM(OSRRefD22_9x_0)</f>
        <v>0</v>
      </c>
      <c r="E77" s="1"/>
      <c r="F77" s="5">
        <f t="shared" si="36"/>
        <v>0</v>
      </c>
      <c r="G77" s="1"/>
      <c r="H77" s="1">
        <f>SUM(OSRRefH22_9x_0)</f>
        <v>0</v>
      </c>
      <c r="I77" s="1"/>
      <c r="J77" s="5">
        <f t="shared" si="37"/>
        <v>0</v>
      </c>
      <c r="K77" s="1"/>
      <c r="L77" s="1">
        <f t="shared" si="38"/>
        <v>0</v>
      </c>
      <c r="M77" s="1"/>
      <c r="N77" s="5">
        <f t="shared" si="39"/>
        <v>0</v>
      </c>
      <c r="O77" s="14"/>
      <c r="P77" s="1">
        <f>SUM(OSRRefP22_9x_0)</f>
        <v>161.46</v>
      </c>
      <c r="Q77" s="1"/>
      <c r="R77" s="5">
        <f t="shared" si="40"/>
        <v>1.096774561677368E-3</v>
      </c>
      <c r="S77" s="1"/>
      <c r="T77" s="1">
        <f>SUM(OSRRefT22_9x_0)</f>
        <v>0</v>
      </c>
      <c r="U77" s="1"/>
      <c r="V77" s="5">
        <f t="shared" si="41"/>
        <v>0</v>
      </c>
      <c r="W77" s="1"/>
      <c r="X77" s="1">
        <f t="shared" si="42"/>
        <v>161.46</v>
      </c>
      <c r="Y77" s="1"/>
      <c r="Z77" s="5">
        <f t="shared" si="43"/>
        <v>0</v>
      </c>
    </row>
    <row r="78" spans="1:26" s="24" customFormat="1" hidden="1" outlineLevel="2" x14ac:dyDescent="0.3">
      <c r="A78" s="27"/>
      <c r="B78" s="11" t="str">
        <f>CONCATENATE("          ", "6336", " - ", "PROFESSIONAL SERVICES")</f>
        <v xml:space="preserve">          6336 - PROFESSIONAL SERVICES</v>
      </c>
      <c r="C78" s="11"/>
      <c r="D78" s="6"/>
      <c r="E78" s="2"/>
      <c r="F78" s="7">
        <f t="shared" si="36"/>
        <v>0</v>
      </c>
      <c r="G78" s="2"/>
      <c r="H78" s="6"/>
      <c r="I78" s="2"/>
      <c r="J78" s="7">
        <f t="shared" si="37"/>
        <v>0</v>
      </c>
      <c r="K78" s="2"/>
      <c r="L78" s="6">
        <f t="shared" si="38"/>
        <v>0</v>
      </c>
      <c r="M78" s="2"/>
      <c r="N78" s="7">
        <f t="shared" si="39"/>
        <v>0</v>
      </c>
      <c r="O78" s="11"/>
      <c r="P78" s="6">
        <v>161.46</v>
      </c>
      <c r="Q78" s="2"/>
      <c r="R78" s="7">
        <f t="shared" si="40"/>
        <v>1.096774561677368E-3</v>
      </c>
      <c r="S78" s="2"/>
      <c r="T78" s="6"/>
      <c r="U78" s="2"/>
      <c r="V78" s="7">
        <f t="shared" si="41"/>
        <v>0</v>
      </c>
      <c r="W78" s="2"/>
      <c r="X78" s="6">
        <f t="shared" si="42"/>
        <v>161.46</v>
      </c>
      <c r="Y78" s="2"/>
      <c r="Z78" s="7">
        <f t="shared" si="43"/>
        <v>0</v>
      </c>
    </row>
    <row r="79" spans="1:26" s="29" customFormat="1" outlineLevel="1" collapsed="1" x14ac:dyDescent="0.3">
      <c r="A79" s="28"/>
      <c r="B79" s="14" t="str">
        <f>CONCATENATE("     ","Rent                                              ")</f>
        <v xml:space="preserve">     Rent                                              </v>
      </c>
      <c r="C79" s="14"/>
      <c r="D79" s="1">
        <f>SUM(OSRRefD22_10x_0)</f>
        <v>6900</v>
      </c>
      <c r="E79" s="1"/>
      <c r="F79" s="5">
        <f t="shared" si="36"/>
        <v>0.23481543846848607</v>
      </c>
      <c r="G79" s="1"/>
      <c r="H79" s="1">
        <f>SUM(OSRRefH22_10x_0)</f>
        <v>6900</v>
      </c>
      <c r="I79" s="1"/>
      <c r="J79" s="5">
        <f t="shared" si="37"/>
        <v>0.39219564765143011</v>
      </c>
      <c r="K79" s="1"/>
      <c r="L79" s="1">
        <f t="shared" si="38"/>
        <v>0</v>
      </c>
      <c r="M79" s="1"/>
      <c r="N79" s="5">
        <f t="shared" si="39"/>
        <v>0</v>
      </c>
      <c r="O79" s="14"/>
      <c r="P79" s="1">
        <f>SUM(OSRRefP22_10x_0)</f>
        <v>34500</v>
      </c>
      <c r="Q79" s="1"/>
      <c r="R79" s="5">
        <f t="shared" si="40"/>
        <v>0.23435353881995044</v>
      </c>
      <c r="S79" s="1"/>
      <c r="T79" s="1">
        <f>SUM(OSRRefT22_10x_0)</f>
        <v>34500</v>
      </c>
      <c r="U79" s="1"/>
      <c r="V79" s="5">
        <f t="shared" si="41"/>
        <v>0.32542527896020867</v>
      </c>
      <c r="W79" s="1"/>
      <c r="X79" s="1">
        <f t="shared" si="42"/>
        <v>0</v>
      </c>
      <c r="Y79" s="1"/>
      <c r="Z79" s="5">
        <f t="shared" si="43"/>
        <v>0</v>
      </c>
    </row>
    <row r="80" spans="1:26" s="24" customFormat="1" hidden="1" outlineLevel="2" x14ac:dyDescent="0.3">
      <c r="A80" s="27"/>
      <c r="B80" s="11" t="str">
        <f>CONCATENATE("          ", "6273", " - ", "RENT")</f>
        <v xml:space="preserve">          6273 - RENT</v>
      </c>
      <c r="C80" s="11"/>
      <c r="D80" s="6">
        <v>6900</v>
      </c>
      <c r="E80" s="2"/>
      <c r="F80" s="7">
        <f t="shared" si="36"/>
        <v>0.23481543846848607</v>
      </c>
      <c r="G80" s="2"/>
      <c r="H80" s="6">
        <v>6900</v>
      </c>
      <c r="I80" s="2"/>
      <c r="J80" s="7">
        <f t="shared" si="37"/>
        <v>0.39219564765143011</v>
      </c>
      <c r="K80" s="2"/>
      <c r="L80" s="6">
        <f t="shared" si="38"/>
        <v>0</v>
      </c>
      <c r="M80" s="2"/>
      <c r="N80" s="7">
        <f t="shared" si="39"/>
        <v>0</v>
      </c>
      <c r="O80" s="11"/>
      <c r="P80" s="6">
        <v>34500</v>
      </c>
      <c r="Q80" s="2"/>
      <c r="R80" s="7">
        <f t="shared" si="40"/>
        <v>0.23435353881995044</v>
      </c>
      <c r="S80" s="2"/>
      <c r="T80" s="6">
        <v>34500</v>
      </c>
      <c r="U80" s="2"/>
      <c r="V80" s="7">
        <f t="shared" si="41"/>
        <v>0.32542527896020867</v>
      </c>
      <c r="W80" s="2"/>
      <c r="X80" s="6">
        <f t="shared" si="42"/>
        <v>0</v>
      </c>
      <c r="Y80" s="2"/>
      <c r="Z80" s="7">
        <f t="shared" si="43"/>
        <v>0</v>
      </c>
    </row>
    <row r="81" spans="1:26" s="29" customFormat="1" outlineLevel="1" collapsed="1" x14ac:dyDescent="0.3">
      <c r="A81" s="28"/>
      <c r="B81" s="14" t="str">
        <f>CONCATENATE("     ","Repair and Maintenance                            ")</f>
        <v xml:space="preserve">     Repair and Maintenance                            </v>
      </c>
      <c r="C81" s="14"/>
      <c r="D81" s="1">
        <f>SUM(OSRRefD22_11x_0)</f>
        <v>0</v>
      </c>
      <c r="E81" s="1"/>
      <c r="F81" s="5">
        <f t="shared" si="36"/>
        <v>0</v>
      </c>
      <c r="G81" s="1"/>
      <c r="H81" s="1">
        <f>SUM(OSRRefH22_11x_0)</f>
        <v>0</v>
      </c>
      <c r="I81" s="1"/>
      <c r="J81" s="5">
        <f t="shared" si="37"/>
        <v>0</v>
      </c>
      <c r="K81" s="1"/>
      <c r="L81" s="1">
        <f t="shared" si="38"/>
        <v>0</v>
      </c>
      <c r="M81" s="1"/>
      <c r="N81" s="5">
        <f t="shared" si="39"/>
        <v>0</v>
      </c>
      <c r="O81" s="14"/>
      <c r="P81" s="1">
        <f>SUM(OSRRefP22_11x_0)</f>
        <v>1003.72</v>
      </c>
      <c r="Q81" s="1"/>
      <c r="R81" s="5">
        <f t="shared" si="40"/>
        <v>6.8181256227350913E-3</v>
      </c>
      <c r="S81" s="1"/>
      <c r="T81" s="1">
        <f>SUM(OSRRefT22_11x_0)</f>
        <v>48.21</v>
      </c>
      <c r="U81" s="1"/>
      <c r="V81" s="5">
        <f t="shared" si="41"/>
        <v>4.5474645503396115E-4</v>
      </c>
      <c r="W81" s="1"/>
      <c r="X81" s="1">
        <f t="shared" si="42"/>
        <v>955.51</v>
      </c>
      <c r="Y81" s="1"/>
      <c r="Z81" s="5">
        <f t="shared" si="43"/>
        <v>19.819746940468782</v>
      </c>
    </row>
    <row r="82" spans="1:26" s="24" customFormat="1" hidden="1" outlineLevel="2" x14ac:dyDescent="0.3">
      <c r="A82" s="27"/>
      <c r="B82" s="11" t="str">
        <f>CONCATENATE("          ", "6372", " - ", "COMPUTER HARDWARE MAINTENANCE")</f>
        <v xml:space="preserve">          6372 - COMPUTER HARDWARE MAINTENANCE</v>
      </c>
      <c r="C82" s="11"/>
      <c r="D82" s="6"/>
      <c r="E82" s="2"/>
      <c r="F82" s="7">
        <f t="shared" si="36"/>
        <v>0</v>
      </c>
      <c r="G82" s="2"/>
      <c r="H82" s="6"/>
      <c r="I82" s="2"/>
      <c r="J82" s="7">
        <f t="shared" si="37"/>
        <v>0</v>
      </c>
      <c r="K82" s="2"/>
      <c r="L82" s="6">
        <f t="shared" si="38"/>
        <v>0</v>
      </c>
      <c r="M82" s="2"/>
      <c r="N82" s="7">
        <f t="shared" si="39"/>
        <v>0</v>
      </c>
      <c r="O82" s="11"/>
      <c r="P82" s="6"/>
      <c r="Q82" s="2"/>
      <c r="R82" s="7">
        <f t="shared" si="40"/>
        <v>0</v>
      </c>
      <c r="S82" s="2"/>
      <c r="T82" s="6">
        <v>0</v>
      </c>
      <c r="U82" s="2"/>
      <c r="V82" s="7">
        <f t="shared" si="41"/>
        <v>0</v>
      </c>
      <c r="W82" s="2"/>
      <c r="X82" s="6">
        <f t="shared" si="42"/>
        <v>0</v>
      </c>
      <c r="Y82" s="2"/>
      <c r="Z82" s="7">
        <f t="shared" si="43"/>
        <v>0</v>
      </c>
    </row>
    <row r="83" spans="1:26" s="24" customFormat="1" hidden="1" outlineLevel="2" x14ac:dyDescent="0.3">
      <c r="A83" s="27"/>
      <c r="B83" s="11" t="str">
        <f>CONCATENATE("          ", "6373", " - ", "MAINTENANCE CONTRACTS")</f>
        <v xml:space="preserve">          6373 - MAINTENANCE CONTRACTS</v>
      </c>
      <c r="C83" s="11"/>
      <c r="D83" s="6"/>
      <c r="E83" s="2"/>
      <c r="F83" s="7">
        <f t="shared" si="36"/>
        <v>0</v>
      </c>
      <c r="G83" s="2"/>
      <c r="H83" s="6"/>
      <c r="I83" s="2"/>
      <c r="J83" s="7">
        <f t="shared" si="37"/>
        <v>0</v>
      </c>
      <c r="K83" s="2"/>
      <c r="L83" s="6">
        <f t="shared" si="38"/>
        <v>0</v>
      </c>
      <c r="M83" s="2"/>
      <c r="N83" s="7">
        <f t="shared" si="39"/>
        <v>0</v>
      </c>
      <c r="O83" s="11"/>
      <c r="P83" s="6">
        <v>230.9</v>
      </c>
      <c r="Q83" s="2"/>
      <c r="R83" s="7">
        <f t="shared" si="40"/>
        <v>1.568470496044248E-3</v>
      </c>
      <c r="S83" s="2"/>
      <c r="T83" s="6">
        <v>48.21</v>
      </c>
      <c r="U83" s="2"/>
      <c r="V83" s="7">
        <f t="shared" si="41"/>
        <v>4.5474645503396115E-4</v>
      </c>
      <c r="W83" s="2"/>
      <c r="X83" s="6">
        <f t="shared" si="42"/>
        <v>182.69</v>
      </c>
      <c r="Y83" s="2"/>
      <c r="Z83" s="7">
        <f t="shared" si="43"/>
        <v>3.7894627670607757</v>
      </c>
    </row>
    <row r="84" spans="1:26" s="24" customFormat="1" hidden="1" outlineLevel="2" x14ac:dyDescent="0.3">
      <c r="A84" s="27"/>
      <c r="B84" s="11" t="str">
        <f>CONCATENATE("          ", "6375", " - ", "OUTSIDE REPAIRS &amp; MAINTENANCE")</f>
        <v xml:space="preserve">          6375 - OUTSIDE REPAIRS &amp; MAINTENANCE</v>
      </c>
      <c r="C84" s="11"/>
      <c r="D84" s="6"/>
      <c r="E84" s="2"/>
      <c r="F84" s="7">
        <f t="shared" si="36"/>
        <v>0</v>
      </c>
      <c r="G84" s="2"/>
      <c r="H84" s="6"/>
      <c r="I84" s="2"/>
      <c r="J84" s="7">
        <f t="shared" si="37"/>
        <v>0</v>
      </c>
      <c r="K84" s="2"/>
      <c r="L84" s="6">
        <f t="shared" si="38"/>
        <v>0</v>
      </c>
      <c r="M84" s="2"/>
      <c r="N84" s="7">
        <f t="shared" si="39"/>
        <v>0</v>
      </c>
      <c r="O84" s="11"/>
      <c r="P84" s="6">
        <v>772.82</v>
      </c>
      <c r="Q84" s="2"/>
      <c r="R84" s="7">
        <f t="shared" si="40"/>
        <v>5.2496551266908434E-3</v>
      </c>
      <c r="S84" s="2"/>
      <c r="T84" s="6"/>
      <c r="U84" s="2"/>
      <c r="V84" s="7">
        <f t="shared" si="41"/>
        <v>0</v>
      </c>
      <c r="W84" s="2"/>
      <c r="X84" s="6">
        <f t="shared" si="42"/>
        <v>772.82</v>
      </c>
      <c r="Y84" s="2"/>
      <c r="Z84" s="7">
        <f t="shared" si="43"/>
        <v>0</v>
      </c>
    </row>
    <row r="85" spans="1:26" s="29" customFormat="1" outlineLevel="1" collapsed="1" x14ac:dyDescent="0.3">
      <c r="A85" s="28"/>
      <c r="B85" s="14" t="str">
        <f>CONCATENATE("     ","Services                                          ")</f>
        <v xml:space="preserve">     Services                                          </v>
      </c>
      <c r="C85" s="14"/>
      <c r="D85" s="1">
        <f>SUM(OSRRefD22_12x_0)</f>
        <v>162.72</v>
      </c>
      <c r="E85" s="1"/>
      <c r="F85" s="5">
        <f t="shared" ref="F85:F88" si="44">IF(D$12=0,0,D85/D$12)</f>
        <v>5.5375606011002975E-3</v>
      </c>
      <c r="G85" s="1"/>
      <c r="H85" s="1">
        <f>SUM(OSRRefH22_12x_0)</f>
        <v>-19.419999999999995</v>
      </c>
      <c r="I85" s="1"/>
      <c r="J85" s="5">
        <f t="shared" ref="J85:J88" si="45">IF(H$12=0,0,H85/H$12)</f>
        <v>-1.103831808317503E-3</v>
      </c>
      <c r="K85" s="1"/>
      <c r="L85" s="1">
        <f t="shared" ref="L85:L88" si="46">+D85-H85</f>
        <v>182.14</v>
      </c>
      <c r="M85" s="1"/>
      <c r="N85" s="5">
        <f t="shared" ref="N85:N88" si="47">IF(H85=0,0,L85/H85)</f>
        <v>-9.3789907312049454</v>
      </c>
      <c r="O85" s="14"/>
      <c r="P85" s="1">
        <f>SUM(OSRRefP22_12x_0)</f>
        <v>806.47</v>
      </c>
      <c r="Q85" s="1"/>
      <c r="R85" s="5">
        <f t="shared" ref="R85:R88" si="48">IF(P$12=0,0,P85/P$12)</f>
        <v>5.4782347377427664E-3</v>
      </c>
      <c r="S85" s="1"/>
      <c r="T85" s="1">
        <f>SUM(OSRRefT22_12x_0)</f>
        <v>-31.590000000000146</v>
      </c>
      <c r="U85" s="1"/>
      <c r="V85" s="5">
        <f t="shared" ref="V85:V88" si="49">IF(T$12=0,0,T85/T$12)</f>
        <v>-2.9797636412617505E-4</v>
      </c>
      <c r="W85" s="1"/>
      <c r="X85" s="1">
        <f t="shared" ref="X85:X88" si="50">+P85-T85</f>
        <v>838.06000000000017</v>
      </c>
      <c r="Y85" s="1"/>
      <c r="Z85" s="5">
        <f t="shared" ref="Z85:Z88" si="51">IF(T85=0,0,X85/T85)</f>
        <v>-26.529281418170189</v>
      </c>
    </row>
    <row r="86" spans="1:26" s="24" customFormat="1" hidden="1" outlineLevel="2" x14ac:dyDescent="0.3">
      <c r="A86" s="27"/>
      <c r="B86" s="11" t="str">
        <f>CONCATENATE("          ", "6283", " - ", "PLANT SERVICE")</f>
        <v xml:space="preserve">          6283 - PLANT SERVICE</v>
      </c>
      <c r="C86" s="11"/>
      <c r="D86" s="6"/>
      <c r="E86" s="2"/>
      <c r="F86" s="7">
        <f t="shared" si="44"/>
        <v>0</v>
      </c>
      <c r="G86" s="2"/>
      <c r="H86" s="6">
        <v>41.31</v>
      </c>
      <c r="I86" s="2"/>
      <c r="J86" s="7">
        <f t="shared" si="45"/>
        <v>2.3480582905044318E-3</v>
      </c>
      <c r="K86" s="2"/>
      <c r="L86" s="6">
        <f t="shared" si="46"/>
        <v>-41.31</v>
      </c>
      <c r="M86" s="2"/>
      <c r="N86" s="7">
        <f t="shared" si="47"/>
        <v>-1</v>
      </c>
      <c r="O86" s="11"/>
      <c r="P86" s="6"/>
      <c r="Q86" s="2"/>
      <c r="R86" s="7">
        <f t="shared" si="48"/>
        <v>0</v>
      </c>
      <c r="S86" s="2"/>
      <c r="T86" s="6">
        <v>41.31</v>
      </c>
      <c r="U86" s="2"/>
      <c r="V86" s="7">
        <f t="shared" si="49"/>
        <v>3.8966139924191944E-4</v>
      </c>
      <c r="W86" s="2"/>
      <c r="X86" s="6">
        <f t="shared" si="50"/>
        <v>-41.31</v>
      </c>
      <c r="Y86" s="2"/>
      <c r="Z86" s="7">
        <f t="shared" si="51"/>
        <v>-1</v>
      </c>
    </row>
    <row r="87" spans="1:26" s="24" customFormat="1" hidden="1" outlineLevel="2" x14ac:dyDescent="0.3">
      <c r="A87" s="27"/>
      <c r="B87" s="11" t="str">
        <f>CONCATENATE("          ", "6284", " - ", "TRASH REMOVAL EXPENSE")</f>
        <v xml:space="preserve">          6284 - TRASH REMOVAL EXPENSE</v>
      </c>
      <c r="C87" s="11"/>
      <c r="D87" s="6">
        <v>149.69999999999999</v>
      </c>
      <c r="E87" s="2"/>
      <c r="F87" s="7">
        <f t="shared" si="44"/>
        <v>5.094474078077154E-3</v>
      </c>
      <c r="G87" s="2"/>
      <c r="H87" s="6"/>
      <c r="I87" s="2"/>
      <c r="J87" s="7">
        <f t="shared" si="45"/>
        <v>0</v>
      </c>
      <c r="K87" s="2"/>
      <c r="L87" s="6">
        <f t="shared" si="46"/>
        <v>149.69999999999999</v>
      </c>
      <c r="M87" s="2"/>
      <c r="N87" s="7">
        <f t="shared" si="47"/>
        <v>0</v>
      </c>
      <c r="O87" s="11"/>
      <c r="P87" s="6">
        <v>741.37</v>
      </c>
      <c r="Q87" s="2"/>
      <c r="R87" s="7">
        <f t="shared" si="48"/>
        <v>5.0360197992738165E-3</v>
      </c>
      <c r="S87" s="2"/>
      <c r="T87" s="6">
        <v>585.29999999999995</v>
      </c>
      <c r="U87" s="2"/>
      <c r="V87" s="7">
        <f t="shared" si="49"/>
        <v>5.5209106021858008E-3</v>
      </c>
      <c r="W87" s="2"/>
      <c r="X87" s="6">
        <f t="shared" si="50"/>
        <v>156.07000000000005</v>
      </c>
      <c r="Y87" s="2"/>
      <c r="Z87" s="7">
        <f t="shared" si="51"/>
        <v>0.26664958141124223</v>
      </c>
    </row>
    <row r="88" spans="1:26" s="24" customFormat="1" hidden="1" outlineLevel="2" x14ac:dyDescent="0.3">
      <c r="A88" s="27"/>
      <c r="B88" s="11" t="str">
        <f>CONCATENATE("          ", "6285", " - ", "JANITORIAL SERVICES")</f>
        <v xml:space="preserve">          6285 - JANITORIAL SERVICES</v>
      </c>
      <c r="C88" s="11"/>
      <c r="D88" s="6">
        <v>13.02</v>
      </c>
      <c r="E88" s="2"/>
      <c r="F88" s="7">
        <f t="shared" si="44"/>
        <v>4.4308652302314327E-4</v>
      </c>
      <c r="G88" s="2"/>
      <c r="H88" s="6">
        <v>-60.73</v>
      </c>
      <c r="I88" s="2"/>
      <c r="J88" s="7">
        <f t="shared" si="45"/>
        <v>-3.4518900988219346E-3</v>
      </c>
      <c r="K88" s="2"/>
      <c r="L88" s="6">
        <f t="shared" si="46"/>
        <v>73.75</v>
      </c>
      <c r="M88" s="2"/>
      <c r="N88" s="7">
        <f t="shared" si="47"/>
        <v>-1.2143915692409024</v>
      </c>
      <c r="O88" s="11"/>
      <c r="P88" s="6">
        <v>65.099999999999994</v>
      </c>
      <c r="Q88" s="2"/>
      <c r="R88" s="7">
        <f t="shared" si="48"/>
        <v>4.4221493846894992E-4</v>
      </c>
      <c r="S88" s="2"/>
      <c r="T88" s="6">
        <v>-658.2</v>
      </c>
      <c r="U88" s="2"/>
      <c r="V88" s="7">
        <f t="shared" si="49"/>
        <v>-6.2085483655538948E-3</v>
      </c>
      <c r="W88" s="2"/>
      <c r="X88" s="6">
        <f t="shared" si="50"/>
        <v>723.30000000000007</v>
      </c>
      <c r="Y88" s="2"/>
      <c r="Z88" s="7">
        <f t="shared" si="51"/>
        <v>-1.0989061075660893</v>
      </c>
    </row>
    <row r="89" spans="1:26" s="29" customFormat="1" outlineLevel="1" collapsed="1" x14ac:dyDescent="0.3">
      <c r="A89" s="28"/>
      <c r="B89" s="14" t="str">
        <f>CONCATENATE("     ","Subscriptions &amp; Dues                              ")</f>
        <v xml:space="preserve">     Subscriptions &amp; Dues                              </v>
      </c>
      <c r="C89" s="14"/>
      <c r="D89" s="1">
        <f>SUM(OSRRefD22_13x_0)</f>
        <v>0</v>
      </c>
      <c r="E89" s="1"/>
      <c r="F89" s="5">
        <f t="shared" ref="F89:F95" si="52">IF(D$12=0,0,D89/D$12)</f>
        <v>0</v>
      </c>
      <c r="G89" s="1"/>
      <c r="H89" s="1">
        <f>SUM(OSRRefH22_13x_0)</f>
        <v>0</v>
      </c>
      <c r="I89" s="1"/>
      <c r="J89" s="5">
        <f t="shared" ref="J89:J95" si="53">IF(H$12=0,0,H89/H$12)</f>
        <v>0</v>
      </c>
      <c r="K89" s="1"/>
      <c r="L89" s="1">
        <f t="shared" ref="L89:L95" si="54">+D89-H89</f>
        <v>0</v>
      </c>
      <c r="M89" s="1"/>
      <c r="N89" s="5">
        <f t="shared" ref="N89:N95" si="55">IF(H89=0,0,L89/H89)</f>
        <v>0</v>
      </c>
      <c r="O89" s="14"/>
      <c r="P89" s="1">
        <f>SUM(OSRRefP22_13x_0)</f>
        <v>0</v>
      </c>
      <c r="Q89" s="1"/>
      <c r="R89" s="5">
        <f t="shared" ref="R89:R95" si="56">IF(P$12=0,0,P89/P$12)</f>
        <v>0</v>
      </c>
      <c r="S89" s="1"/>
      <c r="T89" s="1">
        <f>SUM(OSRRefT22_13x_0)</f>
        <v>150</v>
      </c>
      <c r="U89" s="1"/>
      <c r="V89" s="5">
        <f t="shared" ref="V89:V95" si="57">IF(T$12=0,0,T89/T$12)</f>
        <v>1.4148925172182986E-3</v>
      </c>
      <c r="W89" s="1"/>
      <c r="X89" s="1">
        <f t="shared" ref="X89:X95" si="58">+P89-T89</f>
        <v>-150</v>
      </c>
      <c r="Y89" s="1"/>
      <c r="Z89" s="5">
        <f t="shared" ref="Z89:Z95" si="59">IF(T89=0,0,X89/T89)</f>
        <v>-1</v>
      </c>
    </row>
    <row r="90" spans="1:26" s="24" customFormat="1" hidden="1" outlineLevel="2" x14ac:dyDescent="0.3">
      <c r="A90" s="27"/>
      <c r="B90" s="11" t="str">
        <f>CONCATENATE("          ", "6275", " - ", "SUBSCRIPTIONS")</f>
        <v xml:space="preserve">          6275 - SUBSCRIPTIONS</v>
      </c>
      <c r="C90" s="11"/>
      <c r="D90" s="6"/>
      <c r="E90" s="2"/>
      <c r="F90" s="7">
        <f t="shared" si="52"/>
        <v>0</v>
      </c>
      <c r="G90" s="2"/>
      <c r="H90" s="6"/>
      <c r="I90" s="2"/>
      <c r="J90" s="7">
        <f t="shared" si="53"/>
        <v>0</v>
      </c>
      <c r="K90" s="2"/>
      <c r="L90" s="6">
        <f t="shared" si="54"/>
        <v>0</v>
      </c>
      <c r="M90" s="2"/>
      <c r="N90" s="7">
        <f t="shared" si="55"/>
        <v>0</v>
      </c>
      <c r="O90" s="11"/>
      <c r="P90" s="6"/>
      <c r="Q90" s="2"/>
      <c r="R90" s="7">
        <f t="shared" si="56"/>
        <v>0</v>
      </c>
      <c r="S90" s="2"/>
      <c r="T90" s="6">
        <v>150</v>
      </c>
      <c r="U90" s="2"/>
      <c r="V90" s="7">
        <f t="shared" si="57"/>
        <v>1.4148925172182986E-3</v>
      </c>
      <c r="W90" s="2"/>
      <c r="X90" s="6">
        <f t="shared" si="58"/>
        <v>-150</v>
      </c>
      <c r="Y90" s="2"/>
      <c r="Z90" s="7">
        <f t="shared" si="59"/>
        <v>-1</v>
      </c>
    </row>
    <row r="91" spans="1:26" s="29" customFormat="1" outlineLevel="1" collapsed="1" x14ac:dyDescent="0.3">
      <c r="A91" s="28"/>
      <c r="B91" s="14" t="str">
        <f>CONCATENATE("     ","Supplies                                          ")</f>
        <v xml:space="preserve">     Supplies                                          </v>
      </c>
      <c r="C91" s="14"/>
      <c r="D91" s="1">
        <f>SUM(OSRRefD22_14x_0)</f>
        <v>-2.2999999999999998</v>
      </c>
      <c r="E91" s="1"/>
      <c r="F91" s="5">
        <f t="shared" si="52"/>
        <v>-7.827181282282868E-5</v>
      </c>
      <c r="G91" s="1"/>
      <c r="H91" s="1">
        <f>SUM(OSRRefH22_14x_0)</f>
        <v>79.86</v>
      </c>
      <c r="I91" s="1"/>
      <c r="J91" s="5">
        <f t="shared" si="53"/>
        <v>4.5392383219482911E-3</v>
      </c>
      <c r="K91" s="1"/>
      <c r="L91" s="1">
        <f t="shared" si="54"/>
        <v>-82.16</v>
      </c>
      <c r="M91" s="1"/>
      <c r="N91" s="5">
        <f t="shared" si="55"/>
        <v>-1.028800400701227</v>
      </c>
      <c r="O91" s="14"/>
      <c r="P91" s="1">
        <f>SUM(OSRRefP22_14x_0)</f>
        <v>586.42999999999995</v>
      </c>
      <c r="Q91" s="1"/>
      <c r="R91" s="5">
        <f t="shared" si="56"/>
        <v>3.9835346600053199E-3</v>
      </c>
      <c r="S91" s="1"/>
      <c r="T91" s="1">
        <f>SUM(OSRRefT22_14x_0)</f>
        <v>542.26</v>
      </c>
      <c r="U91" s="1"/>
      <c r="V91" s="5">
        <f t="shared" si="57"/>
        <v>5.1149307759119633E-3</v>
      </c>
      <c r="W91" s="1"/>
      <c r="X91" s="1">
        <f t="shared" si="58"/>
        <v>44.169999999999959</v>
      </c>
      <c r="Y91" s="1"/>
      <c r="Z91" s="5">
        <f t="shared" si="59"/>
        <v>8.1455390403127576E-2</v>
      </c>
    </row>
    <row r="92" spans="1:26" s="24" customFormat="1" hidden="1" outlineLevel="2" x14ac:dyDescent="0.3">
      <c r="A92" s="27"/>
      <c r="B92" s="11" t="str">
        <f>CONCATENATE("          ", "6235", " - ", "COVID-19 EXPENSES")</f>
        <v xml:space="preserve">          6235 - COVID-19 EXPENSES</v>
      </c>
      <c r="C92" s="11"/>
      <c r="D92" s="6"/>
      <c r="E92" s="2"/>
      <c r="F92" s="7">
        <f t="shared" si="52"/>
        <v>0</v>
      </c>
      <c r="G92" s="2"/>
      <c r="H92" s="6"/>
      <c r="I92" s="2"/>
      <c r="J92" s="7">
        <f t="shared" si="53"/>
        <v>0</v>
      </c>
      <c r="K92" s="2"/>
      <c r="L92" s="6">
        <f t="shared" si="54"/>
        <v>0</v>
      </c>
      <c r="M92" s="2"/>
      <c r="N92" s="7">
        <f t="shared" si="55"/>
        <v>0</v>
      </c>
      <c r="O92" s="11"/>
      <c r="P92" s="6"/>
      <c r="Q92" s="2"/>
      <c r="R92" s="7">
        <f t="shared" si="56"/>
        <v>0</v>
      </c>
      <c r="S92" s="2"/>
      <c r="T92" s="6">
        <v>265.7</v>
      </c>
      <c r="U92" s="2"/>
      <c r="V92" s="7">
        <f t="shared" si="57"/>
        <v>2.5062462788326793E-3</v>
      </c>
      <c r="W92" s="2"/>
      <c r="X92" s="6">
        <f t="shared" si="58"/>
        <v>-265.7</v>
      </c>
      <c r="Y92" s="2"/>
      <c r="Z92" s="7">
        <f t="shared" si="59"/>
        <v>-1</v>
      </c>
    </row>
    <row r="93" spans="1:26" s="24" customFormat="1" hidden="1" outlineLevel="2" x14ac:dyDescent="0.3">
      <c r="A93" s="27"/>
      <c r="B93" s="11" t="str">
        <f>CONCATENATE("          ", "6237", " - ", "JANITORIAL SUPPLIES")</f>
        <v xml:space="preserve">          6237 - JANITORIAL SUPPLIES</v>
      </c>
      <c r="C93" s="11"/>
      <c r="D93" s="6"/>
      <c r="E93" s="2"/>
      <c r="F93" s="7">
        <f t="shared" si="52"/>
        <v>0</v>
      </c>
      <c r="G93" s="2"/>
      <c r="H93" s="6"/>
      <c r="I93" s="2"/>
      <c r="J93" s="7">
        <f t="shared" si="53"/>
        <v>0</v>
      </c>
      <c r="K93" s="2"/>
      <c r="L93" s="6">
        <f t="shared" si="54"/>
        <v>0</v>
      </c>
      <c r="M93" s="2"/>
      <c r="N93" s="7">
        <f t="shared" si="55"/>
        <v>0</v>
      </c>
      <c r="O93" s="11"/>
      <c r="P93" s="6">
        <v>77.17</v>
      </c>
      <c r="Q93" s="2"/>
      <c r="R93" s="7">
        <f t="shared" si="56"/>
        <v>5.2420471277494422E-4</v>
      </c>
      <c r="S93" s="2"/>
      <c r="T93" s="6">
        <v>191.74</v>
      </c>
      <c r="U93" s="2"/>
      <c r="V93" s="7">
        <f t="shared" si="57"/>
        <v>1.8086099416762438E-3</v>
      </c>
      <c r="W93" s="2"/>
      <c r="X93" s="6">
        <f t="shared" si="58"/>
        <v>-114.57000000000001</v>
      </c>
      <c r="Y93" s="2"/>
      <c r="Z93" s="7">
        <f t="shared" si="59"/>
        <v>-0.59752790236778974</v>
      </c>
    </row>
    <row r="94" spans="1:26" s="24" customFormat="1" hidden="1" outlineLevel="2" x14ac:dyDescent="0.3">
      <c r="A94" s="27"/>
      <c r="B94" s="11" t="str">
        <f>CONCATENATE("          ", "6241", " - ", "OFFICE EXPENSE")</f>
        <v xml:space="preserve">          6241 - OFFICE EXPENSE</v>
      </c>
      <c r="C94" s="11"/>
      <c r="D94" s="6"/>
      <c r="E94" s="2"/>
      <c r="F94" s="7">
        <f t="shared" si="52"/>
        <v>0</v>
      </c>
      <c r="G94" s="2"/>
      <c r="H94" s="6">
        <v>79.86</v>
      </c>
      <c r="I94" s="2"/>
      <c r="J94" s="7">
        <f t="shared" si="53"/>
        <v>4.5392383219482911E-3</v>
      </c>
      <c r="K94" s="2"/>
      <c r="L94" s="6">
        <f t="shared" si="54"/>
        <v>-79.86</v>
      </c>
      <c r="M94" s="2"/>
      <c r="N94" s="7">
        <f t="shared" si="55"/>
        <v>-1</v>
      </c>
      <c r="O94" s="11"/>
      <c r="P94" s="6">
        <v>96.24</v>
      </c>
      <c r="Q94" s="2"/>
      <c r="R94" s="7">
        <f t="shared" si="56"/>
        <v>6.5374448046469651E-4</v>
      </c>
      <c r="S94" s="2"/>
      <c r="T94" s="6">
        <v>84.82</v>
      </c>
      <c r="U94" s="2"/>
      <c r="V94" s="7">
        <f t="shared" si="57"/>
        <v>8.0007455540304052E-4</v>
      </c>
      <c r="W94" s="2"/>
      <c r="X94" s="6">
        <f t="shared" si="58"/>
        <v>11.420000000000002</v>
      </c>
      <c r="Y94" s="2"/>
      <c r="Z94" s="7">
        <f t="shared" si="59"/>
        <v>0.13463805706201371</v>
      </c>
    </row>
    <row r="95" spans="1:26" s="24" customFormat="1" hidden="1" outlineLevel="2" x14ac:dyDescent="0.3">
      <c r="A95" s="27"/>
      <c r="B95" s="11" t="str">
        <f>CONCATENATE("          ", "6247", " - ", "STORE SUPPLIES")</f>
        <v xml:space="preserve">          6247 - STORE SUPPLIES</v>
      </c>
      <c r="C95" s="11"/>
      <c r="D95" s="6">
        <v>-2.2999999999999998</v>
      </c>
      <c r="E95" s="2"/>
      <c r="F95" s="7">
        <f t="shared" si="52"/>
        <v>-7.827181282282868E-5</v>
      </c>
      <c r="G95" s="2"/>
      <c r="H95" s="6"/>
      <c r="I95" s="2"/>
      <c r="J95" s="7">
        <f t="shared" si="53"/>
        <v>0</v>
      </c>
      <c r="K95" s="2"/>
      <c r="L95" s="6">
        <f t="shared" si="54"/>
        <v>-2.2999999999999998</v>
      </c>
      <c r="M95" s="2"/>
      <c r="N95" s="7">
        <f t="shared" si="55"/>
        <v>0</v>
      </c>
      <c r="O95" s="11"/>
      <c r="P95" s="6">
        <v>413.02</v>
      </c>
      <c r="Q95" s="2"/>
      <c r="R95" s="7">
        <f t="shared" si="56"/>
        <v>2.8055854667656788E-3</v>
      </c>
      <c r="S95" s="2"/>
      <c r="T95" s="6"/>
      <c r="U95" s="2"/>
      <c r="V95" s="7">
        <f t="shared" si="57"/>
        <v>0</v>
      </c>
      <c r="W95" s="2"/>
      <c r="X95" s="6">
        <f t="shared" si="58"/>
        <v>413.02</v>
      </c>
      <c r="Y95" s="2"/>
      <c r="Z95" s="7">
        <f t="shared" si="59"/>
        <v>0</v>
      </c>
    </row>
    <row r="96" spans="1:26" s="29" customFormat="1" outlineLevel="1" collapsed="1" x14ac:dyDescent="0.3">
      <c r="A96" s="28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SUM(OSRRefD22_15x_0)</f>
        <v>297.83999999999997</v>
      </c>
      <c r="E96" s="1"/>
      <c r="F96" s="5">
        <f t="shared" ref="F96:F101" si="60">IF(D$12=0,0,D96/D$12)</f>
        <v>1.0135859448326651E-2</v>
      </c>
      <c r="G96" s="1"/>
      <c r="H96" s="1">
        <f>SUM(OSRRefH22_15x_0)</f>
        <v>281.48</v>
      </c>
      <c r="I96" s="1"/>
      <c r="J96" s="5">
        <f t="shared" ref="J96:J101" si="61">IF(H$12=0,0,H96/H$12)</f>
        <v>1.599930882622095E-2</v>
      </c>
      <c r="K96" s="1"/>
      <c r="L96" s="1">
        <f t="shared" ref="L96:L101" si="62">+D96-H96</f>
        <v>16.359999999999957</v>
      </c>
      <c r="M96" s="1"/>
      <c r="N96" s="5">
        <f t="shared" ref="N96:N101" si="63">IF(H96=0,0,L96/H96)</f>
        <v>5.8121358533465811E-2</v>
      </c>
      <c r="O96" s="14"/>
      <c r="P96" s="1">
        <f>SUM(OSRRefP22_15x_0)</f>
        <v>1584.2</v>
      </c>
      <c r="Q96" s="1"/>
      <c r="R96" s="5">
        <f t="shared" ref="R96:R101" si="64">IF(P$12=0,0,P96/P$12)</f>
        <v>1.0761242788364217E-2</v>
      </c>
      <c r="S96" s="1"/>
      <c r="T96" s="1">
        <f>SUM(OSRRefT22_15x_0)</f>
        <v>1634.24</v>
      </c>
      <c r="U96" s="1"/>
      <c r="V96" s="5">
        <f t="shared" ref="V96:V101" si="65">IF(T$12=0,0,T96/T$12)</f>
        <v>1.5415159648925548E-2</v>
      </c>
      <c r="W96" s="1"/>
      <c r="X96" s="1">
        <f t="shared" ref="X96:X101" si="66">+P96-T96</f>
        <v>-50.039999999999964</v>
      </c>
      <c r="Y96" s="1"/>
      <c r="Z96" s="5">
        <f t="shared" ref="Z96:Z101" si="67">IF(T96=0,0,X96/T96)</f>
        <v>-3.061973761503816E-2</v>
      </c>
    </row>
    <row r="97" spans="1:26" s="24" customFormat="1" hidden="1" outlineLevel="2" x14ac:dyDescent="0.3">
      <c r="A97" s="27"/>
      <c r="B97" s="11" t="str">
        <f>CONCATENATE("          ", "6309", " - ", "TELEPHONE")</f>
        <v xml:space="preserve">          6309 - TELEPHONE</v>
      </c>
      <c r="C97" s="11"/>
      <c r="D97" s="6">
        <v>297.83999999999997</v>
      </c>
      <c r="E97" s="2"/>
      <c r="F97" s="7">
        <f t="shared" si="60"/>
        <v>1.0135859448326651E-2</v>
      </c>
      <c r="G97" s="2"/>
      <c r="H97" s="6">
        <v>281.48</v>
      </c>
      <c r="I97" s="2"/>
      <c r="J97" s="7">
        <f t="shared" si="61"/>
        <v>1.599930882622095E-2</v>
      </c>
      <c r="K97" s="2"/>
      <c r="L97" s="6">
        <f t="shared" si="62"/>
        <v>16.359999999999957</v>
      </c>
      <c r="M97" s="2"/>
      <c r="N97" s="7">
        <f t="shared" si="63"/>
        <v>5.8121358533465811E-2</v>
      </c>
      <c r="O97" s="11"/>
      <c r="P97" s="6">
        <v>1584.2</v>
      </c>
      <c r="Q97" s="2"/>
      <c r="R97" s="7">
        <f t="shared" si="64"/>
        <v>1.0761242788364217E-2</v>
      </c>
      <c r="S97" s="2"/>
      <c r="T97" s="6">
        <v>1634.24</v>
      </c>
      <c r="U97" s="2"/>
      <c r="V97" s="7">
        <f t="shared" si="65"/>
        <v>1.5415159648925548E-2</v>
      </c>
      <c r="W97" s="2"/>
      <c r="X97" s="6">
        <f t="shared" si="66"/>
        <v>-50.039999999999964</v>
      </c>
      <c r="Y97" s="2"/>
      <c r="Z97" s="7">
        <f t="shared" si="67"/>
        <v>-3.061973761503816E-2</v>
      </c>
    </row>
    <row r="98" spans="1:26" s="29" customFormat="1" outlineLevel="1" collapsed="1" x14ac:dyDescent="0.3">
      <c r="A98" s="28"/>
      <c r="B98" s="14" t="str">
        <f>CONCATENATE("     ","Travel                                            ")</f>
        <v xml:space="preserve">     Travel                                            </v>
      </c>
      <c r="C98" s="14"/>
      <c r="D98" s="1">
        <f>SUM(OSRRefD22_16x_0)</f>
        <v>0</v>
      </c>
      <c r="E98" s="1"/>
      <c r="F98" s="5">
        <f t="shared" si="60"/>
        <v>0</v>
      </c>
      <c r="G98" s="1"/>
      <c r="H98" s="1">
        <f>SUM(OSRRefH22_16x_0)</f>
        <v>0</v>
      </c>
      <c r="I98" s="1"/>
      <c r="J98" s="5">
        <f t="shared" si="61"/>
        <v>0</v>
      </c>
      <c r="K98" s="1"/>
      <c r="L98" s="1">
        <f t="shared" si="62"/>
        <v>0</v>
      </c>
      <c r="M98" s="1"/>
      <c r="N98" s="5">
        <f t="shared" si="63"/>
        <v>0</v>
      </c>
      <c r="O98" s="14"/>
      <c r="P98" s="1">
        <f>SUM(OSRRefP22_16x_0)</f>
        <v>175.21</v>
      </c>
      <c r="Q98" s="1"/>
      <c r="R98" s="5">
        <f t="shared" si="64"/>
        <v>1.1901763343954643E-3</v>
      </c>
      <c r="S98" s="1"/>
      <c r="T98" s="1">
        <f>SUM(OSRRefT22_16x_0)</f>
        <v>321.88</v>
      </c>
      <c r="U98" s="1"/>
      <c r="V98" s="5">
        <f t="shared" si="65"/>
        <v>3.0361706896148396E-3</v>
      </c>
      <c r="W98" s="1"/>
      <c r="X98" s="1">
        <f t="shared" si="66"/>
        <v>-146.66999999999999</v>
      </c>
      <c r="Y98" s="1"/>
      <c r="Z98" s="5">
        <f t="shared" si="67"/>
        <v>-0.4556667080899714</v>
      </c>
    </row>
    <row r="99" spans="1:26" s="24" customFormat="1" hidden="1" outlineLevel="2" x14ac:dyDescent="0.3">
      <c r="A99" s="27"/>
      <c r="B99" s="11" t="str">
        <f>CONCATENATE("          ", "6294", " - ", "TRAVEL OPERATIONAL")</f>
        <v xml:space="preserve">          6294 - TRAVEL OPERATIONAL</v>
      </c>
      <c r="C99" s="11"/>
      <c r="D99" s="6"/>
      <c r="E99" s="2"/>
      <c r="F99" s="7">
        <f t="shared" si="60"/>
        <v>0</v>
      </c>
      <c r="G99" s="2"/>
      <c r="H99" s="6"/>
      <c r="I99" s="2"/>
      <c r="J99" s="7">
        <f t="shared" si="61"/>
        <v>0</v>
      </c>
      <c r="K99" s="2"/>
      <c r="L99" s="6">
        <f t="shared" si="62"/>
        <v>0</v>
      </c>
      <c r="M99" s="2"/>
      <c r="N99" s="7">
        <f t="shared" si="63"/>
        <v>0</v>
      </c>
      <c r="O99" s="11"/>
      <c r="P99" s="6">
        <v>175.21</v>
      </c>
      <c r="Q99" s="2"/>
      <c r="R99" s="7">
        <f t="shared" si="64"/>
        <v>1.1901763343954643E-3</v>
      </c>
      <c r="S99" s="2"/>
      <c r="T99" s="6">
        <v>321.88</v>
      </c>
      <c r="U99" s="2"/>
      <c r="V99" s="7">
        <f t="shared" si="65"/>
        <v>3.0361706896148396E-3</v>
      </c>
      <c r="W99" s="2"/>
      <c r="X99" s="6">
        <f t="shared" si="66"/>
        <v>-146.66999999999999</v>
      </c>
      <c r="Y99" s="2"/>
      <c r="Z99" s="7">
        <f t="shared" si="67"/>
        <v>-0.4556667080899714</v>
      </c>
    </row>
    <row r="100" spans="1:26" s="29" customFormat="1" outlineLevel="1" collapsed="1" x14ac:dyDescent="0.3">
      <c r="A100" s="28"/>
      <c r="B100" s="14" t="str">
        <f>CONCATENATE("     ","Utilities                                         ")</f>
        <v xml:space="preserve">     Utilities                                         </v>
      </c>
      <c r="C100" s="14"/>
      <c r="D100" s="1">
        <f>SUM(OSRRefD22_17x_0)</f>
        <v>33.61</v>
      </c>
      <c r="E100" s="1"/>
      <c r="F100" s="5">
        <f t="shared" si="60"/>
        <v>1.1437894039022923E-3</v>
      </c>
      <c r="G100" s="1"/>
      <c r="H100" s="1">
        <f>SUM(OSRRefH22_17x_0)</f>
        <v>17.38</v>
      </c>
      <c r="I100" s="1"/>
      <c r="J100" s="5">
        <f t="shared" si="61"/>
        <v>9.8787831249012381E-4</v>
      </c>
      <c r="K100" s="1"/>
      <c r="L100" s="1">
        <f t="shared" si="62"/>
        <v>16.23</v>
      </c>
      <c r="M100" s="1"/>
      <c r="N100" s="5">
        <f t="shared" si="63"/>
        <v>0.93383199079401624</v>
      </c>
      <c r="O100" s="14"/>
      <c r="P100" s="1">
        <f>SUM(OSRRefP22_17x_0)</f>
        <v>183.59</v>
      </c>
      <c r="Q100" s="1"/>
      <c r="R100" s="5">
        <f t="shared" si="64"/>
        <v>1.2471004693320204E-3</v>
      </c>
      <c r="S100" s="1"/>
      <c r="T100" s="1">
        <f>SUM(OSRRefT22_17x_0)</f>
        <v>101.79</v>
      </c>
      <c r="U100" s="1"/>
      <c r="V100" s="5">
        <f t="shared" si="65"/>
        <v>9.6014606218433748E-4</v>
      </c>
      <c r="W100" s="1"/>
      <c r="X100" s="1">
        <f t="shared" si="66"/>
        <v>81.8</v>
      </c>
      <c r="Y100" s="1"/>
      <c r="Z100" s="5">
        <f t="shared" si="67"/>
        <v>0.803615286373907</v>
      </c>
    </row>
    <row r="101" spans="1:26" s="24" customFormat="1" hidden="1" outlineLevel="2" x14ac:dyDescent="0.3">
      <c r="A101" s="27"/>
      <c r="B101" s="11" t="str">
        <f>CONCATENATE("          ", "6274", " - ", "UTILITIES")</f>
        <v xml:space="preserve">          6274 - UTILITIES</v>
      </c>
      <c r="C101" s="11"/>
      <c r="D101" s="6">
        <v>33.61</v>
      </c>
      <c r="E101" s="2"/>
      <c r="F101" s="7">
        <f t="shared" si="60"/>
        <v>1.1437894039022923E-3</v>
      </c>
      <c r="G101" s="2"/>
      <c r="H101" s="6">
        <v>17.38</v>
      </c>
      <c r="I101" s="2"/>
      <c r="J101" s="7">
        <f t="shared" si="61"/>
        <v>9.8787831249012381E-4</v>
      </c>
      <c r="K101" s="2"/>
      <c r="L101" s="6">
        <f t="shared" si="62"/>
        <v>16.23</v>
      </c>
      <c r="M101" s="2"/>
      <c r="N101" s="7">
        <f t="shared" si="63"/>
        <v>0.93383199079401624</v>
      </c>
      <c r="O101" s="11"/>
      <c r="P101" s="6">
        <v>183.59</v>
      </c>
      <c r="Q101" s="2"/>
      <c r="R101" s="7">
        <f t="shared" si="64"/>
        <v>1.2471004693320204E-3</v>
      </c>
      <c r="S101" s="2"/>
      <c r="T101" s="6">
        <v>101.79</v>
      </c>
      <c r="U101" s="2"/>
      <c r="V101" s="7">
        <f t="shared" si="65"/>
        <v>9.6014606218433748E-4</v>
      </c>
      <c r="W101" s="2"/>
      <c r="X101" s="6">
        <f t="shared" si="66"/>
        <v>81.8</v>
      </c>
      <c r="Y101" s="2"/>
      <c r="Z101" s="7">
        <f t="shared" si="67"/>
        <v>0.803615286373907</v>
      </c>
    </row>
    <row r="102" spans="1:26" s="62" customFormat="1" x14ac:dyDescent="0.3">
      <c r="A102" s="37"/>
      <c r="B102" s="37"/>
      <c r="C102" s="37"/>
      <c r="D102" s="1"/>
      <c r="E102" s="1"/>
      <c r="F102" s="5"/>
      <c r="G102" s="1"/>
      <c r="H102" s="1"/>
      <c r="I102" s="1"/>
      <c r="J102" s="5"/>
      <c r="K102" s="1"/>
      <c r="L102" s="1"/>
      <c r="M102" s="1"/>
      <c r="N102" s="5"/>
      <c r="O102" s="37"/>
      <c r="P102" s="1"/>
      <c r="Q102" s="1"/>
      <c r="R102" s="5"/>
      <c r="S102" s="1"/>
      <c r="T102" s="1"/>
      <c r="U102" s="1"/>
      <c r="V102" s="5"/>
      <c r="W102" s="1"/>
      <c r="X102" s="1"/>
      <c r="Y102" s="1"/>
      <c r="Z102" s="5"/>
    </row>
    <row r="103" spans="1:26" s="23" customFormat="1" x14ac:dyDescent="0.3">
      <c r="A103" s="10"/>
      <c r="B103" s="26" t="s">
        <v>292</v>
      </c>
      <c r="C103" s="10"/>
      <c r="D103" s="4">
        <f>SUM(0)</f>
        <v>0</v>
      </c>
      <c r="E103" s="4"/>
      <c r="F103" s="12">
        <f>IF(D$12=0,0,D103/D$12)</f>
        <v>0</v>
      </c>
      <c r="G103" s="4"/>
      <c r="H103" s="4">
        <f>SUM(0)</f>
        <v>0</v>
      </c>
      <c r="I103" s="4"/>
      <c r="J103" s="12">
        <f>IF(H$12=0,0,H103/H$12)</f>
        <v>0</v>
      </c>
      <c r="K103" s="4"/>
      <c r="L103" s="4">
        <f>+D103-H103</f>
        <v>0</v>
      </c>
      <c r="M103" s="4"/>
      <c r="N103" s="12">
        <f>IF(H103=0,0,L103/H103)</f>
        <v>0</v>
      </c>
      <c r="O103" s="10"/>
      <c r="P103" s="4">
        <f>SUM(0)</f>
        <v>0</v>
      </c>
      <c r="Q103" s="4"/>
      <c r="R103" s="12">
        <f>IF(P$12=0,0,P103/P$12)</f>
        <v>0</v>
      </c>
      <c r="S103" s="4"/>
      <c r="T103" s="4">
        <f>SUM(0)</f>
        <v>0</v>
      </c>
      <c r="U103" s="4"/>
      <c r="V103" s="12">
        <f>IF(T$12=0,0,T103/T$12)</f>
        <v>0</v>
      </c>
      <c r="W103" s="4"/>
      <c r="X103" s="4">
        <f>+P103-T103</f>
        <v>0</v>
      </c>
      <c r="Y103" s="4"/>
      <c r="Z103" s="12">
        <f>IF(T103=0,0,X103/T103)</f>
        <v>0</v>
      </c>
    </row>
    <row r="104" spans="1:26" x14ac:dyDescent="0.3">
      <c r="A104" s="9"/>
      <c r="B104" s="10"/>
      <c r="C104" s="10"/>
      <c r="D104" s="3"/>
      <c r="E104" s="3"/>
      <c r="F104" s="8"/>
      <c r="G104" s="3"/>
      <c r="H104" s="3"/>
      <c r="I104" s="3"/>
      <c r="J104" s="8"/>
      <c r="K104" s="3"/>
      <c r="L104" s="3"/>
      <c r="M104" s="3"/>
      <c r="N104" s="8"/>
      <c r="O104" s="10"/>
      <c r="P104" s="3"/>
      <c r="Q104" s="3"/>
      <c r="R104" s="8"/>
      <c r="S104" s="3"/>
      <c r="T104" s="3"/>
      <c r="U104" s="3"/>
      <c r="V104" s="8"/>
      <c r="W104" s="3"/>
      <c r="X104" s="3"/>
      <c r="Y104" s="3"/>
      <c r="Z104" s="8"/>
    </row>
    <row r="105" spans="1:26" s="23" customFormat="1" x14ac:dyDescent="0.3">
      <c r="A105" s="10"/>
      <c r="B105" s="25" t="s">
        <v>276</v>
      </c>
      <c r="C105" s="25"/>
      <c r="D105" s="21">
        <f>+D45-D47+D103</f>
        <v>-2534.2500000000055</v>
      </c>
      <c r="E105" s="13"/>
      <c r="F105" s="22">
        <f>IF(D$12=0,0,D105/D$12)</f>
        <v>-8.6243626802719145E-2</v>
      </c>
      <c r="G105" s="13"/>
      <c r="H105" s="21">
        <f>+H45-H47+H103</f>
        <v>-11248.570000000003</v>
      </c>
      <c r="I105" s="13"/>
      <c r="J105" s="22">
        <f>IF(H$12=0,0,H105/H$12)</f>
        <v>-0.63936814439165923</v>
      </c>
      <c r="K105" s="16"/>
      <c r="L105" s="21">
        <f>+D105-H105</f>
        <v>8714.3199999999979</v>
      </c>
      <c r="M105" s="16"/>
      <c r="N105" s="22">
        <f>IF(H105=0,0,L105/H105)</f>
        <v>-0.7747046957968875</v>
      </c>
      <c r="O105" s="26"/>
      <c r="P105" s="21">
        <f>+P45-P47+P103</f>
        <v>-7143.4100000000035</v>
      </c>
      <c r="Q105" s="13"/>
      <c r="R105" s="22">
        <f>IF(P$12=0,0,P105/P$12)</f>
        <v>-4.852415689106733E-2</v>
      </c>
      <c r="S105" s="13"/>
      <c r="T105" s="21">
        <f>+T45-T47+T103</f>
        <v>-44024.670000000013</v>
      </c>
      <c r="U105" s="13"/>
      <c r="V105" s="22">
        <f>IF(T$12=0,0,T105/T$12)</f>
        <v>-0.41526784104003284</v>
      </c>
      <c r="W105" s="16"/>
      <c r="X105" s="21">
        <f>+P105-T105</f>
        <v>36881.260000000009</v>
      </c>
      <c r="Y105" s="16"/>
      <c r="Z105" s="22">
        <f>IF(T105=0,0,X105/T105)</f>
        <v>-0.83774074853939839</v>
      </c>
    </row>
    <row r="106" spans="1:26" x14ac:dyDescent="0.3">
      <c r="A106" s="9"/>
      <c r="B106" s="10"/>
      <c r="C106" s="9"/>
      <c r="D106" s="3"/>
      <c r="E106" s="3"/>
      <c r="F106" s="8"/>
      <c r="G106" s="3"/>
      <c r="H106" s="3"/>
      <c r="I106" s="3"/>
      <c r="J106" s="8"/>
      <c r="K106" s="3"/>
      <c r="L106" s="3"/>
      <c r="M106" s="3"/>
      <c r="N106" s="8"/>
      <c r="P106" s="3"/>
      <c r="Q106" s="3"/>
      <c r="R106" s="8"/>
      <c r="S106" s="3"/>
      <c r="T106" s="3"/>
      <c r="U106" s="3"/>
      <c r="V106" s="8"/>
      <c r="W106" s="3"/>
      <c r="X106" s="3"/>
      <c r="Y106" s="3"/>
      <c r="Z106" s="8"/>
    </row>
    <row r="107" spans="1:26" s="23" customFormat="1" x14ac:dyDescent="0.3">
      <c r="A107" s="51"/>
      <c r="B107" s="10" t="s">
        <v>127</v>
      </c>
      <c r="C107" s="10"/>
      <c r="D107" s="4">
        <v>3914.83</v>
      </c>
      <c r="E107" s="4"/>
      <c r="F107" s="12">
        <f>IF(D$12=0,0,D107/D$12)</f>
        <v>0.13322645260573671</v>
      </c>
      <c r="G107" s="4"/>
      <c r="H107" s="4">
        <v>-2308.27</v>
      </c>
      <c r="I107" s="4"/>
      <c r="J107" s="12">
        <f>IF(H$12=0,0,H107/H$12)</f>
        <v>-0.13120194892816905</v>
      </c>
      <c r="K107" s="4"/>
      <c r="L107" s="4">
        <f>+D107-H107</f>
        <v>6223.1</v>
      </c>
      <c r="M107" s="4"/>
      <c r="N107" s="12">
        <f>IF(H107=0,0,L107/H107)</f>
        <v>-2.6960017675575214</v>
      </c>
      <c r="O107" s="10"/>
      <c r="P107" s="4">
        <v>17534.849999999999</v>
      </c>
      <c r="Q107" s="4"/>
      <c r="R107" s="12">
        <f>IF(P$12=0,0,P107/P$12)</f>
        <v>0.11911171449788428</v>
      </c>
      <c r="S107" s="4"/>
      <c r="T107" s="4">
        <v>16845.810000000001</v>
      </c>
      <c r="U107" s="4"/>
      <c r="V107" s="12">
        <f>IF(T$12=0,0,T107/T$12)</f>
        <v>0.15890007010320792</v>
      </c>
      <c r="W107" s="4"/>
      <c r="X107" s="4">
        <f>+P107-T107</f>
        <v>689.03999999999724</v>
      </c>
      <c r="Y107" s="4"/>
      <c r="Z107" s="12">
        <f>IF(T107=0,0,X107/T107)</f>
        <v>4.0902752672622875E-2</v>
      </c>
    </row>
    <row r="108" spans="1:26" x14ac:dyDescent="0.3">
      <c r="A108" s="9"/>
      <c r="B108" s="10"/>
      <c r="C108" s="10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O108" s="10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35">
      <c r="A109" s="10"/>
      <c r="B109" s="25" t="s">
        <v>125</v>
      </c>
      <c r="C109" s="25"/>
      <c r="D109" s="35">
        <f>+D105-D107</f>
        <v>-6449.0800000000054</v>
      </c>
      <c r="E109" s="13"/>
      <c r="F109" s="31">
        <f>IF(D$12=0,0,D109/D$12)</f>
        <v>-0.21947007940845586</v>
      </c>
      <c r="G109" s="13"/>
      <c r="H109" s="35">
        <f>+H105-H107</f>
        <v>-8940.3000000000029</v>
      </c>
      <c r="I109" s="13"/>
      <c r="J109" s="31">
        <f>IF(H$12=0,0,H109/H$12)</f>
        <v>-0.50816619546349007</v>
      </c>
      <c r="K109" s="16"/>
      <c r="L109" s="35">
        <f>D109-H109</f>
        <v>2491.2199999999975</v>
      </c>
      <c r="M109" s="16"/>
      <c r="N109" s="31">
        <f>IF(H109=0,0,L109/H109)</f>
        <v>-0.27865060456584195</v>
      </c>
      <c r="O109" s="26"/>
      <c r="P109" s="35">
        <f>+P105-P107</f>
        <v>-24678.260000000002</v>
      </c>
      <c r="Q109" s="13"/>
      <c r="R109" s="31">
        <f>IF(P$12=0,0,P109/P$12)</f>
        <v>-0.16763587138895161</v>
      </c>
      <c r="S109" s="13"/>
      <c r="T109" s="35">
        <f>+T105-T107</f>
        <v>-60870.48000000001</v>
      </c>
      <c r="U109" s="13"/>
      <c r="V109" s="31">
        <f>IF(T$12=0,0,T109/T$12)</f>
        <v>-0.57416791114324073</v>
      </c>
      <c r="W109" s="16"/>
      <c r="X109" s="35">
        <f>P109-T109</f>
        <v>36192.220000000008</v>
      </c>
      <c r="Y109" s="16"/>
      <c r="Z109" s="31">
        <f>IF(T109=0,0,X109/T109)</f>
        <v>-0.59457753577760519</v>
      </c>
    </row>
    <row r="110" spans="1:26" ht="15" thickTop="1" x14ac:dyDescent="0.3">
      <c r="A110" s="9"/>
      <c r="B110" s="9"/>
      <c r="C110" s="9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x14ac:dyDescent="0.3">
      <c r="A111" s="9"/>
      <c r="B111" s="9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ht="15" thickBot="1" x14ac:dyDescent="0.35">
      <c r="A112" s="10"/>
      <c r="B112" s="25" t="s">
        <v>293</v>
      </c>
      <c r="C112" s="25"/>
      <c r="D112" s="36">
        <f>SUM(D109:D111)</f>
        <v>-6449.0800000000054</v>
      </c>
      <c r="E112" s="13"/>
      <c r="F112" s="33">
        <f>IF(D$12=0,0,D112/D$12)</f>
        <v>-0.21947007940845586</v>
      </c>
      <c r="G112" s="13"/>
      <c r="H112" s="36">
        <f>SUM(H109:H111)</f>
        <v>-8940.3000000000029</v>
      </c>
      <c r="I112" s="13"/>
      <c r="J112" s="33">
        <f>IF(H$12=0,0,H112/H$12)</f>
        <v>-0.50816619546349007</v>
      </c>
      <c r="K112" s="16"/>
      <c r="L112" s="36">
        <f>+D112-H112</f>
        <v>2491.2199999999975</v>
      </c>
      <c r="M112" s="16"/>
      <c r="N112" s="33">
        <f>IF(H112=0,0,L112/H112)</f>
        <v>-0.27865060456584195</v>
      </c>
      <c r="O112" s="26"/>
      <c r="P112" s="36">
        <f>SUM(P109:P111)</f>
        <v>-24678.260000000002</v>
      </c>
      <c r="Q112" s="13"/>
      <c r="R112" s="33">
        <f>IF(P$12=0,0,P112/P$12)</f>
        <v>-0.16763587138895161</v>
      </c>
      <c r="S112" s="13"/>
      <c r="T112" s="36">
        <f>SUM(T109:T111)</f>
        <v>-60870.48000000001</v>
      </c>
      <c r="U112" s="13"/>
      <c r="V112" s="33">
        <f>IF(T$12=0,0,T112/T$12)</f>
        <v>-0.57416791114324073</v>
      </c>
      <c r="W112" s="16"/>
      <c r="X112" s="36">
        <f>+P112-T112</f>
        <v>36192.220000000008</v>
      </c>
      <c r="Y112" s="16"/>
      <c r="Z112" s="33">
        <f>IF(T112=0,0,X112/T112)</f>
        <v>-0.59457753577760519</v>
      </c>
    </row>
    <row r="113" spans="1:24" ht="15" thickTop="1" x14ac:dyDescent="0.3">
      <c r="A113" s="9"/>
      <c r="C113" s="9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">
      <c r="A114" s="9"/>
      <c r="B114" s="52">
        <v>44543.765594675926</v>
      </c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  <row r="115" spans="1:24" x14ac:dyDescent="0.3">
      <c r="A115" s="9"/>
      <c r="B115" s="59" t="s">
        <v>56</v>
      </c>
      <c r="D115" s="17"/>
      <c r="E115" s="17"/>
      <c r="G115" s="17"/>
      <c r="H115" s="17"/>
      <c r="I115" s="17"/>
      <c r="J115" s="42"/>
      <c r="K115" s="17"/>
      <c r="L115" s="17"/>
      <c r="M115" s="17"/>
      <c r="P115" s="17"/>
      <c r="Q115" s="17"/>
      <c r="R115" s="42"/>
      <c r="S115" s="17"/>
      <c r="T115" s="17"/>
      <c r="U115" s="17"/>
      <c r="V115" s="42"/>
      <c r="W115" s="17"/>
      <c r="X115" s="17"/>
    </row>
    <row r="116" spans="1:24" x14ac:dyDescent="0.3">
      <c r="A116" s="9"/>
      <c r="B116" s="61"/>
      <c r="D116" s="17"/>
      <c r="E116" s="17"/>
      <c r="G116" s="17"/>
      <c r="H116" s="17"/>
      <c r="I116" s="17"/>
      <c r="J116" s="42"/>
      <c r="K116" s="17"/>
      <c r="L116" s="17"/>
      <c r="M116" s="17"/>
      <c r="P116" s="17"/>
      <c r="Q116" s="17"/>
      <c r="R116" s="42"/>
      <c r="S116" s="17"/>
      <c r="T116" s="17"/>
      <c r="U116" s="17"/>
      <c r="V116" s="42"/>
      <c r="W116" s="17"/>
      <c r="X116" s="17"/>
    </row>
    <row r="117" spans="1:24" x14ac:dyDescent="0.3">
      <c r="D117" s="17"/>
      <c r="E117" s="17"/>
      <c r="G117" s="17"/>
      <c r="H117" s="17"/>
      <c r="I117" s="17"/>
      <c r="J117" s="42"/>
      <c r="K117" s="17"/>
      <c r="L117" s="17"/>
      <c r="M117" s="17"/>
      <c r="P117" s="17"/>
      <c r="Q117" s="17"/>
      <c r="R117" s="42"/>
      <c r="S117" s="17"/>
      <c r="T117" s="17"/>
      <c r="U117" s="17"/>
      <c r="V117" s="42"/>
      <c r="W117" s="17"/>
      <c r="X117" s="17"/>
    </row>
  </sheetData>
  <pageMargins left="0.25" right="0.25" top="0.75" bottom="0.75" header="0.3" footer="0.3"/>
  <pageSetup scale="55" fitToWidth="2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  <outlinePr summaryBelow="0" summaryRight="0"/>
  </sheetPr>
  <dimension ref="A2:Z9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124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6788.13</v>
      </c>
      <c r="E12" s="4"/>
      <c r="F12" s="12"/>
      <c r="G12" s="4"/>
      <c r="H12" s="4">
        <f>SUM(OSRRefH13x_0)</f>
        <v>1597.9</v>
      </c>
      <c r="I12" s="4"/>
      <c r="J12" s="12"/>
      <c r="K12" s="4"/>
      <c r="L12" s="4">
        <f t="shared" ref="L12:L23" si="0">+D12-H12</f>
        <v>5190.2299999999996</v>
      </c>
      <c r="M12" s="4"/>
      <c r="N12" s="12">
        <f t="shared" ref="N12:N23" si="1">IF(H12=0,0,L12/H12)</f>
        <v>3.2481569560047556</v>
      </c>
      <c r="O12" s="10"/>
      <c r="P12" s="4">
        <f>SUM(OSRRefP13x_0)</f>
        <v>91209</v>
      </c>
      <c r="Q12" s="4"/>
      <c r="R12" s="12"/>
      <c r="S12" s="4"/>
      <c r="T12" s="4">
        <f>SUM(OSRRefT13x_0)</f>
        <v>73572.91</v>
      </c>
      <c r="U12" s="4"/>
      <c r="V12" s="12"/>
      <c r="W12" s="4"/>
      <c r="X12" s="4">
        <f t="shared" ref="X12:X23" si="2">+P12-T12</f>
        <v>17636.089999999997</v>
      </c>
      <c r="Y12" s="4"/>
      <c r="Z12" s="12">
        <f t="shared" ref="Z12:Z23" si="3">IF(T12=0,0,X12/T12)</f>
        <v>0.2397090178980279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--3447.29</f>
        <v>3447.29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3447.29</v>
      </c>
      <c r="M13" s="2"/>
      <c r="N13" s="19">
        <f t="shared" si="1"/>
        <v>0</v>
      </c>
      <c r="O13" s="11"/>
      <c r="P13" s="2">
        <f>--74011.53</f>
        <v>74011.53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74020.179999999993</v>
      </c>
      <c r="Y13" s="2"/>
      <c r="Z13" s="19">
        <f t="shared" si="3"/>
        <v>-8557.246242774565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--323.05</f>
        <v>323.05</v>
      </c>
      <c r="I14" s="2"/>
      <c r="J14" s="19"/>
      <c r="K14" s="2"/>
      <c r="L14" s="2">
        <f t="shared" si="0"/>
        <v>-323.05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--60692.37</f>
        <v>60692.37</v>
      </c>
      <c r="U14" s="2"/>
      <c r="V14" s="19"/>
      <c r="W14" s="2"/>
      <c r="X14" s="2">
        <f t="shared" si="2"/>
        <v>-60692.37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--402.24</f>
        <v>402.24</v>
      </c>
      <c r="I15" s="2"/>
      <c r="J15" s="19"/>
      <c r="K15" s="2"/>
      <c r="L15" s="2">
        <f t="shared" si="0"/>
        <v>-402.24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--11889.82</f>
        <v>11889.82</v>
      </c>
      <c r="U15" s="2"/>
      <c r="V15" s="19"/>
      <c r="W15" s="2"/>
      <c r="X15" s="2">
        <f t="shared" si="2"/>
        <v>-11889.82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 t="shared" ref="H16:H18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--3340.84</f>
        <v>3340.84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3340.84</v>
      </c>
      <c r="M17" s="2"/>
      <c r="N17" s="19">
        <f t="shared" si="1"/>
        <v>0</v>
      </c>
      <c r="O17" s="11"/>
      <c r="P17" s="2">
        <f>--17600.47</f>
        <v>17600.47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17600.47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3" si="7">0</f>
        <v>0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8">0</f>
        <v>0</v>
      </c>
      <c r="Q18" s="2"/>
      <c r="R18" s="19"/>
      <c r="S18" s="2"/>
      <c r="T18" s="2">
        <f>--511.5</f>
        <v>511.5</v>
      </c>
      <c r="U18" s="2"/>
      <c r="V18" s="19"/>
      <c r="W18" s="2"/>
      <c r="X18" s="2">
        <f t="shared" si="2"/>
        <v>-511.5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7"/>
        <v>0</v>
      </c>
      <c r="E19" s="2"/>
      <c r="F19" s="19"/>
      <c r="G19" s="2"/>
      <c r="H19" s="2">
        <f>--859.61</f>
        <v>859.61</v>
      </c>
      <c r="I19" s="2"/>
      <c r="J19" s="19"/>
      <c r="K19" s="2"/>
      <c r="L19" s="2">
        <f t="shared" si="0"/>
        <v>-859.61</v>
      </c>
      <c r="M19" s="2"/>
      <c r="N19" s="19">
        <f t="shared" si="1"/>
        <v>-1</v>
      </c>
      <c r="O19" s="11"/>
      <c r="P19" s="2">
        <f t="shared" si="8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7"/>
        <v>0</v>
      </c>
      <c r="E20" s="2"/>
      <c r="F20" s="19"/>
      <c r="G20" s="2"/>
      <c r="H20" s="2">
        <f>--21.5</f>
        <v>21.5</v>
      </c>
      <c r="I20" s="2"/>
      <c r="J20" s="19"/>
      <c r="K20" s="2"/>
      <c r="L20" s="2">
        <f t="shared" si="0"/>
        <v>-21.5</v>
      </c>
      <c r="M20" s="2"/>
      <c r="N20" s="19">
        <f t="shared" si="1"/>
        <v>-1</v>
      </c>
      <c r="O20" s="11"/>
      <c r="P20" s="2">
        <f t="shared" si="8"/>
        <v>0</v>
      </c>
      <c r="Q20" s="2"/>
      <c r="R20" s="19"/>
      <c r="S20" s="2"/>
      <c r="T20" s="2">
        <f>--108</f>
        <v>108</v>
      </c>
      <c r="U20" s="2"/>
      <c r="V20" s="19"/>
      <c r="W20" s="2"/>
      <c r="X20" s="2">
        <f t="shared" si="2"/>
        <v>-108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7"/>
        <v>0</v>
      </c>
      <c r="E21" s="2"/>
      <c r="F21" s="19"/>
      <c r="G21" s="2"/>
      <c r="H21" s="2">
        <f>--5</f>
        <v>5</v>
      </c>
      <c r="I21" s="2"/>
      <c r="J21" s="19"/>
      <c r="K21" s="2"/>
      <c r="L21" s="2">
        <f t="shared" si="0"/>
        <v>-5</v>
      </c>
      <c r="M21" s="2"/>
      <c r="N21" s="19">
        <f t="shared" si="1"/>
        <v>-1</v>
      </c>
      <c r="O21" s="11"/>
      <c r="P21" s="2">
        <f t="shared" si="8"/>
        <v>0</v>
      </c>
      <c r="Q21" s="2"/>
      <c r="R21" s="19"/>
      <c r="S21" s="2"/>
      <c r="T21" s="2">
        <f>--91.5</f>
        <v>91.5</v>
      </c>
      <c r="U21" s="2"/>
      <c r="V21" s="19"/>
      <c r="W21" s="2"/>
      <c r="X21" s="2">
        <f t="shared" si="2"/>
        <v>-91.5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 t="shared" si="7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si="7"/>
        <v>0</v>
      </c>
      <c r="E23" s="2"/>
      <c r="F23" s="19"/>
      <c r="G23" s="2"/>
      <c r="H23" s="2">
        <f>-13.5</f>
        <v>-13.5</v>
      </c>
      <c r="I23" s="2"/>
      <c r="J23" s="19"/>
      <c r="K23" s="2"/>
      <c r="L23" s="2">
        <f t="shared" si="0"/>
        <v>13.5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-830.2</f>
        <v>-830.2</v>
      </c>
      <c r="U23" s="2"/>
      <c r="V23" s="19"/>
      <c r="W23" s="2"/>
      <c r="X23" s="2">
        <f t="shared" si="2"/>
        <v>830.2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6" t="s">
        <v>256</v>
      </c>
      <c r="C25" s="10"/>
      <c r="D25" s="4">
        <f>SUM(OSRRefD16x_0)</f>
        <v>8.26</v>
      </c>
      <c r="E25" s="4"/>
      <c r="F25" s="12">
        <f t="shared" ref="F25:F28" si="9">IF(D$12=0,0,D25/D$12)</f>
        <v>1.2168299664266889E-3</v>
      </c>
      <c r="G25" s="4"/>
      <c r="H25" s="4">
        <f>SUM(OSRRefH16x_0)</f>
        <v>0</v>
      </c>
      <c r="I25" s="4"/>
      <c r="J25" s="12">
        <f t="shared" ref="J25:J28" si="10">IF(H$12=0,0,H25/H$12)</f>
        <v>0</v>
      </c>
      <c r="K25" s="4"/>
      <c r="L25" s="4">
        <f t="shared" ref="L25:L28" si="11">+D25-H25</f>
        <v>8.26</v>
      </c>
      <c r="M25" s="4"/>
      <c r="N25" s="12">
        <f t="shared" ref="N25:N28" si="12">IF(H25=0,0,L25/H25)</f>
        <v>0</v>
      </c>
      <c r="O25" s="10"/>
      <c r="P25" s="4">
        <f>SUM(OSRRefP16x_0)</f>
        <v>8.26</v>
      </c>
      <c r="Q25" s="4"/>
      <c r="R25" s="12">
        <f t="shared" ref="R25:R28" si="13">IF(P$12=0,0,P25/P$12)</f>
        <v>9.0561238474273371E-5</v>
      </c>
      <c r="S25" s="4"/>
      <c r="T25" s="4">
        <f>SUM(OSRRefT16x_0)</f>
        <v>0</v>
      </c>
      <c r="U25" s="4"/>
      <c r="V25" s="12">
        <f t="shared" ref="V25:V28" si="14">IF(T$12=0,0,T25/T$12)</f>
        <v>0</v>
      </c>
      <c r="W25" s="4"/>
      <c r="X25" s="4">
        <f t="shared" ref="X25:X28" si="15">+P25-T25</f>
        <v>8.26</v>
      </c>
      <c r="Y25" s="4"/>
      <c r="Z25" s="12">
        <f t="shared" ref="Z25:Z28" si="16">IF(T25=0,0,X25/T25)</f>
        <v>0</v>
      </c>
    </row>
    <row r="26" spans="1:26" s="24" customFormat="1" hidden="1" outlineLevel="1" x14ac:dyDescent="0.3">
      <c r="A26" s="44"/>
      <c r="B26" s="11" t="str">
        <f>CONCATENATE("          ", "5092", " - ", "PURCHASES @ COST-GRAD MERCH")</f>
        <v xml:space="preserve">          5092 - PURCHASES @ COST-GRAD MERCH</v>
      </c>
      <c r="C26" s="11"/>
      <c r="D26" s="2"/>
      <c r="E26" s="2"/>
      <c r="F26" s="19">
        <f t="shared" si="9"/>
        <v>0</v>
      </c>
      <c r="G26" s="2"/>
      <c r="H26" s="2"/>
      <c r="I26" s="2"/>
      <c r="J26" s="19">
        <f t="shared" si="10"/>
        <v>0</v>
      </c>
      <c r="K26" s="2"/>
      <c r="L26" s="2">
        <f t="shared" si="11"/>
        <v>0</v>
      </c>
      <c r="M26" s="2"/>
      <c r="N26" s="19">
        <f t="shared" si="12"/>
        <v>0</v>
      </c>
      <c r="O26" s="11"/>
      <c r="P26" s="2"/>
      <c r="Q26" s="2"/>
      <c r="R26" s="19">
        <f t="shared" si="13"/>
        <v>0</v>
      </c>
      <c r="S26" s="2"/>
      <c r="T26" s="2">
        <v>0</v>
      </c>
      <c r="U26" s="2"/>
      <c r="V26" s="19">
        <f t="shared" si="14"/>
        <v>0</v>
      </c>
      <c r="W26" s="2"/>
      <c r="X26" s="2">
        <f t="shared" si="15"/>
        <v>0</v>
      </c>
      <c r="Y26" s="2"/>
      <c r="Z26" s="19">
        <f t="shared" si="16"/>
        <v>0</v>
      </c>
    </row>
    <row r="27" spans="1:26" s="24" customFormat="1" hidden="1" outlineLevel="1" x14ac:dyDescent="0.3">
      <c r="A27" s="44"/>
      <c r="B27" s="11" t="str">
        <f>CONCATENATE("          ", "5500", " - ", "FREIGHT-IN")</f>
        <v xml:space="preserve">          5500 - FREIGHT-IN</v>
      </c>
      <c r="C27" s="11"/>
      <c r="D27" s="2">
        <v>8.26</v>
      </c>
      <c r="E27" s="2"/>
      <c r="F27" s="19">
        <f t="shared" si="9"/>
        <v>1.2168299664266889E-3</v>
      </c>
      <c r="G27" s="2"/>
      <c r="H27" s="2"/>
      <c r="I27" s="2"/>
      <c r="J27" s="19">
        <f t="shared" si="10"/>
        <v>0</v>
      </c>
      <c r="K27" s="2"/>
      <c r="L27" s="2">
        <f t="shared" si="11"/>
        <v>8.26</v>
      </c>
      <c r="M27" s="2"/>
      <c r="N27" s="19">
        <f t="shared" si="12"/>
        <v>0</v>
      </c>
      <c r="O27" s="11"/>
      <c r="P27" s="2">
        <v>8.26</v>
      </c>
      <c r="Q27" s="2"/>
      <c r="R27" s="19">
        <f t="shared" si="13"/>
        <v>9.0561238474273371E-5</v>
      </c>
      <c r="S27" s="2"/>
      <c r="T27" s="2"/>
      <c r="U27" s="2"/>
      <c r="V27" s="19">
        <f t="shared" si="14"/>
        <v>0</v>
      </c>
      <c r="W27" s="2"/>
      <c r="X27" s="2">
        <f t="shared" si="15"/>
        <v>8.26</v>
      </c>
      <c r="Y27" s="2"/>
      <c r="Z27" s="19">
        <f t="shared" si="16"/>
        <v>0</v>
      </c>
    </row>
    <row r="28" spans="1:26" s="24" customFormat="1" hidden="1" outlineLevel="1" x14ac:dyDescent="0.3">
      <c r="A28" s="44"/>
      <c r="B28" s="11" t="str">
        <f>CONCATENATE("          ", "5592", " - ", "FREIGHT-IN-GRAD MERCH")</f>
        <v xml:space="preserve">          5592 - FREIGHT-IN-GRAD MERCH</v>
      </c>
      <c r="C28" s="11"/>
      <c r="D28" s="2"/>
      <c r="E28" s="2"/>
      <c r="F28" s="19">
        <f t="shared" si="9"/>
        <v>0</v>
      </c>
      <c r="G28" s="2"/>
      <c r="H28" s="2"/>
      <c r="I28" s="2"/>
      <c r="J28" s="19">
        <f t="shared" si="10"/>
        <v>0</v>
      </c>
      <c r="K28" s="2"/>
      <c r="L28" s="2">
        <f t="shared" si="11"/>
        <v>0</v>
      </c>
      <c r="M28" s="2"/>
      <c r="N28" s="19">
        <f t="shared" si="12"/>
        <v>0</v>
      </c>
      <c r="O28" s="11"/>
      <c r="P28" s="2"/>
      <c r="Q28" s="2"/>
      <c r="R28" s="19">
        <f t="shared" si="13"/>
        <v>0</v>
      </c>
      <c r="S28" s="2"/>
      <c r="T28" s="2">
        <v>0</v>
      </c>
      <c r="U28" s="2"/>
      <c r="V28" s="19">
        <f t="shared" si="14"/>
        <v>0</v>
      </c>
      <c r="W28" s="2"/>
      <c r="X28" s="2">
        <f t="shared" si="15"/>
        <v>0</v>
      </c>
      <c r="Y28" s="2"/>
      <c r="Z28" s="19">
        <f t="shared" si="16"/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107</v>
      </c>
      <c r="C30" s="25"/>
      <c r="D30" s="21">
        <f>D12-D25</f>
        <v>6779.87</v>
      </c>
      <c r="E30" s="13"/>
      <c r="F30" s="22">
        <f>IF(D$12=0,0,D30/D$12)</f>
        <v>0.99878317003357331</v>
      </c>
      <c r="G30" s="13"/>
      <c r="H30" s="21">
        <f>H12-H25</f>
        <v>1597.9</v>
      </c>
      <c r="I30" s="13"/>
      <c r="J30" s="22">
        <f>IF(H$12=0,0,H30/H$12)</f>
        <v>1</v>
      </c>
      <c r="K30" s="16"/>
      <c r="L30" s="21">
        <f>+D30-H30</f>
        <v>5181.9699999999993</v>
      </c>
      <c r="M30" s="16"/>
      <c r="N30" s="22">
        <f>IF(H30=0,0,L30/H30)</f>
        <v>3.242987671318605</v>
      </c>
      <c r="O30" s="26"/>
      <c r="P30" s="21">
        <f>P12-P25</f>
        <v>91200.74</v>
      </c>
      <c r="Q30" s="13"/>
      <c r="R30" s="22">
        <f>IF(P$12=0,0,P30/P$12)</f>
        <v>0.99990943876152583</v>
      </c>
      <c r="S30" s="13"/>
      <c r="T30" s="21">
        <f>T12-T25</f>
        <v>73572.91</v>
      </c>
      <c r="U30" s="13"/>
      <c r="V30" s="22">
        <f>IF(T$12=0,0,T30/T$12)</f>
        <v>1</v>
      </c>
      <c r="W30" s="16"/>
      <c r="X30" s="21">
        <f>+P30-T30</f>
        <v>17627.830000000002</v>
      </c>
      <c r="Y30" s="16"/>
      <c r="Z30" s="22">
        <f>IF(T30=0,0,X30/T30)</f>
        <v>0.23959674831401939</v>
      </c>
    </row>
    <row r="31" spans="1:26" x14ac:dyDescent="0.3">
      <c r="A31" s="9"/>
      <c r="B31" s="10"/>
      <c r="C31" s="9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6" t="s">
        <v>294</v>
      </c>
      <c r="C32" s="10"/>
      <c r="D32" s="20">
        <f>SUM(OSRRefD22x_0)</f>
        <v>12008.600000000002</v>
      </c>
      <c r="E32" s="20"/>
      <c r="F32" s="32">
        <f t="shared" ref="F32:F41" si="17">IF(D$12=0,0,D32/D$12)</f>
        <v>1.7690586361781524</v>
      </c>
      <c r="G32" s="20"/>
      <c r="H32" s="20">
        <f>SUM(OSRRefH22x_0)</f>
        <v>39180.050000000003</v>
      </c>
      <c r="I32" s="20"/>
      <c r="J32" s="32">
        <f t="shared" ref="J32:J41" si="18">IF(H$12=0,0,H32/H$12)</f>
        <v>24.519713373803118</v>
      </c>
      <c r="K32" s="4"/>
      <c r="L32" s="20">
        <f t="shared" ref="L32:L41" si="19">+D32-H32</f>
        <v>-27171.45</v>
      </c>
      <c r="M32" s="4"/>
      <c r="N32" s="32">
        <f t="shared" ref="N32:N41" si="20">IF(H32=0,0,L32/H32)</f>
        <v>-0.69350217776649081</v>
      </c>
      <c r="O32" s="10"/>
      <c r="P32" s="20">
        <f>SUM(OSRRefP22x_0)</f>
        <v>125373.06999999998</v>
      </c>
      <c r="Q32" s="20"/>
      <c r="R32" s="32">
        <f t="shared" ref="R32:R41" si="21">IF(P$12=0,0,P32/P$12)</f>
        <v>1.3745690666491244</v>
      </c>
      <c r="S32" s="20"/>
      <c r="T32" s="20">
        <f>SUM(OSRRefT22x_0)</f>
        <v>160185.73999999993</v>
      </c>
      <c r="U32" s="20"/>
      <c r="V32" s="32">
        <f t="shared" ref="V32:V41" si="22">IF(T$12=0,0,T32/T$12)</f>
        <v>2.1772380622161056</v>
      </c>
      <c r="W32" s="4"/>
      <c r="X32" s="20">
        <f t="shared" ref="X32:X41" si="23">+P32-T32</f>
        <v>-34812.669999999955</v>
      </c>
      <c r="Y32" s="4"/>
      <c r="Z32" s="32">
        <f t="shared" ref="Z32:Z41" si="24">IF(T32=0,0,X32/T32)</f>
        <v>-0.21732689813712489</v>
      </c>
    </row>
    <row r="33" spans="1:26" s="29" customFormat="1" outlineLevel="1" collapsed="1" x14ac:dyDescent="0.3">
      <c r="A33" s="28"/>
      <c r="B33" s="14" t="str">
        <f>CONCATENATE("     ","*Benefits                                         ")</f>
        <v xml:space="preserve">     *Benefits                                         </v>
      </c>
      <c r="C33" s="14"/>
      <c r="D33" s="1">
        <f>SUM(OSRRefD22_0x_0)</f>
        <v>11414.57</v>
      </c>
      <c r="E33" s="1"/>
      <c r="F33" s="5">
        <f t="shared" si="17"/>
        <v>1.6815485266192602</v>
      </c>
      <c r="G33" s="1"/>
      <c r="H33" s="1">
        <f>SUM(OSRRefH22_0x_0)</f>
        <v>9539.5300000000007</v>
      </c>
      <c r="I33" s="1"/>
      <c r="J33" s="5">
        <f t="shared" si="18"/>
        <v>5.9700419300331689</v>
      </c>
      <c r="K33" s="1"/>
      <c r="L33" s="1">
        <f t="shared" si="19"/>
        <v>1875.0399999999991</v>
      </c>
      <c r="M33" s="1"/>
      <c r="N33" s="5">
        <f t="shared" si="20"/>
        <v>0.19655475689053853</v>
      </c>
      <c r="O33" s="14"/>
      <c r="P33" s="1">
        <f>SUM(OSRRefP22_0x_0)</f>
        <v>47835.28</v>
      </c>
      <c r="Q33" s="1"/>
      <c r="R33" s="5">
        <f t="shared" si="21"/>
        <v>0.52445789340964155</v>
      </c>
      <c r="S33" s="1"/>
      <c r="T33" s="1">
        <f>SUM(OSRRefT22_0x_0)</f>
        <v>45812.57</v>
      </c>
      <c r="U33" s="1"/>
      <c r="V33" s="5">
        <f t="shared" si="22"/>
        <v>0.62268258792536546</v>
      </c>
      <c r="W33" s="1"/>
      <c r="X33" s="1">
        <f t="shared" si="23"/>
        <v>2022.7099999999991</v>
      </c>
      <c r="Y33" s="1"/>
      <c r="Z33" s="5">
        <f t="shared" si="24"/>
        <v>4.4151856139046534E-2</v>
      </c>
    </row>
    <row r="34" spans="1:26" s="24" customFormat="1" hidden="1" outlineLevel="2" x14ac:dyDescent="0.3">
      <c r="A34" s="27"/>
      <c r="B34" s="11" t="str">
        <f>CONCATENATE("          ", "6111", " - ", "F.I.C.A.")</f>
        <v xml:space="preserve">          6111 - F.I.C.A.</v>
      </c>
      <c r="C34" s="11"/>
      <c r="D34" s="6">
        <v>2780.09</v>
      </c>
      <c r="E34" s="2"/>
      <c r="F34" s="7">
        <f t="shared" si="17"/>
        <v>0.40955167328851982</v>
      </c>
      <c r="G34" s="2"/>
      <c r="H34" s="6">
        <v>1062.21</v>
      </c>
      <c r="I34" s="2"/>
      <c r="J34" s="7">
        <f t="shared" si="18"/>
        <v>0.66475373928280868</v>
      </c>
      <c r="K34" s="2"/>
      <c r="L34" s="6">
        <f t="shared" si="19"/>
        <v>1717.88</v>
      </c>
      <c r="M34" s="2"/>
      <c r="N34" s="7">
        <f t="shared" si="20"/>
        <v>1.6172696547763625</v>
      </c>
      <c r="O34" s="11"/>
      <c r="P34" s="6">
        <v>8471.68</v>
      </c>
      <c r="Q34" s="2"/>
      <c r="R34" s="7">
        <f t="shared" si="21"/>
        <v>9.2882062077207297E-2</v>
      </c>
      <c r="S34" s="2"/>
      <c r="T34" s="6">
        <v>6620.47</v>
      </c>
      <c r="U34" s="2"/>
      <c r="V34" s="7">
        <f t="shared" si="22"/>
        <v>8.9985158939615131E-2</v>
      </c>
      <c r="W34" s="2"/>
      <c r="X34" s="6">
        <f t="shared" si="23"/>
        <v>1851.21</v>
      </c>
      <c r="Y34" s="2"/>
      <c r="Z34" s="7">
        <f t="shared" si="24"/>
        <v>0.27961912069686895</v>
      </c>
    </row>
    <row r="35" spans="1:26" s="24" customFormat="1" hidden="1" outlineLevel="2" x14ac:dyDescent="0.3">
      <c r="A35" s="27"/>
      <c r="B35" s="11" t="str">
        <f>CONCATENATE("          ", "6112", " - ", "COMPENSATION INSURANCE")</f>
        <v xml:space="preserve">          6112 - COMPENSATION INSURANCE</v>
      </c>
      <c r="C35" s="11"/>
      <c r="D35" s="6">
        <v>567.87</v>
      </c>
      <c r="E35" s="2"/>
      <c r="F35" s="7">
        <f t="shared" si="17"/>
        <v>8.3656323611952035E-2</v>
      </c>
      <c r="G35" s="2"/>
      <c r="H35" s="6">
        <v>556.65</v>
      </c>
      <c r="I35" s="2"/>
      <c r="J35" s="7">
        <f t="shared" si="18"/>
        <v>0.34836347706364601</v>
      </c>
      <c r="K35" s="2"/>
      <c r="L35" s="6">
        <f t="shared" si="19"/>
        <v>11.220000000000027</v>
      </c>
      <c r="M35" s="2"/>
      <c r="N35" s="7">
        <f t="shared" si="20"/>
        <v>2.015629210455408E-2</v>
      </c>
      <c r="O35" s="11"/>
      <c r="P35" s="6">
        <v>1838.04</v>
      </c>
      <c r="Q35" s="2"/>
      <c r="R35" s="7">
        <f t="shared" si="21"/>
        <v>2.0151958688287341E-2</v>
      </c>
      <c r="S35" s="2"/>
      <c r="T35" s="6">
        <v>1787.3</v>
      </c>
      <c r="U35" s="2"/>
      <c r="V35" s="7">
        <f t="shared" si="22"/>
        <v>2.429290889812568E-2</v>
      </c>
      <c r="W35" s="2"/>
      <c r="X35" s="6">
        <f t="shared" si="23"/>
        <v>50.740000000000009</v>
      </c>
      <c r="Y35" s="2"/>
      <c r="Z35" s="7">
        <f t="shared" si="24"/>
        <v>2.8389190398925759E-2</v>
      </c>
    </row>
    <row r="36" spans="1:26" s="24" customFormat="1" hidden="1" outlineLevel="2" x14ac:dyDescent="0.3">
      <c r="A36" s="27"/>
      <c r="B36" s="11" t="str">
        <f>CONCATENATE("          ", "6113", " - ", "GROUP INSURANCE")</f>
        <v xml:space="preserve">          6113 - GROUP INSURANCE</v>
      </c>
      <c r="C36" s="11"/>
      <c r="D36" s="6">
        <v>2817.93</v>
      </c>
      <c r="E36" s="2"/>
      <c r="F36" s="7">
        <f t="shared" si="17"/>
        <v>0.41512610984173842</v>
      </c>
      <c r="G36" s="2"/>
      <c r="H36" s="6">
        <v>3423.78</v>
      </c>
      <c r="I36" s="2"/>
      <c r="J36" s="7">
        <f t="shared" si="18"/>
        <v>2.1426747606233181</v>
      </c>
      <c r="K36" s="2"/>
      <c r="L36" s="6">
        <f t="shared" si="19"/>
        <v>-605.85000000000036</v>
      </c>
      <c r="M36" s="2"/>
      <c r="N36" s="7">
        <f t="shared" si="20"/>
        <v>-0.17695354257574972</v>
      </c>
      <c r="O36" s="11"/>
      <c r="P36" s="6">
        <v>16492.599999999999</v>
      </c>
      <c r="Q36" s="2"/>
      <c r="R36" s="7">
        <f t="shared" si="21"/>
        <v>0.18082206799767564</v>
      </c>
      <c r="S36" s="2"/>
      <c r="T36" s="6">
        <v>16317.55</v>
      </c>
      <c r="U36" s="2"/>
      <c r="V36" s="7">
        <f t="shared" si="22"/>
        <v>0.22178747585218525</v>
      </c>
      <c r="W36" s="2"/>
      <c r="X36" s="6">
        <f t="shared" si="23"/>
        <v>175.04999999999927</v>
      </c>
      <c r="Y36" s="2"/>
      <c r="Z36" s="7">
        <f t="shared" si="24"/>
        <v>1.0727713412859117E-2</v>
      </c>
    </row>
    <row r="37" spans="1:26" s="24" customFormat="1" hidden="1" outlineLevel="2" x14ac:dyDescent="0.3">
      <c r="A37" s="27"/>
      <c r="B37" s="11" t="str">
        <f>CONCATENATE("          ", "6114", " - ", "STATE UNEMPLOYMENT INSURANCE")</f>
        <v xml:space="preserve">          6114 - STATE UNEMPLOYMENT INSURANCE</v>
      </c>
      <c r="C37" s="11"/>
      <c r="D37" s="6">
        <v>99.76</v>
      </c>
      <c r="E37" s="2"/>
      <c r="F37" s="7">
        <f t="shared" si="17"/>
        <v>1.4696241822121852E-2</v>
      </c>
      <c r="G37" s="2"/>
      <c r="H37" s="6">
        <v>78.23</v>
      </c>
      <c r="I37" s="2"/>
      <c r="J37" s="7">
        <f t="shared" si="18"/>
        <v>4.8958007384692408E-2</v>
      </c>
      <c r="K37" s="2"/>
      <c r="L37" s="6">
        <f t="shared" si="19"/>
        <v>21.53</v>
      </c>
      <c r="M37" s="2"/>
      <c r="N37" s="7">
        <f t="shared" si="20"/>
        <v>0.27521411223315861</v>
      </c>
      <c r="O37" s="11"/>
      <c r="P37" s="6">
        <v>322.89999999999998</v>
      </c>
      <c r="Q37" s="2"/>
      <c r="R37" s="7">
        <f t="shared" si="21"/>
        <v>3.5402208115427203E-3</v>
      </c>
      <c r="S37" s="2"/>
      <c r="T37" s="6">
        <v>251.18</v>
      </c>
      <c r="U37" s="2"/>
      <c r="V37" s="7">
        <f t="shared" si="22"/>
        <v>3.4140283427690978E-3</v>
      </c>
      <c r="W37" s="2"/>
      <c r="X37" s="6">
        <f t="shared" si="23"/>
        <v>71.71999999999997</v>
      </c>
      <c r="Y37" s="2"/>
      <c r="Z37" s="7">
        <f t="shared" si="24"/>
        <v>0.28553228760251598</v>
      </c>
    </row>
    <row r="38" spans="1:26" s="24" customFormat="1" hidden="1" outlineLevel="2" x14ac:dyDescent="0.3">
      <c r="A38" s="27"/>
      <c r="B38" s="11" t="str">
        <f>CONCATENATE("          ", "6115", " - ", "P.E.R.S.")</f>
        <v xml:space="preserve">          6115 - P.E.R.S.</v>
      </c>
      <c r="C38" s="11"/>
      <c r="D38" s="6">
        <v>3677.36</v>
      </c>
      <c r="E38" s="2"/>
      <c r="F38" s="7">
        <f t="shared" si="17"/>
        <v>0.54173387958097441</v>
      </c>
      <c r="G38" s="2"/>
      <c r="H38" s="6">
        <v>2180.81</v>
      </c>
      <c r="I38" s="2"/>
      <c r="J38" s="7">
        <f t="shared" si="18"/>
        <v>1.3647975467801488</v>
      </c>
      <c r="K38" s="2"/>
      <c r="L38" s="6">
        <f t="shared" si="19"/>
        <v>1496.5500000000002</v>
      </c>
      <c r="M38" s="2"/>
      <c r="N38" s="7">
        <f t="shared" si="20"/>
        <v>0.68623584814816518</v>
      </c>
      <c r="O38" s="11"/>
      <c r="P38" s="6">
        <v>10835.91</v>
      </c>
      <c r="Q38" s="2"/>
      <c r="R38" s="7">
        <f t="shared" si="21"/>
        <v>0.11880307864355491</v>
      </c>
      <c r="S38" s="2"/>
      <c r="T38" s="6">
        <v>8679.08</v>
      </c>
      <c r="U38" s="2"/>
      <c r="V38" s="7">
        <f t="shared" si="22"/>
        <v>0.11796570232168334</v>
      </c>
      <c r="W38" s="2"/>
      <c r="X38" s="6">
        <f t="shared" si="23"/>
        <v>2156.83</v>
      </c>
      <c r="Y38" s="2"/>
      <c r="Z38" s="7">
        <f t="shared" si="24"/>
        <v>0.24850905856381089</v>
      </c>
    </row>
    <row r="39" spans="1:26" s="24" customFormat="1" hidden="1" outlineLevel="2" x14ac:dyDescent="0.3">
      <c r="A39" s="27"/>
      <c r="B39" s="11" t="str">
        <f>CONCATENATE("          ", "6118", " - ", "VACATION")</f>
        <v xml:space="preserve">          6118 - VACATION</v>
      </c>
      <c r="C39" s="11"/>
      <c r="D39" s="6">
        <v>639.32000000000005</v>
      </c>
      <c r="E39" s="2"/>
      <c r="F39" s="7">
        <f t="shared" si="17"/>
        <v>9.4182050137519471E-2</v>
      </c>
      <c r="G39" s="2"/>
      <c r="H39" s="6">
        <v>1216.0999999999999</v>
      </c>
      <c r="I39" s="2"/>
      <c r="J39" s="7">
        <f t="shared" si="18"/>
        <v>0.76106139307841536</v>
      </c>
      <c r="K39" s="2"/>
      <c r="L39" s="6">
        <f t="shared" si="19"/>
        <v>-576.77999999999986</v>
      </c>
      <c r="M39" s="2"/>
      <c r="N39" s="7">
        <f t="shared" si="20"/>
        <v>-0.47428665405805437</v>
      </c>
      <c r="O39" s="11"/>
      <c r="P39" s="6">
        <v>4603.24</v>
      </c>
      <c r="Q39" s="2"/>
      <c r="R39" s="7">
        <f t="shared" si="21"/>
        <v>5.0469142299553772E-2</v>
      </c>
      <c r="S39" s="2"/>
      <c r="T39" s="6">
        <v>6451.33</v>
      </c>
      <c r="U39" s="2"/>
      <c r="V39" s="7">
        <f t="shared" si="22"/>
        <v>8.7686214939710821E-2</v>
      </c>
      <c r="W39" s="2"/>
      <c r="X39" s="6">
        <f t="shared" si="23"/>
        <v>-1848.0900000000001</v>
      </c>
      <c r="Y39" s="2"/>
      <c r="Z39" s="7">
        <f t="shared" si="24"/>
        <v>-0.2864665115565318</v>
      </c>
    </row>
    <row r="40" spans="1:26" s="24" customFormat="1" hidden="1" outlineLevel="2" x14ac:dyDescent="0.3">
      <c r="A40" s="27"/>
      <c r="B40" s="11" t="str">
        <f>CONCATENATE("          ", "6119", " - ", "SICK LEAVE")</f>
        <v xml:space="preserve">          6119 - SICK LEAVE</v>
      </c>
      <c r="C40" s="11"/>
      <c r="D40" s="6">
        <v>410.1</v>
      </c>
      <c r="E40" s="2"/>
      <c r="F40" s="7">
        <f t="shared" si="17"/>
        <v>6.041428198929602E-2</v>
      </c>
      <c r="G40" s="2"/>
      <c r="H40" s="6">
        <v>738.5</v>
      </c>
      <c r="I40" s="2"/>
      <c r="J40" s="7">
        <f t="shared" si="18"/>
        <v>0.46216909693973335</v>
      </c>
      <c r="K40" s="2"/>
      <c r="L40" s="6">
        <f t="shared" si="19"/>
        <v>-328.4</v>
      </c>
      <c r="M40" s="2"/>
      <c r="N40" s="7">
        <f t="shared" si="20"/>
        <v>-0.44468517264725793</v>
      </c>
      <c r="O40" s="11"/>
      <c r="P40" s="6">
        <v>3045.03</v>
      </c>
      <c r="Q40" s="2"/>
      <c r="R40" s="7">
        <f t="shared" si="21"/>
        <v>3.3385192250764729E-2</v>
      </c>
      <c r="S40" s="2"/>
      <c r="T40" s="6">
        <v>3955.77</v>
      </c>
      <c r="U40" s="2"/>
      <c r="V40" s="7">
        <f t="shared" si="22"/>
        <v>5.3766664931426525E-2</v>
      </c>
      <c r="W40" s="2"/>
      <c r="X40" s="6">
        <f t="shared" si="23"/>
        <v>-910.73999999999978</v>
      </c>
      <c r="Y40" s="2"/>
      <c r="Z40" s="7">
        <f t="shared" si="24"/>
        <v>-0.2302307768146277</v>
      </c>
    </row>
    <row r="41" spans="1:26" s="24" customFormat="1" hidden="1" outlineLevel="2" x14ac:dyDescent="0.3">
      <c r="A41" s="27"/>
      <c r="B41" s="11" t="str">
        <f>CONCATENATE("          ", "6156", " - ", "EMPLOYEE MEALS")</f>
        <v xml:space="preserve">          6156 - EMPLOYEE MEALS</v>
      </c>
      <c r="C41" s="11"/>
      <c r="D41" s="6">
        <v>422.14</v>
      </c>
      <c r="E41" s="2"/>
      <c r="F41" s="7">
        <f t="shared" si="17"/>
        <v>6.2187966347138308E-2</v>
      </c>
      <c r="G41" s="2"/>
      <c r="H41" s="6">
        <v>283.25</v>
      </c>
      <c r="I41" s="2"/>
      <c r="J41" s="7">
        <f t="shared" si="18"/>
        <v>0.17726390888040552</v>
      </c>
      <c r="K41" s="2"/>
      <c r="L41" s="6">
        <f t="shared" si="19"/>
        <v>138.88999999999999</v>
      </c>
      <c r="M41" s="2"/>
      <c r="N41" s="7">
        <f t="shared" si="20"/>
        <v>0.49034421888790813</v>
      </c>
      <c r="O41" s="11"/>
      <c r="P41" s="6">
        <v>2225.88</v>
      </c>
      <c r="Q41" s="2"/>
      <c r="R41" s="7">
        <f t="shared" si="21"/>
        <v>2.440417064105516E-2</v>
      </c>
      <c r="S41" s="2"/>
      <c r="T41" s="6">
        <v>1749.89</v>
      </c>
      <c r="U41" s="2"/>
      <c r="V41" s="7">
        <f t="shared" si="22"/>
        <v>2.3784433699849578E-2</v>
      </c>
      <c r="W41" s="2"/>
      <c r="X41" s="6">
        <f t="shared" si="23"/>
        <v>475.99</v>
      </c>
      <c r="Y41" s="2"/>
      <c r="Z41" s="7">
        <f t="shared" si="24"/>
        <v>0.27201138357268168</v>
      </c>
    </row>
    <row r="42" spans="1:26" s="29" customFormat="1" outlineLevel="1" collapsed="1" x14ac:dyDescent="0.3">
      <c r="A42" s="28"/>
      <c r="B42" s="14" t="str">
        <f>CONCATENATE("     ","*Payroll                                          ")</f>
        <v xml:space="preserve">     *Payroll                                          </v>
      </c>
      <c r="C42" s="14"/>
      <c r="D42" s="1">
        <f>SUM(OSRRefD22_1x_0)</f>
        <v>91.619999999999891</v>
      </c>
      <c r="E42" s="1"/>
      <c r="F42" s="5">
        <f t="shared" ref="F42:F45" si="25">IF(D$12=0,0,D42/D$12)</f>
        <v>1.3497089772882942E-2</v>
      </c>
      <c r="G42" s="1"/>
      <c r="H42" s="1">
        <f>SUM(OSRRefH22_1x_0)</f>
        <v>12527.39</v>
      </c>
      <c r="I42" s="1"/>
      <c r="J42" s="5">
        <f t="shared" ref="J42:J45" si="26">IF(H$12=0,0,H42/H$12)</f>
        <v>7.8399086300769749</v>
      </c>
      <c r="K42" s="1"/>
      <c r="L42" s="1">
        <f t="shared" ref="L42:L45" si="27">+D42-H42</f>
        <v>-12435.77</v>
      </c>
      <c r="M42" s="1"/>
      <c r="N42" s="5">
        <f t="shared" ref="N42:N45" si="28">IF(H42=0,0,L42/H42)</f>
        <v>-0.99268642550443476</v>
      </c>
      <c r="O42" s="14"/>
      <c r="P42" s="1">
        <f>SUM(OSRRefP22_1x_0)</f>
        <v>77350.159999999989</v>
      </c>
      <c r="Q42" s="1"/>
      <c r="R42" s="5">
        <f t="shared" ref="R42:R45" si="29">IF(P$12=0,0,P42/P$12)</f>
        <v>0.84805402975583533</v>
      </c>
      <c r="S42" s="1"/>
      <c r="T42" s="1">
        <f>SUM(OSRRefT22_1x_0)</f>
        <v>72695.44</v>
      </c>
      <c r="U42" s="1"/>
      <c r="V42" s="5">
        <f t="shared" ref="V42:V45" si="30">IF(T$12=0,0,T42/T$12)</f>
        <v>0.98807346345278446</v>
      </c>
      <c r="W42" s="1"/>
      <c r="X42" s="1">
        <f t="shared" ref="X42:X45" si="31">+P42-T42</f>
        <v>4654.7199999999866</v>
      </c>
      <c r="Y42" s="1"/>
      <c r="Z42" s="5">
        <f t="shared" ref="Z42:Z45" si="32">IF(T42=0,0,X42/T42)</f>
        <v>6.4030426117511446E-2</v>
      </c>
    </row>
    <row r="43" spans="1:26" s="24" customFormat="1" hidden="1" outlineLevel="2" x14ac:dyDescent="0.3">
      <c r="A43" s="27"/>
      <c r="B43" s="11" t="str">
        <f>CONCATENATE("          ", "6002", " - ", "STAFF SALARIES")</f>
        <v xml:space="preserve">          6002 - STAFF SALARIES</v>
      </c>
      <c r="C43" s="11"/>
      <c r="D43" s="6">
        <v>-1936.7</v>
      </c>
      <c r="E43" s="2"/>
      <c r="F43" s="7">
        <f t="shared" si="25"/>
        <v>-0.285306851813386</v>
      </c>
      <c r="G43" s="2"/>
      <c r="H43" s="6">
        <v>12025.49</v>
      </c>
      <c r="I43" s="2"/>
      <c r="J43" s="7">
        <f t="shared" si="26"/>
        <v>7.5258088741473177</v>
      </c>
      <c r="K43" s="2"/>
      <c r="L43" s="6">
        <f t="shared" si="27"/>
        <v>-13962.19</v>
      </c>
      <c r="M43" s="2"/>
      <c r="N43" s="7">
        <f t="shared" si="28"/>
        <v>-1.1610495705372506</v>
      </c>
      <c r="O43" s="11"/>
      <c r="P43" s="6">
        <v>66261.009999999995</v>
      </c>
      <c r="Q43" s="2"/>
      <c r="R43" s="7">
        <f t="shared" si="29"/>
        <v>0.72647447072109106</v>
      </c>
      <c r="S43" s="2"/>
      <c r="T43" s="6">
        <v>68793.919999999998</v>
      </c>
      <c r="U43" s="2"/>
      <c r="V43" s="7">
        <f t="shared" si="30"/>
        <v>0.9350441623146345</v>
      </c>
      <c r="W43" s="2"/>
      <c r="X43" s="6">
        <f t="shared" si="31"/>
        <v>-2532.9100000000035</v>
      </c>
      <c r="Y43" s="2"/>
      <c r="Z43" s="7">
        <f t="shared" si="32"/>
        <v>-3.6818806080537399E-2</v>
      </c>
    </row>
    <row r="44" spans="1:26" s="24" customFormat="1" hidden="1" outlineLevel="2" x14ac:dyDescent="0.3">
      <c r="A44" s="27"/>
      <c r="B44" s="11" t="str">
        <f>CONCATENATE("          ", "6005", " - ", "TEMPORARY WAGES-HOURLY")</f>
        <v xml:space="preserve">          6005 - TEMPORARY WAGES-HOURLY</v>
      </c>
      <c r="C44" s="11"/>
      <c r="D44" s="6"/>
      <c r="E44" s="2"/>
      <c r="F44" s="7">
        <f t="shared" si="25"/>
        <v>0</v>
      </c>
      <c r="G44" s="2"/>
      <c r="H44" s="6"/>
      <c r="I44" s="2"/>
      <c r="J44" s="7">
        <f t="shared" si="26"/>
        <v>0</v>
      </c>
      <c r="K44" s="2"/>
      <c r="L44" s="6">
        <f t="shared" si="27"/>
        <v>0</v>
      </c>
      <c r="M44" s="2"/>
      <c r="N44" s="7">
        <f t="shared" si="28"/>
        <v>0</v>
      </c>
      <c r="O44" s="11"/>
      <c r="P44" s="6"/>
      <c r="Q44" s="2"/>
      <c r="R44" s="7">
        <f t="shared" si="29"/>
        <v>0</v>
      </c>
      <c r="S44" s="2"/>
      <c r="T44" s="6">
        <v>383.25</v>
      </c>
      <c r="U44" s="2"/>
      <c r="V44" s="7">
        <f t="shared" si="30"/>
        <v>5.2091184105671502E-3</v>
      </c>
      <c r="W44" s="2"/>
      <c r="X44" s="6">
        <f t="shared" si="31"/>
        <v>-383.25</v>
      </c>
      <c r="Y44" s="2"/>
      <c r="Z44" s="7">
        <f t="shared" si="32"/>
        <v>-1</v>
      </c>
    </row>
    <row r="45" spans="1:26" s="24" customFormat="1" hidden="1" outlineLevel="2" x14ac:dyDescent="0.3">
      <c r="A45" s="27"/>
      <c r="B45" s="11" t="str">
        <f>CONCATENATE("          ", "6007", " - ", "STUDENT HOURLY")</f>
        <v xml:space="preserve">          6007 - STUDENT HOURLY</v>
      </c>
      <c r="C45" s="11"/>
      <c r="D45" s="6">
        <v>2028.32</v>
      </c>
      <c r="E45" s="2"/>
      <c r="F45" s="7">
        <f t="shared" si="25"/>
        <v>0.29880394158626894</v>
      </c>
      <c r="G45" s="2"/>
      <c r="H45" s="6">
        <v>501.9</v>
      </c>
      <c r="I45" s="2"/>
      <c r="J45" s="7">
        <f t="shared" si="26"/>
        <v>0.31409975592965766</v>
      </c>
      <c r="K45" s="2"/>
      <c r="L45" s="6">
        <f t="shared" si="27"/>
        <v>1526.42</v>
      </c>
      <c r="M45" s="2"/>
      <c r="N45" s="7">
        <f t="shared" si="28"/>
        <v>3.0412831241283125</v>
      </c>
      <c r="O45" s="11"/>
      <c r="P45" s="6">
        <v>11089.15</v>
      </c>
      <c r="Q45" s="2"/>
      <c r="R45" s="7">
        <f t="shared" si="29"/>
        <v>0.12157955903474438</v>
      </c>
      <c r="S45" s="2"/>
      <c r="T45" s="6">
        <v>3518.27</v>
      </c>
      <c r="U45" s="2"/>
      <c r="V45" s="7">
        <f t="shared" si="30"/>
        <v>4.7820182727582747E-2</v>
      </c>
      <c r="W45" s="2"/>
      <c r="X45" s="6">
        <f t="shared" si="31"/>
        <v>7570.8799999999992</v>
      </c>
      <c r="Y45" s="2"/>
      <c r="Z45" s="7">
        <f t="shared" si="32"/>
        <v>2.1518757798577139</v>
      </c>
    </row>
    <row r="46" spans="1:26" s="29" customFormat="1" outlineLevel="1" collapsed="1" x14ac:dyDescent="0.3">
      <c r="A46" s="28"/>
      <c r="B46" s="14" t="str">
        <f>CONCATENATE("     ","Advertising/Promo                                 ")</f>
        <v xml:space="preserve">     Advertising/Promo                                 </v>
      </c>
      <c r="C46" s="14"/>
      <c r="D46" s="1">
        <f>SUM(OSRRefD22_2x_0)</f>
        <v>0</v>
      </c>
      <c r="E46" s="1"/>
      <c r="F46" s="5">
        <f t="shared" ref="F46:F56" si="33">IF(D$12=0,0,D46/D$12)</f>
        <v>0</v>
      </c>
      <c r="G46" s="1"/>
      <c r="H46" s="1">
        <f>SUM(OSRRefH22_2x_0)</f>
        <v>0</v>
      </c>
      <c r="I46" s="1"/>
      <c r="J46" s="5">
        <f t="shared" ref="J46:J56" si="34">IF(H$12=0,0,H46/H$12)</f>
        <v>0</v>
      </c>
      <c r="K46" s="1"/>
      <c r="L46" s="1">
        <f t="shared" ref="L46:L56" si="35">+D46-H46</f>
        <v>0</v>
      </c>
      <c r="M46" s="1"/>
      <c r="N46" s="5">
        <f t="shared" ref="N46:N56" si="36">IF(H46=0,0,L46/H46)</f>
        <v>0</v>
      </c>
      <c r="O46" s="14"/>
      <c r="P46" s="1">
        <f>SUM(OSRRefP22_2x_0)</f>
        <v>97.75</v>
      </c>
      <c r="Q46" s="1"/>
      <c r="R46" s="5">
        <f t="shared" ref="R46:R56" si="37">IF(P$12=0,0,P46/P$12)</f>
        <v>1.0717144141477266E-3</v>
      </c>
      <c r="S46" s="1"/>
      <c r="T46" s="1">
        <f>SUM(OSRRefT22_2x_0)</f>
        <v>0</v>
      </c>
      <c r="U46" s="1"/>
      <c r="V46" s="5">
        <f t="shared" ref="V46:V56" si="38">IF(T$12=0,0,T46/T$12)</f>
        <v>0</v>
      </c>
      <c r="W46" s="1"/>
      <c r="X46" s="1">
        <f t="shared" ref="X46:X56" si="39">+P46-T46</f>
        <v>97.75</v>
      </c>
      <c r="Y46" s="1"/>
      <c r="Z46" s="5">
        <f t="shared" ref="Z46:Z56" si="40">IF(T46=0,0,X46/T46)</f>
        <v>0</v>
      </c>
    </row>
    <row r="47" spans="1:26" s="24" customFormat="1" hidden="1" outlineLevel="2" x14ac:dyDescent="0.3">
      <c r="A47" s="27"/>
      <c r="B47" s="11" t="str">
        <f>CONCATENATE("          ", "6362", " - ", "ADVERTISING EXPENSE")</f>
        <v xml:space="preserve">          6362 - ADVERTISING EXPENSE</v>
      </c>
      <c r="C47" s="11"/>
      <c r="D47" s="6"/>
      <c r="E47" s="2"/>
      <c r="F47" s="7">
        <f t="shared" si="33"/>
        <v>0</v>
      </c>
      <c r="G47" s="2"/>
      <c r="H47" s="6"/>
      <c r="I47" s="2"/>
      <c r="J47" s="7">
        <f t="shared" si="34"/>
        <v>0</v>
      </c>
      <c r="K47" s="2"/>
      <c r="L47" s="6">
        <f t="shared" si="35"/>
        <v>0</v>
      </c>
      <c r="M47" s="2"/>
      <c r="N47" s="7">
        <f t="shared" si="36"/>
        <v>0</v>
      </c>
      <c r="O47" s="11"/>
      <c r="P47" s="6">
        <v>97.75</v>
      </c>
      <c r="Q47" s="2"/>
      <c r="R47" s="7">
        <f t="shared" si="37"/>
        <v>1.0717144141477266E-3</v>
      </c>
      <c r="S47" s="2"/>
      <c r="T47" s="6"/>
      <c r="U47" s="2"/>
      <c r="V47" s="7">
        <f t="shared" si="38"/>
        <v>0</v>
      </c>
      <c r="W47" s="2"/>
      <c r="X47" s="6">
        <f t="shared" si="39"/>
        <v>97.75</v>
      </c>
      <c r="Y47" s="2"/>
      <c r="Z47" s="7">
        <f t="shared" si="40"/>
        <v>0</v>
      </c>
    </row>
    <row r="48" spans="1:26" s="29" customFormat="1" outlineLevel="1" collapsed="1" x14ac:dyDescent="0.3">
      <c r="A48" s="28"/>
      <c r="B48" s="14" t="str">
        <f>CONCATENATE("     ","Depreciation                                      ")</f>
        <v xml:space="preserve">     Depreciation                                      </v>
      </c>
      <c r="C48" s="14"/>
      <c r="D48" s="1">
        <f>SUM(OSRRefD22_3x_0)</f>
        <v>169.88</v>
      </c>
      <c r="E48" s="1"/>
      <c r="F48" s="5">
        <f t="shared" si="33"/>
        <v>2.502603809885786E-2</v>
      </c>
      <c r="G48" s="1"/>
      <c r="H48" s="1">
        <f>SUM(OSRRefH22_3x_0)</f>
        <v>169.88</v>
      </c>
      <c r="I48" s="1"/>
      <c r="J48" s="5">
        <f t="shared" si="34"/>
        <v>0.10631453783090306</v>
      </c>
      <c r="K48" s="1"/>
      <c r="L48" s="1">
        <f t="shared" si="35"/>
        <v>0</v>
      </c>
      <c r="M48" s="1"/>
      <c r="N48" s="5">
        <f t="shared" si="36"/>
        <v>0</v>
      </c>
      <c r="O48" s="14"/>
      <c r="P48" s="1">
        <f>SUM(OSRRefP22_3x_0)</f>
        <v>849.4</v>
      </c>
      <c r="Q48" s="1"/>
      <c r="R48" s="5">
        <f t="shared" si="37"/>
        <v>9.3126774770033657E-3</v>
      </c>
      <c r="S48" s="1"/>
      <c r="T48" s="1">
        <f>SUM(OSRRefT22_3x_0)</f>
        <v>849.4</v>
      </c>
      <c r="U48" s="1"/>
      <c r="V48" s="5">
        <f t="shared" si="38"/>
        <v>1.1545010249016927E-2</v>
      </c>
      <c r="W48" s="1"/>
      <c r="X48" s="1">
        <f t="shared" si="39"/>
        <v>0</v>
      </c>
      <c r="Y48" s="1"/>
      <c r="Z48" s="5">
        <f t="shared" si="40"/>
        <v>0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169.88</v>
      </c>
      <c r="E49" s="2"/>
      <c r="F49" s="7">
        <f t="shared" si="33"/>
        <v>2.502603809885786E-2</v>
      </c>
      <c r="G49" s="2"/>
      <c r="H49" s="6">
        <v>169.88</v>
      </c>
      <c r="I49" s="2"/>
      <c r="J49" s="7">
        <f t="shared" si="34"/>
        <v>0.10631453783090306</v>
      </c>
      <c r="K49" s="2"/>
      <c r="L49" s="6">
        <f t="shared" si="35"/>
        <v>0</v>
      </c>
      <c r="M49" s="2"/>
      <c r="N49" s="7">
        <f t="shared" si="36"/>
        <v>0</v>
      </c>
      <c r="O49" s="11"/>
      <c r="P49" s="6">
        <v>849.4</v>
      </c>
      <c r="Q49" s="2"/>
      <c r="R49" s="7">
        <f t="shared" si="37"/>
        <v>9.3126774770033657E-3</v>
      </c>
      <c r="S49" s="2"/>
      <c r="T49" s="6">
        <v>849.4</v>
      </c>
      <c r="U49" s="2"/>
      <c r="V49" s="7">
        <f t="shared" si="38"/>
        <v>1.1545010249016927E-2</v>
      </c>
      <c r="W49" s="2"/>
      <c r="X49" s="6">
        <f t="shared" si="39"/>
        <v>0</v>
      </c>
      <c r="Y49" s="2"/>
      <c r="Z49" s="7">
        <f t="shared" si="40"/>
        <v>0</v>
      </c>
    </row>
    <row r="50" spans="1:26" s="29" customFormat="1" outlineLevel="1" collapsed="1" x14ac:dyDescent="0.3">
      <c r="A50" s="28"/>
      <c r="B50" s="14" t="str">
        <f>CONCATENATE("     ","Discounts and Markdowns                           ")</f>
        <v xml:space="preserve">     Discounts and Markdowns                           </v>
      </c>
      <c r="C50" s="14"/>
      <c r="D50" s="1">
        <f>SUM(OSRRefD22_4x_0)</f>
        <v>0</v>
      </c>
      <c r="E50" s="1"/>
      <c r="F50" s="5">
        <f t="shared" si="33"/>
        <v>0</v>
      </c>
      <c r="G50" s="1"/>
      <c r="H50" s="1">
        <f>SUM(OSRRefH22_4x_0)</f>
        <v>0</v>
      </c>
      <c r="I50" s="1"/>
      <c r="J50" s="5">
        <f t="shared" si="34"/>
        <v>0</v>
      </c>
      <c r="K50" s="1"/>
      <c r="L50" s="1">
        <f t="shared" si="35"/>
        <v>0</v>
      </c>
      <c r="M50" s="1"/>
      <c r="N50" s="5">
        <f t="shared" si="36"/>
        <v>0</v>
      </c>
      <c r="O50" s="14"/>
      <c r="P50" s="1">
        <f>SUM(OSRRefP22_4x_0)</f>
        <v>0</v>
      </c>
      <c r="Q50" s="1"/>
      <c r="R50" s="5">
        <f t="shared" si="37"/>
        <v>0</v>
      </c>
      <c r="S50" s="1"/>
      <c r="T50" s="1">
        <f>SUM(OSRRefT22_4x_0)</f>
        <v>0</v>
      </c>
      <c r="U50" s="1"/>
      <c r="V50" s="5">
        <f t="shared" si="38"/>
        <v>0</v>
      </c>
      <c r="W50" s="1"/>
      <c r="X50" s="1">
        <f t="shared" si="39"/>
        <v>0</v>
      </c>
      <c r="Y50" s="1"/>
      <c r="Z50" s="5">
        <f t="shared" si="40"/>
        <v>0</v>
      </c>
    </row>
    <row r="51" spans="1:26" s="24" customFormat="1" hidden="1" outlineLevel="2" x14ac:dyDescent="0.3">
      <c r="A51" s="27"/>
      <c r="B51" s="11" t="str">
        <f>CONCATENATE("          ", "6382", " - ", "DISCOUNTS/MARK DOWNS")</f>
        <v xml:space="preserve">          6382 - DISCOUNTS/MARK DOWNS</v>
      </c>
      <c r="C51" s="11"/>
      <c r="D51" s="6"/>
      <c r="E51" s="2"/>
      <c r="F51" s="7">
        <f t="shared" si="33"/>
        <v>0</v>
      </c>
      <c r="G51" s="2"/>
      <c r="H51" s="6"/>
      <c r="I51" s="2"/>
      <c r="J51" s="7">
        <f t="shared" si="34"/>
        <v>0</v>
      </c>
      <c r="K51" s="2"/>
      <c r="L51" s="6">
        <f t="shared" si="35"/>
        <v>0</v>
      </c>
      <c r="M51" s="2"/>
      <c r="N51" s="7">
        <f t="shared" si="36"/>
        <v>0</v>
      </c>
      <c r="O51" s="11"/>
      <c r="P51" s="6"/>
      <c r="Q51" s="2"/>
      <c r="R51" s="7">
        <f t="shared" si="37"/>
        <v>0</v>
      </c>
      <c r="S51" s="2"/>
      <c r="T51" s="6">
        <v>0</v>
      </c>
      <c r="U51" s="2"/>
      <c r="V51" s="7">
        <f t="shared" si="38"/>
        <v>0</v>
      </c>
      <c r="W51" s="2"/>
      <c r="X51" s="6">
        <f t="shared" si="39"/>
        <v>0</v>
      </c>
      <c r="Y51" s="2"/>
      <c r="Z51" s="7">
        <f t="shared" si="40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SUM(OSRRefD22_5x_0)</f>
        <v>1205.6400000000001</v>
      </c>
      <c r="E52" s="1"/>
      <c r="F52" s="5">
        <f t="shared" si="33"/>
        <v>0.17761003398579581</v>
      </c>
      <c r="G52" s="1"/>
      <c r="H52" s="1">
        <f>SUM(OSRRefH22_5x_0)</f>
        <v>1205.6400000000001</v>
      </c>
      <c r="I52" s="1"/>
      <c r="J52" s="5">
        <f t="shared" si="34"/>
        <v>0.7545153013329996</v>
      </c>
      <c r="K52" s="1"/>
      <c r="L52" s="1">
        <f t="shared" si="35"/>
        <v>0</v>
      </c>
      <c r="M52" s="1"/>
      <c r="N52" s="5">
        <f t="shared" si="36"/>
        <v>0</v>
      </c>
      <c r="O52" s="14"/>
      <c r="P52" s="1">
        <f>SUM(OSRRefP22_5x_0)</f>
        <v>6028.2</v>
      </c>
      <c r="Q52" s="1"/>
      <c r="R52" s="5">
        <f t="shared" si="37"/>
        <v>6.609216195770154E-2</v>
      </c>
      <c r="S52" s="1"/>
      <c r="T52" s="1">
        <f>SUM(OSRRefT22_5x_0)</f>
        <v>6028.2</v>
      </c>
      <c r="U52" s="1"/>
      <c r="V52" s="5">
        <f t="shared" si="38"/>
        <v>8.1935049191339579E-2</v>
      </c>
      <c r="W52" s="1"/>
      <c r="X52" s="1">
        <f t="shared" si="39"/>
        <v>0</v>
      </c>
      <c r="Y52" s="1"/>
      <c r="Z52" s="5">
        <f t="shared" si="40"/>
        <v>0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1205.6400000000001</v>
      </c>
      <c r="E53" s="2"/>
      <c r="F53" s="7">
        <f t="shared" si="33"/>
        <v>0.17761003398579581</v>
      </c>
      <c r="G53" s="2"/>
      <c r="H53" s="6">
        <v>1205.6400000000001</v>
      </c>
      <c r="I53" s="2"/>
      <c r="J53" s="7">
        <f t="shared" si="34"/>
        <v>0.7545153013329996</v>
      </c>
      <c r="K53" s="2"/>
      <c r="L53" s="6">
        <f t="shared" si="35"/>
        <v>0</v>
      </c>
      <c r="M53" s="2"/>
      <c r="N53" s="7">
        <f t="shared" si="36"/>
        <v>0</v>
      </c>
      <c r="O53" s="11"/>
      <c r="P53" s="6">
        <v>6028.2</v>
      </c>
      <c r="Q53" s="2"/>
      <c r="R53" s="7">
        <f t="shared" si="37"/>
        <v>6.609216195770154E-2</v>
      </c>
      <c r="S53" s="2"/>
      <c r="T53" s="6">
        <v>6028.2</v>
      </c>
      <c r="U53" s="2"/>
      <c r="V53" s="7">
        <f t="shared" si="38"/>
        <v>8.1935049191339579E-2</v>
      </c>
      <c r="W53" s="2"/>
      <c r="X53" s="6">
        <f t="shared" si="39"/>
        <v>0</v>
      </c>
      <c r="Y53" s="2"/>
      <c r="Z53" s="7">
        <f t="shared" si="40"/>
        <v>0</v>
      </c>
    </row>
    <row r="54" spans="1:26" s="29" customFormat="1" outlineLevel="1" collapsed="1" x14ac:dyDescent="0.3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SUM(OSRRefD22_6x_0)</f>
        <v>-3785.619999999999</v>
      </c>
      <c r="E54" s="1"/>
      <c r="F54" s="5">
        <f t="shared" si="33"/>
        <v>-0.55768230720389844</v>
      </c>
      <c r="G54" s="1"/>
      <c r="H54" s="1">
        <f>SUM(OSRRefH22_6x_0)</f>
        <v>8307.7900000000009</v>
      </c>
      <c r="I54" s="1"/>
      <c r="J54" s="5">
        <f t="shared" si="34"/>
        <v>5.1991926904061581</v>
      </c>
      <c r="K54" s="1"/>
      <c r="L54" s="1">
        <f t="shared" si="35"/>
        <v>-12093.41</v>
      </c>
      <c r="M54" s="1"/>
      <c r="N54" s="5">
        <f t="shared" si="36"/>
        <v>-1.4556711231266075</v>
      </c>
      <c r="O54" s="14"/>
      <c r="P54" s="1">
        <f>SUM(OSRRefP22_6x_0)</f>
        <v>-42973.159999999996</v>
      </c>
      <c r="Q54" s="1"/>
      <c r="R54" s="5">
        <f t="shared" si="37"/>
        <v>-0.47115043471587231</v>
      </c>
      <c r="S54" s="1"/>
      <c r="T54" s="1">
        <f>SUM(OSRRefT22_6x_0)</f>
        <v>-24841.37000000001</v>
      </c>
      <c r="U54" s="1"/>
      <c r="V54" s="5">
        <f t="shared" si="38"/>
        <v>-0.33764289056936864</v>
      </c>
      <c r="W54" s="1"/>
      <c r="X54" s="1">
        <f t="shared" si="39"/>
        <v>-18131.789999999986</v>
      </c>
      <c r="Y54" s="1"/>
      <c r="Z54" s="5">
        <f t="shared" si="40"/>
        <v>0.72990298039117729</v>
      </c>
    </row>
    <row r="55" spans="1:26" s="24" customFormat="1" hidden="1" outlineLevel="2" x14ac:dyDescent="0.3">
      <c r="A55" s="27"/>
      <c r="B55" s="11" t="str">
        <f>CONCATENATE("          ", "6305", " - ", "FREIGHT OUT")</f>
        <v xml:space="preserve">          6305 - FREIGHT OUT</v>
      </c>
      <c r="C55" s="11"/>
      <c r="D55" s="6">
        <v>8941.11</v>
      </c>
      <c r="E55" s="2"/>
      <c r="F55" s="7">
        <f t="shared" si="33"/>
        <v>1.3171683512248586</v>
      </c>
      <c r="G55" s="2"/>
      <c r="H55" s="6">
        <v>12643.45</v>
      </c>
      <c r="I55" s="2"/>
      <c r="J55" s="7">
        <f t="shared" si="34"/>
        <v>7.9125414606671258</v>
      </c>
      <c r="K55" s="2"/>
      <c r="L55" s="6">
        <f t="shared" si="35"/>
        <v>-3702.34</v>
      </c>
      <c r="M55" s="2"/>
      <c r="N55" s="7">
        <f t="shared" si="36"/>
        <v>-0.29282672055491182</v>
      </c>
      <c r="O55" s="11"/>
      <c r="P55" s="6">
        <v>62421.9</v>
      </c>
      <c r="Q55" s="2"/>
      <c r="R55" s="7">
        <f t="shared" si="37"/>
        <v>0.68438312008683355</v>
      </c>
      <c r="S55" s="2"/>
      <c r="T55" s="6">
        <v>98238.23</v>
      </c>
      <c r="U55" s="2"/>
      <c r="V55" s="7">
        <f t="shared" si="38"/>
        <v>1.3352500261305418</v>
      </c>
      <c r="W55" s="2"/>
      <c r="X55" s="6">
        <f t="shared" si="39"/>
        <v>-35816.329999999994</v>
      </c>
      <c r="Y55" s="2"/>
      <c r="Z55" s="7">
        <f t="shared" si="40"/>
        <v>-0.36458647514312909</v>
      </c>
    </row>
    <row r="56" spans="1:26" s="24" customFormat="1" hidden="1" outlineLevel="2" x14ac:dyDescent="0.3">
      <c r="A56" s="27"/>
      <c r="B56" s="11" t="str">
        <f>CONCATENATE("          ", "6307", " - ", "POSTAGE")</f>
        <v xml:space="preserve">          6307 - POSTAGE</v>
      </c>
      <c r="C56" s="11"/>
      <c r="D56" s="6">
        <v>-12726.73</v>
      </c>
      <c r="E56" s="2"/>
      <c r="F56" s="7">
        <f t="shared" si="33"/>
        <v>-1.8748506584287572</v>
      </c>
      <c r="G56" s="2"/>
      <c r="H56" s="6">
        <v>-4335.66</v>
      </c>
      <c r="I56" s="2"/>
      <c r="J56" s="7">
        <f t="shared" si="34"/>
        <v>-2.7133487702609673</v>
      </c>
      <c r="K56" s="2"/>
      <c r="L56" s="6">
        <f t="shared" si="35"/>
        <v>-8391.07</v>
      </c>
      <c r="M56" s="2"/>
      <c r="N56" s="7">
        <f t="shared" si="36"/>
        <v>1.935361628910016</v>
      </c>
      <c r="O56" s="11"/>
      <c r="P56" s="6">
        <v>-105395.06</v>
      </c>
      <c r="Q56" s="2"/>
      <c r="R56" s="7">
        <f t="shared" si="37"/>
        <v>-1.1555335548027059</v>
      </c>
      <c r="S56" s="2"/>
      <c r="T56" s="6">
        <v>-123079.6</v>
      </c>
      <c r="U56" s="2"/>
      <c r="V56" s="7">
        <f t="shared" si="38"/>
        <v>-1.6728929166999102</v>
      </c>
      <c r="W56" s="2"/>
      <c r="X56" s="6">
        <f t="shared" si="39"/>
        <v>17684.540000000008</v>
      </c>
      <c r="Y56" s="2"/>
      <c r="Z56" s="7">
        <f t="shared" si="40"/>
        <v>-0.14368376237816832</v>
      </c>
    </row>
    <row r="57" spans="1:26" s="29" customFormat="1" outlineLevel="1" collapsed="1" x14ac:dyDescent="0.3">
      <c r="A57" s="28"/>
      <c r="B57" s="14" t="str">
        <f>CONCATENATE("     ","General                                           ")</f>
        <v xml:space="preserve">     General                                           </v>
      </c>
      <c r="C57" s="14"/>
      <c r="D57" s="1">
        <f>SUM(OSRRefD22_7x_0)</f>
        <v>0</v>
      </c>
      <c r="E57" s="1"/>
      <c r="F57" s="5">
        <f t="shared" ref="F57:F62" si="41">IF(D$12=0,0,D57/D$12)</f>
        <v>0</v>
      </c>
      <c r="G57" s="1"/>
      <c r="H57" s="1">
        <f>SUM(OSRRefH22_7x_0)</f>
        <v>0</v>
      </c>
      <c r="I57" s="1"/>
      <c r="J57" s="5">
        <f t="shared" ref="J57:J62" si="42">IF(H$12=0,0,H57/H$12)</f>
        <v>0</v>
      </c>
      <c r="K57" s="1"/>
      <c r="L57" s="1">
        <f t="shared" ref="L57:L62" si="43">+D57-H57</f>
        <v>0</v>
      </c>
      <c r="M57" s="1"/>
      <c r="N57" s="5">
        <f t="shared" ref="N57:N62" si="44">IF(H57=0,0,L57/H57)</f>
        <v>0</v>
      </c>
      <c r="O57" s="14"/>
      <c r="P57" s="1">
        <f>SUM(OSRRefP22_7x_0)</f>
        <v>91.31</v>
      </c>
      <c r="Q57" s="1"/>
      <c r="R57" s="5">
        <f t="shared" ref="R57:R62" si="45">IF(P$12=0,0,P57/P$12)</f>
        <v>1.0011073468627E-3</v>
      </c>
      <c r="S57" s="1"/>
      <c r="T57" s="1">
        <f>SUM(OSRRefT22_7x_0)</f>
        <v>0</v>
      </c>
      <c r="U57" s="1"/>
      <c r="V57" s="5">
        <f t="shared" ref="V57:V62" si="46">IF(T$12=0,0,T57/T$12)</f>
        <v>0</v>
      </c>
      <c r="W57" s="1"/>
      <c r="X57" s="1">
        <f t="shared" ref="X57:X62" si="47">+P57-T57</f>
        <v>91.31</v>
      </c>
      <c r="Y57" s="1"/>
      <c r="Z57" s="5">
        <f t="shared" ref="Z57:Z62" si="48">IF(T57=0,0,X57/T57)</f>
        <v>0</v>
      </c>
    </row>
    <row r="58" spans="1:26" s="24" customFormat="1" hidden="1" outlineLevel="2" x14ac:dyDescent="0.3">
      <c r="A58" s="27"/>
      <c r="B58" s="11" t="str">
        <f>CONCATENATE("          ", "6279", " - ", "GENERAL EXPENSE")</f>
        <v xml:space="preserve">          6279 - GENERAL EXPENSE</v>
      </c>
      <c r="C58" s="11"/>
      <c r="D58" s="6"/>
      <c r="E58" s="2"/>
      <c r="F58" s="7">
        <f t="shared" si="41"/>
        <v>0</v>
      </c>
      <c r="G58" s="2"/>
      <c r="H58" s="6"/>
      <c r="I58" s="2"/>
      <c r="J58" s="7">
        <f t="shared" si="42"/>
        <v>0</v>
      </c>
      <c r="K58" s="2"/>
      <c r="L58" s="6">
        <f t="shared" si="43"/>
        <v>0</v>
      </c>
      <c r="M58" s="2"/>
      <c r="N58" s="7">
        <f t="shared" si="44"/>
        <v>0</v>
      </c>
      <c r="O58" s="11"/>
      <c r="P58" s="6">
        <v>91.31</v>
      </c>
      <c r="Q58" s="2"/>
      <c r="R58" s="7">
        <f t="shared" si="45"/>
        <v>1.0011073468627E-3</v>
      </c>
      <c r="S58" s="2"/>
      <c r="T58" s="6"/>
      <c r="U58" s="2"/>
      <c r="V58" s="7">
        <f t="shared" si="46"/>
        <v>0</v>
      </c>
      <c r="W58" s="2"/>
      <c r="X58" s="6">
        <f t="shared" si="47"/>
        <v>91.31</v>
      </c>
      <c r="Y58" s="2"/>
      <c r="Z58" s="7">
        <f t="shared" si="48"/>
        <v>0</v>
      </c>
    </row>
    <row r="59" spans="1:26" s="29" customFormat="1" outlineLevel="1" collapsed="1" x14ac:dyDescent="0.3">
      <c r="A59" s="28"/>
      <c r="B59" s="14" t="str">
        <f>CONCATENATE("     ","Repair and Maintenance                            ")</f>
        <v xml:space="preserve">     Repair and Maintenance                            </v>
      </c>
      <c r="C59" s="14"/>
      <c r="D59" s="1">
        <f>SUM(OSRRefD22_8x_0)</f>
        <v>142.87</v>
      </c>
      <c r="E59" s="1"/>
      <c r="F59" s="5">
        <f t="shared" si="41"/>
        <v>2.10470335718379E-2</v>
      </c>
      <c r="G59" s="1"/>
      <c r="H59" s="1">
        <f>SUM(OSRRefH22_8x_0)</f>
        <v>400.12</v>
      </c>
      <c r="I59" s="1"/>
      <c r="J59" s="5">
        <f t="shared" si="42"/>
        <v>0.25040365479692095</v>
      </c>
      <c r="K59" s="1"/>
      <c r="L59" s="1">
        <f t="shared" si="43"/>
        <v>-257.25</v>
      </c>
      <c r="M59" s="1"/>
      <c r="N59" s="5">
        <f t="shared" si="44"/>
        <v>-0.6429321203638908</v>
      </c>
      <c r="O59" s="14"/>
      <c r="P59" s="1">
        <f>SUM(OSRRefP22_8x_0)</f>
        <v>12528.02</v>
      </c>
      <c r="Q59" s="1"/>
      <c r="R59" s="5">
        <f t="shared" si="45"/>
        <v>0.13735508557269568</v>
      </c>
      <c r="S59" s="1"/>
      <c r="T59" s="1">
        <f>SUM(OSRRefT22_8x_0)</f>
        <v>24520.879999999997</v>
      </c>
      <c r="U59" s="1"/>
      <c r="V59" s="5">
        <f t="shared" si="46"/>
        <v>0.33328680352591727</v>
      </c>
      <c r="W59" s="1"/>
      <c r="X59" s="1">
        <f t="shared" si="47"/>
        <v>-11992.859999999997</v>
      </c>
      <c r="Y59" s="1"/>
      <c r="Z59" s="5">
        <f t="shared" si="48"/>
        <v>-0.48908766732678427</v>
      </c>
    </row>
    <row r="60" spans="1:26" s="24" customFormat="1" hidden="1" outlineLevel="2" x14ac:dyDescent="0.3">
      <c r="A60" s="27"/>
      <c r="B60" s="11" t="str">
        <f>CONCATENATE("          ", "6371", " - ", "COMPUTER SOFTWARE MAINTENANCE")</f>
        <v xml:space="preserve">          6371 - COMPUTER SOFTWARE MAINTENANCE</v>
      </c>
      <c r="C60" s="11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1"/>
      <c r="P60" s="6"/>
      <c r="Q60" s="2"/>
      <c r="R60" s="7">
        <f t="shared" si="45"/>
        <v>0</v>
      </c>
      <c r="S60" s="2"/>
      <c r="T60" s="6">
        <v>7.69</v>
      </c>
      <c r="U60" s="2"/>
      <c r="V60" s="7">
        <f t="shared" si="46"/>
        <v>1.0452216719441979E-4</v>
      </c>
      <c r="W60" s="2"/>
      <c r="X60" s="6">
        <f t="shared" si="47"/>
        <v>-7.69</v>
      </c>
      <c r="Y60" s="2"/>
      <c r="Z60" s="7">
        <f t="shared" si="48"/>
        <v>-1</v>
      </c>
    </row>
    <row r="61" spans="1:26" s="24" customFormat="1" hidden="1" outlineLevel="2" x14ac:dyDescent="0.3">
      <c r="A61" s="27"/>
      <c r="B61" s="11" t="str">
        <f>CONCATENATE("          ", "6373", " - ", "MAINTENANCE CONTRACTS")</f>
        <v xml:space="preserve">          6373 - MAINTENANCE CONTRACTS</v>
      </c>
      <c r="C61" s="11"/>
      <c r="D61" s="6">
        <v>142.87</v>
      </c>
      <c r="E61" s="2"/>
      <c r="F61" s="7">
        <f t="shared" si="41"/>
        <v>2.10470335718379E-2</v>
      </c>
      <c r="G61" s="2"/>
      <c r="H61" s="6">
        <v>400.12</v>
      </c>
      <c r="I61" s="2"/>
      <c r="J61" s="7">
        <f t="shared" si="42"/>
        <v>0.25040365479692095</v>
      </c>
      <c r="K61" s="2"/>
      <c r="L61" s="6">
        <f t="shared" si="43"/>
        <v>-257.25</v>
      </c>
      <c r="M61" s="2"/>
      <c r="N61" s="7">
        <f t="shared" si="44"/>
        <v>-0.6429321203638908</v>
      </c>
      <c r="O61" s="11"/>
      <c r="P61" s="6">
        <v>4630.41</v>
      </c>
      <c r="Q61" s="2"/>
      <c r="R61" s="7">
        <f t="shared" si="45"/>
        <v>5.0767029569450381E-2</v>
      </c>
      <c r="S61" s="2"/>
      <c r="T61" s="6">
        <v>24513.19</v>
      </c>
      <c r="U61" s="2"/>
      <c r="V61" s="7">
        <f t="shared" si="46"/>
        <v>0.33318228135872291</v>
      </c>
      <c r="W61" s="2"/>
      <c r="X61" s="6">
        <f t="shared" si="47"/>
        <v>-19882.78</v>
      </c>
      <c r="Y61" s="2"/>
      <c r="Z61" s="7">
        <f t="shared" si="48"/>
        <v>-0.8111053681711764</v>
      </c>
    </row>
    <row r="62" spans="1:26" s="24" customFormat="1" hidden="1" outlineLevel="2" x14ac:dyDescent="0.3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41"/>
        <v>0</v>
      </c>
      <c r="G62" s="2"/>
      <c r="H62" s="6"/>
      <c r="I62" s="2"/>
      <c r="J62" s="7">
        <f t="shared" si="42"/>
        <v>0</v>
      </c>
      <c r="K62" s="2"/>
      <c r="L62" s="6">
        <f t="shared" si="43"/>
        <v>0</v>
      </c>
      <c r="M62" s="2"/>
      <c r="N62" s="7">
        <f t="shared" si="44"/>
        <v>0</v>
      </c>
      <c r="O62" s="11"/>
      <c r="P62" s="6">
        <v>7897.61</v>
      </c>
      <c r="Q62" s="2"/>
      <c r="R62" s="7">
        <f t="shared" si="45"/>
        <v>8.658805600324529E-2</v>
      </c>
      <c r="S62" s="2"/>
      <c r="T62" s="6"/>
      <c r="U62" s="2"/>
      <c r="V62" s="7">
        <f t="shared" si="46"/>
        <v>0</v>
      </c>
      <c r="W62" s="2"/>
      <c r="X62" s="6">
        <f t="shared" si="47"/>
        <v>7897.61</v>
      </c>
      <c r="Y62" s="2"/>
      <c r="Z62" s="7">
        <f t="shared" si="48"/>
        <v>0</v>
      </c>
    </row>
    <row r="63" spans="1:26" s="29" customFormat="1" outlineLevel="1" collapsed="1" x14ac:dyDescent="0.3">
      <c r="A63" s="28"/>
      <c r="B63" s="14" t="str">
        <f>CONCATENATE("     ","Royalty &amp; Commissions                             ")</f>
        <v xml:space="preserve">     Royalty &amp; Commissions                             </v>
      </c>
      <c r="C63" s="14"/>
      <c r="D63" s="1">
        <f>SUM(OSRRefD22_9x_0)</f>
        <v>784.77</v>
      </c>
      <c r="E63" s="1"/>
      <c r="F63" s="5">
        <f t="shared" ref="F63:F70" si="49">IF(D$12=0,0,D63/D$12)</f>
        <v>0.11560915892889499</v>
      </c>
      <c r="G63" s="1"/>
      <c r="H63" s="1">
        <f>SUM(OSRRefH22_9x_0)</f>
        <v>4453.09</v>
      </c>
      <c r="I63" s="1"/>
      <c r="J63" s="5">
        <f t="shared" ref="J63:J70" si="50">IF(H$12=0,0,H63/H$12)</f>
        <v>2.7868389761562051</v>
      </c>
      <c r="K63" s="1"/>
      <c r="L63" s="1">
        <f t="shared" ref="L63:L70" si="51">+D63-H63</f>
        <v>-3668.32</v>
      </c>
      <c r="M63" s="1"/>
      <c r="N63" s="5">
        <f t="shared" ref="N63:N70" si="52">IF(H63=0,0,L63/H63)</f>
        <v>-0.82376956225901565</v>
      </c>
      <c r="O63" s="14"/>
      <c r="P63" s="1">
        <f>SUM(OSRRefP22_9x_0)</f>
        <v>4492.91</v>
      </c>
      <c r="Q63" s="1"/>
      <c r="R63" s="5">
        <f t="shared" ref="R63:R70" si="53">IF(P$12=0,0,P63/P$12)</f>
        <v>4.9259502899933118E-2</v>
      </c>
      <c r="S63" s="1"/>
      <c r="T63" s="1">
        <f>SUM(OSRRefT22_9x_0)</f>
        <v>10158.290000000001</v>
      </c>
      <c r="U63" s="1"/>
      <c r="V63" s="5">
        <f t="shared" ref="V63:V70" si="54">IF(T$12=0,0,T63/T$12)</f>
        <v>0.13807106447196393</v>
      </c>
      <c r="W63" s="1"/>
      <c r="X63" s="1">
        <f t="shared" ref="X63:X70" si="55">+P63-T63</f>
        <v>-5665.380000000001</v>
      </c>
      <c r="Y63" s="1"/>
      <c r="Z63" s="5">
        <f t="shared" ref="Z63:Z70" si="56">IF(T63=0,0,X63/T63)</f>
        <v>-0.55771000827895256</v>
      </c>
    </row>
    <row r="64" spans="1:26" s="24" customFormat="1" hidden="1" outlineLevel="2" x14ac:dyDescent="0.3">
      <c r="A64" s="27"/>
      <c r="B64" s="11" t="str">
        <f>CONCATENATE("          ", "6259", " - ", "ROYALTY &amp; COMMISSIONS")</f>
        <v xml:space="preserve">          6259 - ROYALTY &amp; COMMISSIONS</v>
      </c>
      <c r="C64" s="11"/>
      <c r="D64" s="6">
        <v>784.77</v>
      </c>
      <c r="E64" s="2"/>
      <c r="F64" s="7">
        <f t="shared" si="49"/>
        <v>0.11560915892889499</v>
      </c>
      <c r="G64" s="2"/>
      <c r="H64" s="6">
        <v>4453.09</v>
      </c>
      <c r="I64" s="2"/>
      <c r="J64" s="7">
        <f t="shared" si="50"/>
        <v>2.7868389761562051</v>
      </c>
      <c r="K64" s="2"/>
      <c r="L64" s="6">
        <f t="shared" si="51"/>
        <v>-3668.32</v>
      </c>
      <c r="M64" s="2"/>
      <c r="N64" s="7">
        <f t="shared" si="52"/>
        <v>-0.82376956225901565</v>
      </c>
      <c r="O64" s="11"/>
      <c r="P64" s="6">
        <v>4492.91</v>
      </c>
      <c r="Q64" s="2"/>
      <c r="R64" s="7">
        <f t="shared" si="53"/>
        <v>4.9259502899933118E-2</v>
      </c>
      <c r="S64" s="2"/>
      <c r="T64" s="6">
        <v>10158.290000000001</v>
      </c>
      <c r="U64" s="2"/>
      <c r="V64" s="7">
        <f t="shared" si="54"/>
        <v>0.13807106447196393</v>
      </c>
      <c r="W64" s="2"/>
      <c r="X64" s="6">
        <f t="shared" si="55"/>
        <v>-5665.380000000001</v>
      </c>
      <c r="Y64" s="2"/>
      <c r="Z64" s="7">
        <f t="shared" si="56"/>
        <v>-0.55771000827895256</v>
      </c>
    </row>
    <row r="65" spans="1:26" s="29" customFormat="1" outlineLevel="1" collapsed="1" x14ac:dyDescent="0.3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SUM(OSRRefD22_10x_0)</f>
        <v>1938.7199999999998</v>
      </c>
      <c r="E65" s="1"/>
      <c r="F65" s="5">
        <f t="shared" si="49"/>
        <v>0.28560443008604725</v>
      </c>
      <c r="G65" s="1"/>
      <c r="H65" s="1">
        <f>SUM(OSRRefH22_10x_0)</f>
        <v>2362.06</v>
      </c>
      <c r="I65" s="1"/>
      <c r="J65" s="5">
        <f t="shared" si="50"/>
        <v>1.4782276738218911</v>
      </c>
      <c r="K65" s="1"/>
      <c r="L65" s="1">
        <f t="shared" si="51"/>
        <v>-423.34000000000015</v>
      </c>
      <c r="M65" s="1"/>
      <c r="N65" s="5">
        <f t="shared" si="52"/>
        <v>-0.17922491384638839</v>
      </c>
      <c r="O65" s="14"/>
      <c r="P65" s="1">
        <f>SUM(OSRRefP22_10x_0)</f>
        <v>18494.150000000001</v>
      </c>
      <c r="Q65" s="1"/>
      <c r="R65" s="5">
        <f t="shared" si="53"/>
        <v>0.20276672258220133</v>
      </c>
      <c r="S65" s="1"/>
      <c r="T65" s="1">
        <f>SUM(OSRRefT22_10x_0)</f>
        <v>23873.61</v>
      </c>
      <c r="U65" s="1"/>
      <c r="V65" s="5">
        <f t="shared" si="54"/>
        <v>0.32448913601487284</v>
      </c>
      <c r="W65" s="1"/>
      <c r="X65" s="1">
        <f t="shared" si="55"/>
        <v>-5379.4599999999991</v>
      </c>
      <c r="Y65" s="1"/>
      <c r="Z65" s="5">
        <f t="shared" si="56"/>
        <v>-0.2253308150715371</v>
      </c>
    </row>
    <row r="66" spans="1:26" s="24" customFormat="1" hidden="1" outlineLevel="2" x14ac:dyDescent="0.3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49"/>
        <v>0</v>
      </c>
      <c r="G66" s="2"/>
      <c r="H66" s="6"/>
      <c r="I66" s="2"/>
      <c r="J66" s="7">
        <f t="shared" si="50"/>
        <v>0</v>
      </c>
      <c r="K66" s="2"/>
      <c r="L66" s="6">
        <f t="shared" si="51"/>
        <v>0</v>
      </c>
      <c r="M66" s="2"/>
      <c r="N66" s="7">
        <f t="shared" si="52"/>
        <v>0</v>
      </c>
      <c r="O66" s="11"/>
      <c r="P66" s="6"/>
      <c r="Q66" s="2"/>
      <c r="R66" s="7">
        <f t="shared" si="53"/>
        <v>0</v>
      </c>
      <c r="S66" s="2"/>
      <c r="T66" s="6">
        <v>310.91000000000003</v>
      </c>
      <c r="U66" s="2"/>
      <c r="V66" s="7">
        <f t="shared" si="54"/>
        <v>4.2258760731361585E-3</v>
      </c>
      <c r="W66" s="2"/>
      <c r="X66" s="6">
        <f t="shared" si="55"/>
        <v>-310.91000000000003</v>
      </c>
      <c r="Y66" s="2"/>
      <c r="Z66" s="7">
        <f t="shared" si="56"/>
        <v>-1</v>
      </c>
    </row>
    <row r="67" spans="1:26" s="24" customFormat="1" hidden="1" outlineLevel="2" x14ac:dyDescent="0.3">
      <c r="A67" s="27"/>
      <c r="B67" s="11" t="str">
        <f>CONCATENATE("          ", "6241", " - ", "OFFICE EXPENSE")</f>
        <v xml:space="preserve">          6241 - OFFICE EXPENSE</v>
      </c>
      <c r="C67" s="11"/>
      <c r="D67" s="6">
        <v>7.16</v>
      </c>
      <c r="E67" s="2"/>
      <c r="F67" s="7">
        <f t="shared" si="49"/>
        <v>1.0547823922052171E-3</v>
      </c>
      <c r="G67" s="2"/>
      <c r="H67" s="6"/>
      <c r="I67" s="2"/>
      <c r="J67" s="7">
        <f t="shared" si="50"/>
        <v>0</v>
      </c>
      <c r="K67" s="2"/>
      <c r="L67" s="6">
        <f t="shared" si="51"/>
        <v>7.16</v>
      </c>
      <c r="M67" s="2"/>
      <c r="N67" s="7">
        <f t="shared" si="52"/>
        <v>0</v>
      </c>
      <c r="O67" s="11"/>
      <c r="P67" s="6">
        <v>4842.87</v>
      </c>
      <c r="Q67" s="2"/>
      <c r="R67" s="7">
        <f t="shared" si="53"/>
        <v>5.3096404960036835E-2</v>
      </c>
      <c r="S67" s="2"/>
      <c r="T67" s="6">
        <v>4596.8599999999997</v>
      </c>
      <c r="U67" s="2"/>
      <c r="V67" s="7">
        <f t="shared" si="54"/>
        <v>6.2480334133854426E-2</v>
      </c>
      <c r="W67" s="2"/>
      <c r="X67" s="6">
        <f t="shared" si="55"/>
        <v>246.01000000000022</v>
      </c>
      <c r="Y67" s="2"/>
      <c r="Z67" s="7">
        <f t="shared" si="56"/>
        <v>5.3516965928916749E-2</v>
      </c>
    </row>
    <row r="68" spans="1:26" s="24" customFormat="1" hidden="1" outlineLevel="2" x14ac:dyDescent="0.3">
      <c r="A68" s="27"/>
      <c r="B68" s="11" t="str">
        <f>CONCATENATE("          ", "6243", " - ", "PAPER SUPPLIES")</f>
        <v xml:space="preserve">          6243 - PAPER SUPPLIES</v>
      </c>
      <c r="C68" s="11"/>
      <c r="D68" s="6">
        <v>284.11</v>
      </c>
      <c r="E68" s="2"/>
      <c r="F68" s="7">
        <f t="shared" si="49"/>
        <v>4.1853942101874889E-2</v>
      </c>
      <c r="G68" s="2"/>
      <c r="H68" s="6">
        <v>1108.5999999999999</v>
      </c>
      <c r="I68" s="2"/>
      <c r="J68" s="7">
        <f t="shared" si="50"/>
        <v>0.69378559359158887</v>
      </c>
      <c r="K68" s="2"/>
      <c r="L68" s="6">
        <f t="shared" si="51"/>
        <v>-824.4899999999999</v>
      </c>
      <c r="M68" s="2"/>
      <c r="N68" s="7">
        <f t="shared" si="52"/>
        <v>-0.74372181129352333</v>
      </c>
      <c r="O68" s="11"/>
      <c r="P68" s="6">
        <v>4470.8999999999996</v>
      </c>
      <c r="Q68" s="2"/>
      <c r="R68" s="7">
        <f t="shared" si="53"/>
        <v>4.901818899450712E-2</v>
      </c>
      <c r="S68" s="2"/>
      <c r="T68" s="6">
        <v>4682.3</v>
      </c>
      <c r="U68" s="2"/>
      <c r="V68" s="7">
        <f t="shared" si="54"/>
        <v>6.3641631138417656E-2</v>
      </c>
      <c r="W68" s="2"/>
      <c r="X68" s="6">
        <f t="shared" si="55"/>
        <v>-211.40000000000055</v>
      </c>
      <c r="Y68" s="2"/>
      <c r="Z68" s="7">
        <f t="shared" si="56"/>
        <v>-4.5148751681865863E-2</v>
      </c>
    </row>
    <row r="69" spans="1:26" s="24" customFormat="1" hidden="1" outlineLevel="2" x14ac:dyDescent="0.3">
      <c r="A69" s="27"/>
      <c r="B69" s="11" t="str">
        <f>CONCATENATE("          ", "6245", " - ", "PRINTING")</f>
        <v xml:space="preserve">          6245 - PRINTING</v>
      </c>
      <c r="C69" s="11"/>
      <c r="D69" s="6">
        <v>632.28</v>
      </c>
      <c r="E69" s="2"/>
      <c r="F69" s="7">
        <f t="shared" si="49"/>
        <v>9.3144945662502032E-2</v>
      </c>
      <c r="G69" s="2"/>
      <c r="H69" s="6">
        <v>93.72</v>
      </c>
      <c r="I69" s="2"/>
      <c r="J69" s="7">
        <f t="shared" si="50"/>
        <v>5.8651980724701167E-2</v>
      </c>
      <c r="K69" s="2"/>
      <c r="L69" s="6">
        <f t="shared" si="51"/>
        <v>538.55999999999995</v>
      </c>
      <c r="M69" s="2"/>
      <c r="N69" s="7">
        <f t="shared" si="52"/>
        <v>5.7464788732394361</v>
      </c>
      <c r="O69" s="11"/>
      <c r="P69" s="6">
        <v>269.89</v>
      </c>
      <c r="Q69" s="2"/>
      <c r="R69" s="7">
        <f t="shared" si="53"/>
        <v>2.9590281660801018E-3</v>
      </c>
      <c r="S69" s="2"/>
      <c r="T69" s="6">
        <v>439.61</v>
      </c>
      <c r="U69" s="2"/>
      <c r="V69" s="7">
        <f t="shared" si="54"/>
        <v>5.9751612380154594E-3</v>
      </c>
      <c r="W69" s="2"/>
      <c r="X69" s="6">
        <f t="shared" si="55"/>
        <v>-169.72000000000003</v>
      </c>
      <c r="Y69" s="2"/>
      <c r="Z69" s="7">
        <f t="shared" si="56"/>
        <v>-0.38606947066718234</v>
      </c>
    </row>
    <row r="70" spans="1:26" s="24" customFormat="1" hidden="1" outlineLevel="2" x14ac:dyDescent="0.3">
      <c r="A70" s="27"/>
      <c r="B70" s="11" t="str">
        <f>CONCATENATE("          ", "6247", " - ", "STORE SUPPLIES")</f>
        <v xml:space="preserve">          6247 - STORE SUPPLIES</v>
      </c>
      <c r="C70" s="11"/>
      <c r="D70" s="6">
        <v>1015.17</v>
      </c>
      <c r="E70" s="2"/>
      <c r="F70" s="7">
        <f t="shared" si="49"/>
        <v>0.14955075992946509</v>
      </c>
      <c r="G70" s="2"/>
      <c r="H70" s="6">
        <v>1159.74</v>
      </c>
      <c r="I70" s="2"/>
      <c r="J70" s="7">
        <f t="shared" si="50"/>
        <v>0.72579009950560103</v>
      </c>
      <c r="K70" s="2"/>
      <c r="L70" s="6">
        <f t="shared" si="51"/>
        <v>-144.57000000000005</v>
      </c>
      <c r="M70" s="2"/>
      <c r="N70" s="7">
        <f t="shared" si="52"/>
        <v>-0.12465725076310212</v>
      </c>
      <c r="O70" s="11"/>
      <c r="P70" s="6">
        <v>8910.49</v>
      </c>
      <c r="Q70" s="2"/>
      <c r="R70" s="7">
        <f t="shared" si="53"/>
        <v>9.7693100461577254E-2</v>
      </c>
      <c r="S70" s="2"/>
      <c r="T70" s="6">
        <v>13843.93</v>
      </c>
      <c r="U70" s="2"/>
      <c r="V70" s="7">
        <f t="shared" si="54"/>
        <v>0.18816613343144914</v>
      </c>
      <c r="W70" s="2"/>
      <c r="X70" s="6">
        <f t="shared" si="55"/>
        <v>-4933.4400000000005</v>
      </c>
      <c r="Y70" s="2"/>
      <c r="Z70" s="7">
        <f t="shared" si="56"/>
        <v>-0.35636123557400251</v>
      </c>
    </row>
    <row r="71" spans="1:26" s="29" customFormat="1" outlineLevel="1" collapsed="1" x14ac:dyDescent="0.3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SUM(OSRRefD22_11x_0)</f>
        <v>46.15</v>
      </c>
      <c r="E71" s="1"/>
      <c r="F71" s="5">
        <f t="shared" ref="F71:F74" si="57">IF(D$12=0,0,D71/D$12)</f>
        <v>6.7986323184735702E-3</v>
      </c>
      <c r="G71" s="1"/>
      <c r="H71" s="1">
        <f>SUM(OSRRefH22_11x_0)</f>
        <v>214.55</v>
      </c>
      <c r="I71" s="1"/>
      <c r="J71" s="5">
        <f t="shared" ref="J71:J74" si="58">IF(H$12=0,0,H71/H$12)</f>
        <v>0.13426997934789411</v>
      </c>
      <c r="K71" s="1"/>
      <c r="L71" s="1">
        <f t="shared" ref="L71:L74" si="59">+D71-H71</f>
        <v>-168.4</v>
      </c>
      <c r="M71" s="1"/>
      <c r="N71" s="5">
        <f t="shared" ref="N71:N74" si="60">IF(H71=0,0,L71/H71)</f>
        <v>-0.78489862502913077</v>
      </c>
      <c r="O71" s="14"/>
      <c r="P71" s="1">
        <f>SUM(OSRRefP22_11x_0)</f>
        <v>579.04999999999995</v>
      </c>
      <c r="Q71" s="1"/>
      <c r="R71" s="5">
        <f t="shared" ref="R71:R74" si="61">IF(P$12=0,0,P71/P$12)</f>
        <v>6.3486059489743334E-3</v>
      </c>
      <c r="S71" s="1"/>
      <c r="T71" s="1">
        <f>SUM(OSRRefT22_11x_0)</f>
        <v>1073.7</v>
      </c>
      <c r="U71" s="1"/>
      <c r="V71" s="5">
        <f t="shared" ref="V71:V74" si="62">IF(T$12=0,0,T71/T$12)</f>
        <v>1.4593686725181864E-2</v>
      </c>
      <c r="W71" s="1"/>
      <c r="X71" s="1">
        <f t="shared" ref="X71:X74" si="63">+P71-T71</f>
        <v>-494.65000000000009</v>
      </c>
      <c r="Y71" s="1"/>
      <c r="Z71" s="5">
        <f t="shared" ref="Z71:Z74" si="64">IF(T71=0,0,X71/T71)</f>
        <v>-0.46069665642171936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6">
        <v>46.15</v>
      </c>
      <c r="E72" s="2"/>
      <c r="F72" s="7">
        <f t="shared" si="57"/>
        <v>6.7986323184735702E-3</v>
      </c>
      <c r="G72" s="2"/>
      <c r="H72" s="6">
        <v>214.55</v>
      </c>
      <c r="I72" s="2"/>
      <c r="J72" s="7">
        <f t="shared" si="58"/>
        <v>0.13426997934789411</v>
      </c>
      <c r="K72" s="2"/>
      <c r="L72" s="6">
        <f t="shared" si="59"/>
        <v>-168.4</v>
      </c>
      <c r="M72" s="2"/>
      <c r="N72" s="7">
        <f t="shared" si="60"/>
        <v>-0.78489862502913077</v>
      </c>
      <c r="O72" s="11"/>
      <c r="P72" s="6">
        <v>579.04999999999995</v>
      </c>
      <c r="Q72" s="2"/>
      <c r="R72" s="7">
        <f t="shared" si="61"/>
        <v>6.3486059489743334E-3</v>
      </c>
      <c r="S72" s="2"/>
      <c r="T72" s="6">
        <v>1073.7</v>
      </c>
      <c r="U72" s="2"/>
      <c r="V72" s="7">
        <f t="shared" si="62"/>
        <v>1.4593686725181864E-2</v>
      </c>
      <c r="W72" s="2"/>
      <c r="X72" s="6">
        <f t="shared" si="63"/>
        <v>-494.65000000000009</v>
      </c>
      <c r="Y72" s="2"/>
      <c r="Z72" s="7">
        <f t="shared" si="64"/>
        <v>-0.46069665642171936</v>
      </c>
    </row>
    <row r="73" spans="1:26" s="29" customFormat="1" outlineLevel="1" collapsed="1" x14ac:dyDescent="0.3">
      <c r="A73" s="28"/>
      <c r="B73" s="14" t="str">
        <f>CONCATENATE("     ","Utilities                                         ")</f>
        <v xml:space="preserve">     Utilities                                         </v>
      </c>
      <c r="C73" s="14"/>
      <c r="D73" s="1">
        <f>SUM(OSRRefD22_12x_0)</f>
        <v>0</v>
      </c>
      <c r="E73" s="1"/>
      <c r="F73" s="5">
        <f t="shared" si="57"/>
        <v>0</v>
      </c>
      <c r="G73" s="1"/>
      <c r="H73" s="1">
        <f>SUM(OSRRefH22_12x_0)</f>
        <v>0</v>
      </c>
      <c r="I73" s="1"/>
      <c r="J73" s="5">
        <f t="shared" si="58"/>
        <v>0</v>
      </c>
      <c r="K73" s="1"/>
      <c r="L73" s="1">
        <f t="shared" si="59"/>
        <v>0</v>
      </c>
      <c r="M73" s="1"/>
      <c r="N73" s="5">
        <f t="shared" si="60"/>
        <v>0</v>
      </c>
      <c r="O73" s="14"/>
      <c r="P73" s="1">
        <f>SUM(OSRRefP22_12x_0)</f>
        <v>0</v>
      </c>
      <c r="Q73" s="1"/>
      <c r="R73" s="5">
        <f t="shared" si="61"/>
        <v>0</v>
      </c>
      <c r="S73" s="1"/>
      <c r="T73" s="1">
        <f>SUM(OSRRefT22_12x_0)</f>
        <v>15.02</v>
      </c>
      <c r="U73" s="1"/>
      <c r="V73" s="5">
        <f t="shared" si="62"/>
        <v>2.0415122903253384E-4</v>
      </c>
      <c r="W73" s="1"/>
      <c r="X73" s="1">
        <f t="shared" si="63"/>
        <v>-15.02</v>
      </c>
      <c r="Y73" s="1"/>
      <c r="Z73" s="5">
        <f t="shared" si="64"/>
        <v>-1</v>
      </c>
    </row>
    <row r="74" spans="1:26" s="24" customFormat="1" hidden="1" outlineLevel="2" x14ac:dyDescent="0.3">
      <c r="A74" s="27"/>
      <c r="B74" s="11" t="str">
        <f>CONCATENATE("          ", "6274", " - ", "UTILITIES")</f>
        <v xml:space="preserve">          6274 - UTILITIES</v>
      </c>
      <c r="C74" s="11"/>
      <c r="D74" s="6"/>
      <c r="E74" s="2"/>
      <c r="F74" s="7">
        <f t="shared" si="57"/>
        <v>0</v>
      </c>
      <c r="G74" s="2"/>
      <c r="H74" s="6"/>
      <c r="I74" s="2"/>
      <c r="J74" s="7">
        <f t="shared" si="58"/>
        <v>0</v>
      </c>
      <c r="K74" s="2"/>
      <c r="L74" s="6">
        <f t="shared" si="59"/>
        <v>0</v>
      </c>
      <c r="M74" s="2"/>
      <c r="N74" s="7">
        <f t="shared" si="60"/>
        <v>0</v>
      </c>
      <c r="O74" s="11"/>
      <c r="P74" s="6"/>
      <c r="Q74" s="2"/>
      <c r="R74" s="7">
        <f t="shared" si="61"/>
        <v>0</v>
      </c>
      <c r="S74" s="2"/>
      <c r="T74" s="6">
        <v>15.02</v>
      </c>
      <c r="U74" s="2"/>
      <c r="V74" s="7">
        <f t="shared" si="62"/>
        <v>2.0415122903253384E-4</v>
      </c>
      <c r="W74" s="2"/>
      <c r="X74" s="6">
        <f t="shared" si="63"/>
        <v>-15.02</v>
      </c>
      <c r="Y74" s="2"/>
      <c r="Z74" s="7">
        <f t="shared" si="64"/>
        <v>-1</v>
      </c>
    </row>
    <row r="75" spans="1:26" s="62" customFormat="1" x14ac:dyDescent="0.3">
      <c r="A75" s="37"/>
      <c r="B75" s="37"/>
      <c r="C75" s="37"/>
      <c r="D75" s="1"/>
      <c r="E75" s="1"/>
      <c r="F75" s="5"/>
      <c r="G75" s="1"/>
      <c r="H75" s="1"/>
      <c r="I75" s="1"/>
      <c r="J75" s="5"/>
      <c r="K75" s="1"/>
      <c r="L75" s="1"/>
      <c r="M75" s="1"/>
      <c r="N75" s="5"/>
      <c r="O75" s="37"/>
      <c r="P75" s="1"/>
      <c r="Q75" s="1"/>
      <c r="R75" s="5"/>
      <c r="S75" s="1"/>
      <c r="T75" s="1"/>
      <c r="U75" s="1"/>
      <c r="V75" s="5"/>
      <c r="W75" s="1"/>
      <c r="X75" s="1"/>
      <c r="Y75" s="1"/>
      <c r="Z75" s="5"/>
    </row>
    <row r="76" spans="1:26" s="23" customFormat="1" collapsed="1" x14ac:dyDescent="0.3">
      <c r="A76" s="10"/>
      <c r="B76" s="26" t="s">
        <v>292</v>
      </c>
      <c r="C76" s="10"/>
      <c r="D76" s="4">
        <f>SUM(OSRRefD25x_0)</f>
        <v>0</v>
      </c>
      <c r="E76" s="4"/>
      <c r="F76" s="12">
        <f t="shared" ref="F76:F78" si="65">IF(D$12=0,0,D76/D$12)</f>
        <v>0</v>
      </c>
      <c r="G76" s="4"/>
      <c r="H76" s="4">
        <f>SUM(OSRRefH25x_0)</f>
        <v>6782</v>
      </c>
      <c r="I76" s="4"/>
      <c r="J76" s="12">
        <f t="shared" ref="J76:J78" si="66">IF(H$12=0,0,H76/H$12)</f>
        <v>4.2443206708805308</v>
      </c>
      <c r="K76" s="4"/>
      <c r="L76" s="4">
        <f t="shared" ref="L76:L78" si="67">+D76-H76</f>
        <v>-6782</v>
      </c>
      <c r="M76" s="4"/>
      <c r="N76" s="12">
        <f t="shared" ref="N76:N78" si="68">IF(H76=0,0,L76/H76)</f>
        <v>-1</v>
      </c>
      <c r="O76" s="10"/>
      <c r="P76" s="4">
        <f>SUM(OSRRefP25x_0)</f>
        <v>14899</v>
      </c>
      <c r="Q76" s="4"/>
      <c r="R76" s="12">
        <f t="shared" ref="R76:R78" si="69">IF(P$12=0,0,P76/P$12)</f>
        <v>0.16335010799372868</v>
      </c>
      <c r="S76" s="4"/>
      <c r="T76" s="4">
        <f>SUM(OSRRefT25x_0)</f>
        <v>33910</v>
      </c>
      <c r="U76" s="4"/>
      <c r="V76" s="12">
        <f t="shared" ref="V76:V78" si="70">IF(T$12=0,0,T76/T$12)</f>
        <v>0.46090334064535438</v>
      </c>
      <c r="W76" s="4"/>
      <c r="X76" s="4">
        <f t="shared" ref="X76:X78" si="71">+P76-T76</f>
        <v>-19011</v>
      </c>
      <c r="Y76" s="4"/>
      <c r="Z76" s="12">
        <f t="shared" ref="Z76:Z78" si="72">IF(T76=0,0,X76/T76)</f>
        <v>-0.56063108227661462</v>
      </c>
    </row>
    <row r="77" spans="1:26" s="24" customFormat="1" hidden="1" outlineLevel="1" x14ac:dyDescent="0.3">
      <c r="A77" s="44"/>
      <c r="B77" s="11" t="str">
        <f>CONCATENATE("          ", "9150", " - ", "MISC. INCOME")</f>
        <v xml:space="preserve">          9150 - MISC. INCOME</v>
      </c>
      <c r="C77" s="11"/>
      <c r="D77" s="2">
        <f t="shared" ref="D77:D78" si="73">0</f>
        <v>0</v>
      </c>
      <c r="E77" s="2"/>
      <c r="F77" s="19">
        <f t="shared" si="65"/>
        <v>0</v>
      </c>
      <c r="G77" s="2"/>
      <c r="H77" s="2">
        <f>--6782</f>
        <v>6782</v>
      </c>
      <c r="I77" s="2"/>
      <c r="J77" s="19">
        <f t="shared" si="66"/>
        <v>4.2443206708805308</v>
      </c>
      <c r="K77" s="2"/>
      <c r="L77" s="2">
        <f t="shared" si="67"/>
        <v>-6782</v>
      </c>
      <c r="M77" s="2"/>
      <c r="N77" s="19">
        <f t="shared" si="68"/>
        <v>-1</v>
      </c>
      <c r="O77" s="11"/>
      <c r="P77" s="2">
        <f>--14899</f>
        <v>14899</v>
      </c>
      <c r="Q77" s="2"/>
      <c r="R77" s="19">
        <f t="shared" si="69"/>
        <v>0.16335010799372868</v>
      </c>
      <c r="S77" s="2"/>
      <c r="T77" s="2">
        <f>--33910</f>
        <v>33910</v>
      </c>
      <c r="U77" s="2"/>
      <c r="V77" s="19">
        <f t="shared" si="70"/>
        <v>0.46090334064535438</v>
      </c>
      <c r="W77" s="2"/>
      <c r="X77" s="2">
        <f t="shared" si="71"/>
        <v>-19011</v>
      </c>
      <c r="Y77" s="2"/>
      <c r="Z77" s="19">
        <f t="shared" si="72"/>
        <v>-0.56063108227661462</v>
      </c>
    </row>
    <row r="78" spans="1:26" s="24" customFormat="1" hidden="1" outlineLevel="1" x14ac:dyDescent="0.3">
      <c r="A78" s="44"/>
      <c r="B78" s="11" t="str">
        <f>CONCATENATE("          ", "9163", " - ", "MISC. INCOME")</f>
        <v xml:space="preserve">          9163 - MISC. INCOME</v>
      </c>
      <c r="C78" s="11"/>
      <c r="D78" s="2">
        <f t="shared" si="73"/>
        <v>0</v>
      </c>
      <c r="E78" s="2"/>
      <c r="F78" s="19">
        <f t="shared" si="65"/>
        <v>0</v>
      </c>
      <c r="G78" s="2"/>
      <c r="H78" s="2">
        <f>0</f>
        <v>0</v>
      </c>
      <c r="I78" s="2"/>
      <c r="J78" s="19">
        <f t="shared" si="66"/>
        <v>0</v>
      </c>
      <c r="K78" s="2"/>
      <c r="L78" s="2">
        <f t="shared" si="67"/>
        <v>0</v>
      </c>
      <c r="M78" s="2"/>
      <c r="N78" s="19">
        <f t="shared" si="68"/>
        <v>0</v>
      </c>
      <c r="O78" s="11"/>
      <c r="P78" s="2">
        <f>0</f>
        <v>0</v>
      </c>
      <c r="Q78" s="2"/>
      <c r="R78" s="19">
        <f t="shared" si="69"/>
        <v>0</v>
      </c>
      <c r="S78" s="2"/>
      <c r="T78" s="2">
        <f>0</f>
        <v>0</v>
      </c>
      <c r="U78" s="2"/>
      <c r="V78" s="19">
        <f t="shared" si="70"/>
        <v>0</v>
      </c>
      <c r="W78" s="2"/>
      <c r="X78" s="2">
        <f t="shared" si="71"/>
        <v>0</v>
      </c>
      <c r="Y78" s="2"/>
      <c r="Z78" s="19">
        <f t="shared" si="72"/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10"/>
      <c r="B80" s="25" t="s">
        <v>276</v>
      </c>
      <c r="C80" s="25"/>
      <c r="D80" s="21">
        <f>+D30-D32+D76</f>
        <v>-5228.7300000000023</v>
      </c>
      <c r="E80" s="13"/>
      <c r="F80" s="22">
        <f>IF(D$12=0,0,D80/D$12)</f>
        <v>-0.7702754661445792</v>
      </c>
      <c r="G80" s="13"/>
      <c r="H80" s="21">
        <f>+H30-H32+H76</f>
        <v>-30800.15</v>
      </c>
      <c r="I80" s="13"/>
      <c r="J80" s="22">
        <f>IF(H$12=0,0,H80/H$12)</f>
        <v>-19.275392702922584</v>
      </c>
      <c r="K80" s="16"/>
      <c r="L80" s="21">
        <f>+D80-H80</f>
        <v>25571.42</v>
      </c>
      <c r="M80" s="16"/>
      <c r="N80" s="22">
        <f>IF(H80=0,0,L80/H80)</f>
        <v>-0.83023686572954991</v>
      </c>
      <c r="O80" s="26"/>
      <c r="P80" s="21">
        <f>+P30-P32+P76</f>
        <v>-19273.329999999973</v>
      </c>
      <c r="Q80" s="13"/>
      <c r="R80" s="22">
        <f>IF(P$12=0,0,P80/P$12)</f>
        <v>-0.21130951989386981</v>
      </c>
      <c r="S80" s="13"/>
      <c r="T80" s="21">
        <f>+T30-T32+T76</f>
        <v>-52702.829999999929</v>
      </c>
      <c r="U80" s="13"/>
      <c r="V80" s="22">
        <f>IF(T$12=0,0,T80/T$12)</f>
        <v>-0.71633472157075107</v>
      </c>
      <c r="W80" s="16"/>
      <c r="X80" s="21">
        <f>+P80-T80</f>
        <v>33429.499999999956</v>
      </c>
      <c r="Y80" s="16"/>
      <c r="Z80" s="22">
        <f>IF(T80=0,0,X80/T80)</f>
        <v>-0.63430180125052116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51"/>
      <c r="B82" s="10" t="s">
        <v>127</v>
      </c>
      <c r="C82" s="10"/>
      <c r="D82" s="4">
        <v>1105.7</v>
      </c>
      <c r="E82" s="4"/>
      <c r="F82" s="12">
        <f>IF(D$12=0,0,D82/D$12)</f>
        <v>0.16288727528789226</v>
      </c>
      <c r="G82" s="4"/>
      <c r="H82" s="4">
        <v>-3900.6</v>
      </c>
      <c r="I82" s="4"/>
      <c r="J82" s="12">
        <f>IF(H$12=0,0,H82/H$12)</f>
        <v>-2.4410789160773514</v>
      </c>
      <c r="K82" s="4"/>
      <c r="L82" s="4">
        <f>+D82-H82</f>
        <v>5006.3</v>
      </c>
      <c r="M82" s="4"/>
      <c r="N82" s="12">
        <f>IF(H82=0,0,L82/H82)</f>
        <v>-1.283469209865149</v>
      </c>
      <c r="O82" s="10"/>
      <c r="P82" s="4">
        <v>10864.06</v>
      </c>
      <c r="Q82" s="4"/>
      <c r="R82" s="12">
        <f>IF(P$12=0,0,P82/P$12)</f>
        <v>0.1191117104671688</v>
      </c>
      <c r="S82" s="4"/>
      <c r="T82" s="4">
        <v>11690.74</v>
      </c>
      <c r="U82" s="4"/>
      <c r="V82" s="12">
        <f>IF(T$12=0,0,T82/T$12)</f>
        <v>0.15890006253660482</v>
      </c>
      <c r="W82" s="4"/>
      <c r="X82" s="4">
        <f>+P82-T82</f>
        <v>-826.68000000000029</v>
      </c>
      <c r="Y82" s="4"/>
      <c r="Z82" s="12">
        <f>IF(T82=0,0,X82/T82)</f>
        <v>-7.0712375777752329E-2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5" t="s">
        <v>125</v>
      </c>
      <c r="C84" s="25"/>
      <c r="D84" s="35">
        <f>+D80-D82</f>
        <v>-6334.4300000000021</v>
      </c>
      <c r="E84" s="13"/>
      <c r="F84" s="31">
        <f>IF(D$12=0,0,D84/D$12)</f>
        <v>-0.93316274143247135</v>
      </c>
      <c r="G84" s="13"/>
      <c r="H84" s="35">
        <f>+H80-H82</f>
        <v>-26899.550000000003</v>
      </c>
      <c r="I84" s="13"/>
      <c r="J84" s="31">
        <f>IF(H$12=0,0,H84/H$12)</f>
        <v>-16.834313786845236</v>
      </c>
      <c r="K84" s="16"/>
      <c r="L84" s="35">
        <f>D84-H84</f>
        <v>20565.120000000003</v>
      </c>
      <c r="M84" s="16"/>
      <c r="N84" s="31">
        <f>IF(H84=0,0,L84/H84)</f>
        <v>-0.76451539152141956</v>
      </c>
      <c r="O84" s="26"/>
      <c r="P84" s="35">
        <f>+P80-P82</f>
        <v>-30137.38999999997</v>
      </c>
      <c r="Q84" s="13"/>
      <c r="R84" s="31">
        <f>IF(P$12=0,0,P84/P$12)</f>
        <v>-0.3304212303610386</v>
      </c>
      <c r="S84" s="13"/>
      <c r="T84" s="35">
        <f>+T80-T82</f>
        <v>-64393.569999999927</v>
      </c>
      <c r="U84" s="13"/>
      <c r="V84" s="31">
        <f>IF(T$12=0,0,T84/T$12)</f>
        <v>-0.87523478410735589</v>
      </c>
      <c r="W84" s="16"/>
      <c r="X84" s="35">
        <f>P84-T84</f>
        <v>34256.179999999957</v>
      </c>
      <c r="Y84" s="16"/>
      <c r="Z84" s="31">
        <f>IF(T84=0,0,X84/T84)</f>
        <v>-0.53198137640140153</v>
      </c>
    </row>
    <row r="85" spans="1:26" ht="15" thickTop="1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5" t="s">
        <v>293</v>
      </c>
      <c r="C87" s="25"/>
      <c r="D87" s="36">
        <f>SUM(D84:D86)</f>
        <v>-6334.4300000000021</v>
      </c>
      <c r="E87" s="13"/>
      <c r="F87" s="33">
        <f>IF(D$12=0,0,D87/D$12)</f>
        <v>-0.93316274143247135</v>
      </c>
      <c r="G87" s="13"/>
      <c r="H87" s="36">
        <f>SUM(H84:H86)</f>
        <v>-26899.550000000003</v>
      </c>
      <c r="I87" s="13"/>
      <c r="J87" s="33">
        <f>IF(H$12=0,0,H87/H$12)</f>
        <v>-16.834313786845236</v>
      </c>
      <c r="K87" s="16"/>
      <c r="L87" s="36">
        <f>+D87-H87</f>
        <v>20565.120000000003</v>
      </c>
      <c r="M87" s="16"/>
      <c r="N87" s="33">
        <f>IF(H87=0,0,L87/H87)</f>
        <v>-0.76451539152141956</v>
      </c>
      <c r="O87" s="26"/>
      <c r="P87" s="36">
        <f>SUM(P84:P86)</f>
        <v>-30137.38999999997</v>
      </c>
      <c r="Q87" s="13"/>
      <c r="R87" s="33">
        <f>IF(P$12=0,0,P87/P$12)</f>
        <v>-0.3304212303610386</v>
      </c>
      <c r="S87" s="13"/>
      <c r="T87" s="36">
        <f>SUM(T84:T86)</f>
        <v>-64393.569999999927</v>
      </c>
      <c r="U87" s="13"/>
      <c r="V87" s="33">
        <f>IF(T$12=0,0,T87/T$12)</f>
        <v>-0.87523478410735589</v>
      </c>
      <c r="W87" s="16"/>
      <c r="X87" s="36">
        <f>+P87-T87</f>
        <v>34256.179999999957</v>
      </c>
      <c r="Y87" s="16"/>
      <c r="Z87" s="33">
        <f>IF(T87=0,0,X87/T87)</f>
        <v>-0.53198137640140153</v>
      </c>
    </row>
    <row r="88" spans="1:26" ht="15" thickTop="1" x14ac:dyDescent="0.3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2">
        <v>44543.765544756941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9" t="s">
        <v>56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61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92D050"/>
    <outlinePr summaryBelow="0" summaryRight="0"/>
  </sheetPr>
  <dimension ref="A2:Z89"/>
  <sheetViews>
    <sheetView zoomScale="80" workbookViewId="0">
      <pane xSplit="3" ySplit="10" topLeftCell="D25" activePane="bottomRight" state="frozen"/>
      <selection pane="topRight" activeCell="D1" sqref="D1"/>
      <selection pane="bottomLeft" activeCell="A11" sqref="A11"/>
      <selection pane="bottomRight" activeCell="D32" sqref="D32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","316", " - ", "Campus Copy Center")</f>
        <v>Department 316 - Campus Copy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6788.13</v>
      </c>
      <c r="E12" s="4"/>
      <c r="F12" s="12"/>
      <c r="G12" s="4"/>
      <c r="H12" s="4">
        <f>SUM(OSRRefH13x_0)</f>
        <v>1597.9</v>
      </c>
      <c r="I12" s="4"/>
      <c r="J12" s="12"/>
      <c r="K12" s="4"/>
      <c r="L12" s="4">
        <f t="shared" ref="L12:L23" si="0">+D12-H12</f>
        <v>5190.2299999999996</v>
      </c>
      <c r="M12" s="4"/>
      <c r="N12" s="12">
        <f t="shared" ref="N12:N23" si="1">IF(H12=0,0,L12/H12)</f>
        <v>3.2481569560047556</v>
      </c>
      <c r="O12" s="10"/>
      <c r="P12" s="4">
        <f>SUM(OSRRefP13x_0)</f>
        <v>91209</v>
      </c>
      <c r="Q12" s="4"/>
      <c r="R12" s="12"/>
      <c r="S12" s="4"/>
      <c r="T12" s="4">
        <f>SUM(OSRRefT13x_0)</f>
        <v>73572.91</v>
      </c>
      <c r="U12" s="4"/>
      <c r="V12" s="12"/>
      <c r="W12" s="4"/>
      <c r="X12" s="4">
        <f t="shared" ref="X12:X23" si="2">+P12-T12</f>
        <v>17636.089999999997</v>
      </c>
      <c r="Y12" s="4"/>
      <c r="Z12" s="12">
        <f t="shared" ref="Z12:Z23" si="3">IF(T12=0,0,X12/T12)</f>
        <v>0.2397090178980279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--3447.29</f>
        <v>3447.29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3447.29</v>
      </c>
      <c r="M13" s="2"/>
      <c r="N13" s="19">
        <f t="shared" si="1"/>
        <v>0</v>
      </c>
      <c r="O13" s="11"/>
      <c r="P13" s="2">
        <f>--74011.53</f>
        <v>74011.53</v>
      </c>
      <c r="Q13" s="2"/>
      <c r="R13" s="19"/>
      <c r="S13" s="2"/>
      <c r="T13" s="2">
        <f>-8.65</f>
        <v>-8.65</v>
      </c>
      <c r="U13" s="2"/>
      <c r="V13" s="19"/>
      <c r="W13" s="2"/>
      <c r="X13" s="2">
        <f t="shared" si="2"/>
        <v>74020.179999999993</v>
      </c>
      <c r="Y13" s="2"/>
      <c r="Z13" s="19">
        <f t="shared" si="3"/>
        <v>-8557.246242774565</v>
      </c>
    </row>
    <row r="14" spans="1:26" s="24" customFormat="1" hidden="1" outlineLevel="1" x14ac:dyDescent="0.3">
      <c r="A14" s="44"/>
      <c r="B14" s="11" t="str">
        <f>CONCATENATE("          ", "4041", " - ", "TAXABLE SALES-LOGO GIFTS")</f>
        <v xml:space="preserve">          4041 - TAXABLE SALES-LOGO GIFTS</v>
      </c>
      <c r="C14" s="11"/>
      <c r="D14" s="2">
        <f t="shared" ref="D14:D16" si="4">0</f>
        <v>0</v>
      </c>
      <c r="E14" s="2"/>
      <c r="F14" s="19"/>
      <c r="G14" s="2"/>
      <c r="H14" s="2">
        <f>--323.05</f>
        <v>323.05</v>
      </c>
      <c r="I14" s="2"/>
      <c r="J14" s="19"/>
      <c r="K14" s="2"/>
      <c r="L14" s="2">
        <f t="shared" si="0"/>
        <v>-323.05</v>
      </c>
      <c r="M14" s="2"/>
      <c r="N14" s="19">
        <f t="shared" si="1"/>
        <v>-1</v>
      </c>
      <c r="O14" s="11"/>
      <c r="P14" s="2">
        <f t="shared" ref="P14:P16" si="5">0</f>
        <v>0</v>
      </c>
      <c r="Q14" s="2"/>
      <c r="R14" s="19"/>
      <c r="S14" s="2"/>
      <c r="T14" s="2">
        <f>--60692.37</f>
        <v>60692.37</v>
      </c>
      <c r="U14" s="2"/>
      <c r="V14" s="19"/>
      <c r="W14" s="2"/>
      <c r="X14" s="2">
        <f t="shared" si="2"/>
        <v>-60692.37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"4042", " - ", "TAXABLE SALES-EVERYDAY GIFTS")</f>
        <v xml:space="preserve">          4042 - TAXABLE SALES-EVERYDAY GIFTS</v>
      </c>
      <c r="C15" s="11"/>
      <c r="D15" s="2">
        <f t="shared" si="4"/>
        <v>0</v>
      </c>
      <c r="E15" s="2"/>
      <c r="F15" s="19"/>
      <c r="G15" s="2"/>
      <c r="H15" s="2">
        <f>--402.24</f>
        <v>402.24</v>
      </c>
      <c r="I15" s="2"/>
      <c r="J15" s="19"/>
      <c r="K15" s="2"/>
      <c r="L15" s="2">
        <f t="shared" si="0"/>
        <v>-402.24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--11889.82</f>
        <v>11889.82</v>
      </c>
      <c r="U15" s="2"/>
      <c r="V15" s="19"/>
      <c r="W15" s="2"/>
      <c r="X15" s="2">
        <f t="shared" si="2"/>
        <v>-11889.82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"4043", " - ", "TAXABLE SALES-CARDS")</f>
        <v xml:space="preserve">          4043 - TAXABLE SALES-CARDS</v>
      </c>
      <c r="C16" s="11"/>
      <c r="D16" s="2">
        <f t="shared" si="4"/>
        <v>0</v>
      </c>
      <c r="E16" s="2"/>
      <c r="F16" s="19"/>
      <c r="G16" s="2"/>
      <c r="H16" s="2">
        <f t="shared" ref="H16:H18" si="6"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5"/>
        <v>0</v>
      </c>
      <c r="Q16" s="2"/>
      <c r="R16" s="19"/>
      <c r="S16" s="2"/>
      <c r="T16" s="2">
        <f>--7.98</f>
        <v>7.98</v>
      </c>
      <c r="U16" s="2"/>
      <c r="V16" s="19"/>
      <c r="W16" s="2"/>
      <c r="X16" s="2">
        <f t="shared" si="2"/>
        <v>-7.98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--3340.84</f>
        <v>3340.84</v>
      </c>
      <c r="E17" s="2"/>
      <c r="F17" s="19"/>
      <c r="G17" s="2"/>
      <c r="H17" s="2">
        <f t="shared" si="6"/>
        <v>0</v>
      </c>
      <c r="I17" s="2"/>
      <c r="J17" s="19"/>
      <c r="K17" s="2"/>
      <c r="L17" s="2">
        <f t="shared" si="0"/>
        <v>3340.84</v>
      </c>
      <c r="M17" s="2"/>
      <c r="N17" s="19">
        <f t="shared" si="1"/>
        <v>0</v>
      </c>
      <c r="O17" s="11"/>
      <c r="P17" s="2">
        <f>--17600.47</f>
        <v>17600.47</v>
      </c>
      <c r="Q17" s="2"/>
      <c r="R17" s="19"/>
      <c r="S17" s="2"/>
      <c r="T17" s="2">
        <f>0</f>
        <v>0</v>
      </c>
      <c r="U17" s="2"/>
      <c r="V17" s="19"/>
      <c r="W17" s="2"/>
      <c r="X17" s="2">
        <f t="shared" si="2"/>
        <v>17600.47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"4141", " - ", "NON-TAXABLE SALES-LOGO GIFTS")</f>
        <v xml:space="preserve">          4141 - NON-TAXABLE SALES-LOGO GIFTS</v>
      </c>
      <c r="C18" s="11"/>
      <c r="D18" s="2">
        <f t="shared" ref="D18:D23" si="7">0</f>
        <v>0</v>
      </c>
      <c r="E18" s="2"/>
      <c r="F18" s="19"/>
      <c r="G18" s="2"/>
      <c r="H18" s="2">
        <f t="shared" si="6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8">0</f>
        <v>0</v>
      </c>
      <c r="Q18" s="2"/>
      <c r="R18" s="19"/>
      <c r="S18" s="2"/>
      <c r="T18" s="2">
        <f>--511.5</f>
        <v>511.5</v>
      </c>
      <c r="U18" s="2"/>
      <c r="V18" s="19"/>
      <c r="W18" s="2"/>
      <c r="X18" s="2">
        <f t="shared" si="2"/>
        <v>-511.5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"4142", " - ", "NON-TAXABLE SALES-EVERYDAY GIF")</f>
        <v xml:space="preserve">          4142 - NON-TAXABLE SALES-EVERYDAY GIF</v>
      </c>
      <c r="C19" s="11"/>
      <c r="D19" s="2">
        <f t="shared" si="7"/>
        <v>0</v>
      </c>
      <c r="E19" s="2"/>
      <c r="F19" s="19"/>
      <c r="G19" s="2"/>
      <c r="H19" s="2">
        <f>--859.61</f>
        <v>859.61</v>
      </c>
      <c r="I19" s="2"/>
      <c r="J19" s="19"/>
      <c r="K19" s="2"/>
      <c r="L19" s="2">
        <f t="shared" si="0"/>
        <v>-859.61</v>
      </c>
      <c r="M19" s="2"/>
      <c r="N19" s="19">
        <f t="shared" si="1"/>
        <v>-1</v>
      </c>
      <c r="O19" s="11"/>
      <c r="P19" s="2">
        <f t="shared" si="8"/>
        <v>0</v>
      </c>
      <c r="Q19" s="2"/>
      <c r="R19" s="19"/>
      <c r="S19" s="2"/>
      <c r="T19" s="2">
        <f>--1110.59</f>
        <v>1110.5899999999999</v>
      </c>
      <c r="U19" s="2"/>
      <c r="V19" s="19"/>
      <c r="W19" s="2"/>
      <c r="X19" s="2">
        <f t="shared" si="2"/>
        <v>-1110.5899999999999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"4146", " - ", "NON-TAXABLE SALES-COIN OP MACH")</f>
        <v xml:space="preserve">          4146 - NON-TAXABLE SALES-COIN OP MACH</v>
      </c>
      <c r="C20" s="11"/>
      <c r="D20" s="2">
        <f t="shared" si="7"/>
        <v>0</v>
      </c>
      <c r="E20" s="2"/>
      <c r="F20" s="19"/>
      <c r="G20" s="2"/>
      <c r="H20" s="2">
        <f>--21.5</f>
        <v>21.5</v>
      </c>
      <c r="I20" s="2"/>
      <c r="J20" s="19"/>
      <c r="K20" s="2"/>
      <c r="L20" s="2">
        <f t="shared" si="0"/>
        <v>-21.5</v>
      </c>
      <c r="M20" s="2"/>
      <c r="N20" s="19">
        <f t="shared" si="1"/>
        <v>-1</v>
      </c>
      <c r="O20" s="11"/>
      <c r="P20" s="2">
        <f t="shared" si="8"/>
        <v>0</v>
      </c>
      <c r="Q20" s="2"/>
      <c r="R20" s="19"/>
      <c r="S20" s="2"/>
      <c r="T20" s="2">
        <f>--108</f>
        <v>108</v>
      </c>
      <c r="U20" s="2"/>
      <c r="V20" s="19"/>
      <c r="W20" s="2"/>
      <c r="X20" s="2">
        <f t="shared" si="2"/>
        <v>-108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"4147", " - ", "NON-TAXABLE SALES-MISC")</f>
        <v xml:space="preserve">          4147 - NON-TAXABLE SALES-MISC</v>
      </c>
      <c r="C21" s="11"/>
      <c r="D21" s="2">
        <f t="shared" si="7"/>
        <v>0</v>
      </c>
      <c r="E21" s="2"/>
      <c r="F21" s="19"/>
      <c r="G21" s="2"/>
      <c r="H21" s="2">
        <f>--5</f>
        <v>5</v>
      </c>
      <c r="I21" s="2"/>
      <c r="J21" s="19"/>
      <c r="K21" s="2"/>
      <c r="L21" s="2">
        <f t="shared" si="0"/>
        <v>-5</v>
      </c>
      <c r="M21" s="2"/>
      <c r="N21" s="19">
        <f t="shared" si="1"/>
        <v>-1</v>
      </c>
      <c r="O21" s="11"/>
      <c r="P21" s="2">
        <f t="shared" si="8"/>
        <v>0</v>
      </c>
      <c r="Q21" s="2"/>
      <c r="R21" s="19"/>
      <c r="S21" s="2"/>
      <c r="T21" s="2">
        <f>--91.5</f>
        <v>91.5</v>
      </c>
      <c r="U21" s="2"/>
      <c r="V21" s="19"/>
      <c r="W21" s="2"/>
      <c r="X21" s="2">
        <f t="shared" si="2"/>
        <v>-91.5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"4200", " - ", "TAXABLE RETURNS")</f>
        <v xml:space="preserve">          4200 - TAXABLE RETURNS</v>
      </c>
      <c r="C22" s="11"/>
      <c r="D22" s="2">
        <f t="shared" si="7"/>
        <v>0</v>
      </c>
      <c r="E22" s="2"/>
      <c r="F22" s="19"/>
      <c r="G22" s="2"/>
      <c r="H22" s="2">
        <f>0</f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>-403</f>
        <v>-403</v>
      </c>
      <c r="Q22" s="2"/>
      <c r="R22" s="19"/>
      <c r="S22" s="2"/>
      <c r="T22" s="2">
        <f>0</f>
        <v>0</v>
      </c>
      <c r="U22" s="2"/>
      <c r="V22" s="19"/>
      <c r="W22" s="2"/>
      <c r="X22" s="2">
        <f t="shared" si="2"/>
        <v>-403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"4241", " - ", "SALES RETURN TAXABLE-LOGO GIFT")</f>
        <v xml:space="preserve">          4241 - SALES RETURN TAXABLE-LOGO GIFT</v>
      </c>
      <c r="C23" s="11"/>
      <c r="D23" s="2">
        <f t="shared" si="7"/>
        <v>0</v>
      </c>
      <c r="E23" s="2"/>
      <c r="F23" s="19"/>
      <c r="G23" s="2"/>
      <c r="H23" s="2">
        <f>-13.5</f>
        <v>-13.5</v>
      </c>
      <c r="I23" s="2"/>
      <c r="J23" s="19"/>
      <c r="K23" s="2"/>
      <c r="L23" s="2">
        <f t="shared" si="0"/>
        <v>13.5</v>
      </c>
      <c r="M23" s="2"/>
      <c r="N23" s="19">
        <f t="shared" si="1"/>
        <v>-1</v>
      </c>
      <c r="O23" s="11"/>
      <c r="P23" s="2">
        <f>0</f>
        <v>0</v>
      </c>
      <c r="Q23" s="2"/>
      <c r="R23" s="19"/>
      <c r="S23" s="2"/>
      <c r="T23" s="2">
        <f>-830.2</f>
        <v>-830.2</v>
      </c>
      <c r="U23" s="2"/>
      <c r="V23" s="19"/>
      <c r="W23" s="2"/>
      <c r="X23" s="2">
        <f t="shared" si="2"/>
        <v>830.2</v>
      </c>
      <c r="Y23" s="2"/>
      <c r="Z23" s="19">
        <f t="shared" si="3"/>
        <v>-1</v>
      </c>
    </row>
    <row r="24" spans="1:26" x14ac:dyDescent="0.3">
      <c r="A24" s="9"/>
      <c r="B24" s="10"/>
      <c r="C24" s="9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collapsed="1" x14ac:dyDescent="0.3">
      <c r="A25" s="10"/>
      <c r="B25" s="26" t="s">
        <v>256</v>
      </c>
      <c r="C25" s="10"/>
      <c r="D25" s="4">
        <f>SUM(OSRRefD16x_0)</f>
        <v>8.26</v>
      </c>
      <c r="E25" s="4"/>
      <c r="F25" s="12">
        <f t="shared" ref="F25:F26" si="9">IF(D$12=0,0,D25/D$12)</f>
        <v>1.2168299664266889E-3</v>
      </c>
      <c r="G25" s="4"/>
      <c r="H25" s="4">
        <f>SUM(OSRRefH16x_0)</f>
        <v>0</v>
      </c>
      <c r="I25" s="4"/>
      <c r="J25" s="12">
        <f t="shared" ref="J25:J26" si="10">IF(H$12=0,0,H25/H$12)</f>
        <v>0</v>
      </c>
      <c r="K25" s="4"/>
      <c r="L25" s="4">
        <f t="shared" ref="L25:L26" si="11">+D25-H25</f>
        <v>8.26</v>
      </c>
      <c r="M25" s="4"/>
      <c r="N25" s="12">
        <f t="shared" ref="N25:N26" si="12">IF(H25=0,0,L25/H25)</f>
        <v>0</v>
      </c>
      <c r="O25" s="10"/>
      <c r="P25" s="4">
        <f>SUM(OSRRefP16x_0)</f>
        <v>8.26</v>
      </c>
      <c r="Q25" s="4"/>
      <c r="R25" s="12">
        <f t="shared" ref="R25:R26" si="13">IF(P$12=0,0,P25/P$12)</f>
        <v>9.0561238474273371E-5</v>
      </c>
      <c r="S25" s="4"/>
      <c r="T25" s="4">
        <f>SUM(OSRRefT16x_0)</f>
        <v>0</v>
      </c>
      <c r="U25" s="4"/>
      <c r="V25" s="12">
        <f t="shared" ref="V25:V26" si="14">IF(T$12=0,0,T25/T$12)</f>
        <v>0</v>
      </c>
      <c r="W25" s="4"/>
      <c r="X25" s="4">
        <f t="shared" ref="X25:X26" si="15">+P25-T25</f>
        <v>8.26</v>
      </c>
      <c r="Y25" s="4"/>
      <c r="Z25" s="12">
        <f t="shared" ref="Z25:Z26" si="16">IF(T25=0,0,X25/T25)</f>
        <v>0</v>
      </c>
    </row>
    <row r="26" spans="1:26" s="24" customFormat="1" hidden="1" outlineLevel="1" x14ac:dyDescent="0.3">
      <c r="A26" s="44"/>
      <c r="B26" s="11" t="str">
        <f>CONCATENATE("          ", "5500", " - ", "FREIGHT-IN")</f>
        <v xml:space="preserve">          5500 - FREIGHT-IN</v>
      </c>
      <c r="C26" s="11"/>
      <c r="D26" s="2">
        <v>8.26</v>
      </c>
      <c r="E26" s="2"/>
      <c r="F26" s="19">
        <f t="shared" si="9"/>
        <v>1.2168299664266889E-3</v>
      </c>
      <c r="G26" s="2"/>
      <c r="H26" s="2"/>
      <c r="I26" s="2"/>
      <c r="J26" s="19">
        <f t="shared" si="10"/>
        <v>0</v>
      </c>
      <c r="K26" s="2"/>
      <c r="L26" s="2">
        <f t="shared" si="11"/>
        <v>8.26</v>
      </c>
      <c r="M26" s="2"/>
      <c r="N26" s="19">
        <f t="shared" si="12"/>
        <v>0</v>
      </c>
      <c r="O26" s="11"/>
      <c r="P26" s="2">
        <v>8.26</v>
      </c>
      <c r="Q26" s="2"/>
      <c r="R26" s="19">
        <f t="shared" si="13"/>
        <v>9.0561238474273371E-5</v>
      </c>
      <c r="S26" s="2"/>
      <c r="T26" s="2"/>
      <c r="U26" s="2"/>
      <c r="V26" s="19">
        <f t="shared" si="14"/>
        <v>0</v>
      </c>
      <c r="W26" s="2"/>
      <c r="X26" s="2">
        <f t="shared" si="15"/>
        <v>8.26</v>
      </c>
      <c r="Y26" s="2"/>
      <c r="Z26" s="19">
        <f t="shared" si="16"/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5" t="s">
        <v>107</v>
      </c>
      <c r="C28" s="25"/>
      <c r="D28" s="21">
        <f>D12-D25</f>
        <v>6779.87</v>
      </c>
      <c r="E28" s="13"/>
      <c r="F28" s="22">
        <f>IF(D$12=0,0,D28/D$12)</f>
        <v>0.99878317003357331</v>
      </c>
      <c r="G28" s="13"/>
      <c r="H28" s="21">
        <f>H12-H25</f>
        <v>1597.9</v>
      </c>
      <c r="I28" s="13"/>
      <c r="J28" s="22">
        <f>IF(H$12=0,0,H28/H$12)</f>
        <v>1</v>
      </c>
      <c r="K28" s="16"/>
      <c r="L28" s="21">
        <f>+D28-H28</f>
        <v>5181.9699999999993</v>
      </c>
      <c r="M28" s="16"/>
      <c r="N28" s="22">
        <f>IF(H28=0,0,L28/H28)</f>
        <v>3.242987671318605</v>
      </c>
      <c r="O28" s="26"/>
      <c r="P28" s="21">
        <f>P12-P25</f>
        <v>91200.74</v>
      </c>
      <c r="Q28" s="13"/>
      <c r="R28" s="22">
        <f>IF(P$12=0,0,P28/P$12)</f>
        <v>0.99990943876152583</v>
      </c>
      <c r="S28" s="13"/>
      <c r="T28" s="21">
        <f>T12-T25</f>
        <v>73572.91</v>
      </c>
      <c r="U28" s="13"/>
      <c r="V28" s="22">
        <f>IF(T$12=0,0,T28/T$12)</f>
        <v>1</v>
      </c>
      <c r="W28" s="16"/>
      <c r="X28" s="21">
        <f>+P28-T28</f>
        <v>17627.830000000002</v>
      </c>
      <c r="Y28" s="16"/>
      <c r="Z28" s="22">
        <f>IF(T28=0,0,X28/T28)</f>
        <v>0.23959674831401939</v>
      </c>
    </row>
    <row r="29" spans="1:26" x14ac:dyDescent="0.3">
      <c r="A29" s="9"/>
      <c r="B29" s="10"/>
      <c r="C29" s="9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294</v>
      </c>
      <c r="C30" s="10"/>
      <c r="D30" s="20">
        <f>SUM(OSRRefD22x_0)</f>
        <v>12008.600000000002</v>
      </c>
      <c r="E30" s="20"/>
      <c r="F30" s="32">
        <f t="shared" ref="F30:F39" si="17">IF(D$12=0,0,D30/D$12)</f>
        <v>1.7690586361781524</v>
      </c>
      <c r="G30" s="20"/>
      <c r="H30" s="20">
        <f>SUM(OSRRefH22x_0)</f>
        <v>39180.050000000003</v>
      </c>
      <c r="I30" s="20"/>
      <c r="J30" s="32">
        <f t="shared" ref="J30:J39" si="18">IF(H$12=0,0,H30/H$12)</f>
        <v>24.519713373803118</v>
      </c>
      <c r="K30" s="4"/>
      <c r="L30" s="20">
        <f t="shared" ref="L30:L39" si="19">+D30-H30</f>
        <v>-27171.45</v>
      </c>
      <c r="M30" s="4"/>
      <c r="N30" s="32">
        <f t="shared" ref="N30:N39" si="20">IF(H30=0,0,L30/H30)</f>
        <v>-0.69350217776649081</v>
      </c>
      <c r="O30" s="10"/>
      <c r="P30" s="20">
        <f>SUM(OSRRefP22x_0)</f>
        <v>125373.06999999998</v>
      </c>
      <c r="Q30" s="20"/>
      <c r="R30" s="32">
        <f t="shared" ref="R30:R39" si="21">IF(P$12=0,0,P30/P$12)</f>
        <v>1.3745690666491244</v>
      </c>
      <c r="S30" s="20"/>
      <c r="T30" s="20">
        <f>SUM(OSRRefT22x_0)</f>
        <v>160185.73999999993</v>
      </c>
      <c r="U30" s="20"/>
      <c r="V30" s="32">
        <f t="shared" ref="V30:V39" si="22">IF(T$12=0,0,T30/T$12)</f>
        <v>2.1772380622161056</v>
      </c>
      <c r="W30" s="4"/>
      <c r="X30" s="20">
        <f t="shared" ref="X30:X39" si="23">+P30-T30</f>
        <v>-34812.669999999955</v>
      </c>
      <c r="Y30" s="4"/>
      <c r="Z30" s="32">
        <f t="shared" ref="Z30:Z39" si="24">IF(T30=0,0,X30/T30)</f>
        <v>-0.21732689813712489</v>
      </c>
    </row>
    <row r="31" spans="1:26" s="29" customFormat="1" outlineLevel="1" collapsed="1" x14ac:dyDescent="0.3">
      <c r="A31" s="28"/>
      <c r="B31" s="14" t="str">
        <f>CONCATENATE("     ","*Benefits                                         ")</f>
        <v xml:space="preserve">     *Benefits                                         </v>
      </c>
      <c r="C31" s="14"/>
      <c r="D31" s="1">
        <f>SUM(OSRRefD22_0x_0)</f>
        <v>11414.57</v>
      </c>
      <c r="E31" s="1"/>
      <c r="F31" s="5">
        <f t="shared" si="17"/>
        <v>1.6815485266192602</v>
      </c>
      <c r="G31" s="1"/>
      <c r="H31" s="1">
        <f>SUM(OSRRefH22_0x_0)</f>
        <v>9539.5300000000007</v>
      </c>
      <c r="I31" s="1"/>
      <c r="J31" s="5">
        <f t="shared" si="18"/>
        <v>5.9700419300331689</v>
      </c>
      <c r="K31" s="1"/>
      <c r="L31" s="1">
        <f t="shared" si="19"/>
        <v>1875.0399999999991</v>
      </c>
      <c r="M31" s="1"/>
      <c r="N31" s="5">
        <f t="shared" si="20"/>
        <v>0.19655475689053853</v>
      </c>
      <c r="O31" s="14"/>
      <c r="P31" s="1">
        <f>SUM(OSRRefP22_0x_0)</f>
        <v>47835.28</v>
      </c>
      <c r="Q31" s="1"/>
      <c r="R31" s="5">
        <f t="shared" si="21"/>
        <v>0.52445789340964155</v>
      </c>
      <c r="S31" s="1"/>
      <c r="T31" s="1">
        <f>SUM(OSRRefT22_0x_0)</f>
        <v>45812.57</v>
      </c>
      <c r="U31" s="1"/>
      <c r="V31" s="5">
        <f t="shared" si="22"/>
        <v>0.62268258792536546</v>
      </c>
      <c r="W31" s="1"/>
      <c r="X31" s="1">
        <f t="shared" si="23"/>
        <v>2022.7099999999991</v>
      </c>
      <c r="Y31" s="1"/>
      <c r="Z31" s="5">
        <f t="shared" si="24"/>
        <v>4.4151856139046534E-2</v>
      </c>
    </row>
    <row r="32" spans="1:26" s="24" customFormat="1" hidden="1" outlineLevel="2" x14ac:dyDescent="0.3">
      <c r="A32" s="27"/>
      <c r="B32" s="11" t="str">
        <f>CONCATENATE("          ", "6111", " - ", "F.I.C.A.")</f>
        <v xml:space="preserve">          6111 - F.I.C.A.</v>
      </c>
      <c r="C32" s="11"/>
      <c r="D32" s="6">
        <v>2780.09</v>
      </c>
      <c r="E32" s="2"/>
      <c r="F32" s="7">
        <f t="shared" si="17"/>
        <v>0.40955167328851982</v>
      </c>
      <c r="G32" s="2"/>
      <c r="H32" s="6">
        <v>1062.21</v>
      </c>
      <c r="I32" s="2"/>
      <c r="J32" s="7">
        <f t="shared" si="18"/>
        <v>0.66475373928280868</v>
      </c>
      <c r="K32" s="2"/>
      <c r="L32" s="6">
        <f t="shared" si="19"/>
        <v>1717.88</v>
      </c>
      <c r="M32" s="2"/>
      <c r="N32" s="7">
        <f t="shared" si="20"/>
        <v>1.6172696547763625</v>
      </c>
      <c r="O32" s="11"/>
      <c r="P32" s="6">
        <v>8471.68</v>
      </c>
      <c r="Q32" s="2"/>
      <c r="R32" s="7">
        <f t="shared" si="21"/>
        <v>9.2882062077207297E-2</v>
      </c>
      <c r="S32" s="2"/>
      <c r="T32" s="6">
        <v>6620.47</v>
      </c>
      <c r="U32" s="2"/>
      <c r="V32" s="7">
        <f t="shared" si="22"/>
        <v>8.9985158939615131E-2</v>
      </c>
      <c r="W32" s="2"/>
      <c r="X32" s="6">
        <f t="shared" si="23"/>
        <v>1851.21</v>
      </c>
      <c r="Y32" s="2"/>
      <c r="Z32" s="7">
        <f t="shared" si="24"/>
        <v>0.27961912069686895</v>
      </c>
    </row>
    <row r="33" spans="1:26" s="24" customFormat="1" hidden="1" outlineLevel="2" x14ac:dyDescent="0.3">
      <c r="A33" s="27"/>
      <c r="B33" s="11" t="str">
        <f>CONCATENATE("          ", "6112", " - ", "COMPENSATION INSURANCE")</f>
        <v xml:space="preserve">          6112 - COMPENSATION INSURANCE</v>
      </c>
      <c r="C33" s="11"/>
      <c r="D33" s="6">
        <v>567.87</v>
      </c>
      <c r="E33" s="2"/>
      <c r="F33" s="7">
        <f t="shared" si="17"/>
        <v>8.3656323611952035E-2</v>
      </c>
      <c r="G33" s="2"/>
      <c r="H33" s="6">
        <v>556.65</v>
      </c>
      <c r="I33" s="2"/>
      <c r="J33" s="7">
        <f t="shared" si="18"/>
        <v>0.34836347706364601</v>
      </c>
      <c r="K33" s="2"/>
      <c r="L33" s="6">
        <f t="shared" si="19"/>
        <v>11.220000000000027</v>
      </c>
      <c r="M33" s="2"/>
      <c r="N33" s="7">
        <f t="shared" si="20"/>
        <v>2.015629210455408E-2</v>
      </c>
      <c r="O33" s="11"/>
      <c r="P33" s="6">
        <v>1838.04</v>
      </c>
      <c r="Q33" s="2"/>
      <c r="R33" s="7">
        <f t="shared" si="21"/>
        <v>2.0151958688287341E-2</v>
      </c>
      <c r="S33" s="2"/>
      <c r="T33" s="6">
        <v>1787.3</v>
      </c>
      <c r="U33" s="2"/>
      <c r="V33" s="7">
        <f t="shared" si="22"/>
        <v>2.429290889812568E-2</v>
      </c>
      <c r="W33" s="2"/>
      <c r="X33" s="6">
        <f t="shared" si="23"/>
        <v>50.740000000000009</v>
      </c>
      <c r="Y33" s="2"/>
      <c r="Z33" s="7">
        <f t="shared" si="24"/>
        <v>2.8389190398925759E-2</v>
      </c>
    </row>
    <row r="34" spans="1:26" s="24" customFormat="1" hidden="1" outlineLevel="2" x14ac:dyDescent="0.3">
      <c r="A34" s="27"/>
      <c r="B34" s="11" t="str">
        <f>CONCATENATE("          ", "6113", " - ", "GROUP INSURANCE")</f>
        <v xml:space="preserve">          6113 - GROUP INSURANCE</v>
      </c>
      <c r="C34" s="11"/>
      <c r="D34" s="6">
        <v>2817.93</v>
      </c>
      <c r="E34" s="2"/>
      <c r="F34" s="7">
        <f t="shared" si="17"/>
        <v>0.41512610984173842</v>
      </c>
      <c r="G34" s="2"/>
      <c r="H34" s="6">
        <v>3423.78</v>
      </c>
      <c r="I34" s="2"/>
      <c r="J34" s="7">
        <f t="shared" si="18"/>
        <v>2.1426747606233181</v>
      </c>
      <c r="K34" s="2"/>
      <c r="L34" s="6">
        <f t="shared" si="19"/>
        <v>-605.85000000000036</v>
      </c>
      <c r="M34" s="2"/>
      <c r="N34" s="7">
        <f t="shared" si="20"/>
        <v>-0.17695354257574972</v>
      </c>
      <c r="O34" s="11"/>
      <c r="P34" s="6">
        <v>16492.599999999999</v>
      </c>
      <c r="Q34" s="2"/>
      <c r="R34" s="7">
        <f t="shared" si="21"/>
        <v>0.18082206799767564</v>
      </c>
      <c r="S34" s="2"/>
      <c r="T34" s="6">
        <v>16317.55</v>
      </c>
      <c r="U34" s="2"/>
      <c r="V34" s="7">
        <f t="shared" si="22"/>
        <v>0.22178747585218525</v>
      </c>
      <c r="W34" s="2"/>
      <c r="X34" s="6">
        <f t="shared" si="23"/>
        <v>175.04999999999927</v>
      </c>
      <c r="Y34" s="2"/>
      <c r="Z34" s="7">
        <f t="shared" si="24"/>
        <v>1.0727713412859117E-2</v>
      </c>
    </row>
    <row r="35" spans="1:26" s="24" customFormat="1" hidden="1" outlineLevel="2" x14ac:dyDescent="0.3">
      <c r="A35" s="27"/>
      <c r="B35" s="11" t="str">
        <f>CONCATENATE("          ", "6114", " - ", "STATE UNEMPLOYMENT INSURANCE")</f>
        <v xml:space="preserve">          6114 - STATE UNEMPLOYMENT INSURANCE</v>
      </c>
      <c r="C35" s="11"/>
      <c r="D35" s="6">
        <v>99.76</v>
      </c>
      <c r="E35" s="2"/>
      <c r="F35" s="7">
        <f t="shared" si="17"/>
        <v>1.4696241822121852E-2</v>
      </c>
      <c r="G35" s="2"/>
      <c r="H35" s="6">
        <v>78.23</v>
      </c>
      <c r="I35" s="2"/>
      <c r="J35" s="7">
        <f t="shared" si="18"/>
        <v>4.8958007384692408E-2</v>
      </c>
      <c r="K35" s="2"/>
      <c r="L35" s="6">
        <f t="shared" si="19"/>
        <v>21.53</v>
      </c>
      <c r="M35" s="2"/>
      <c r="N35" s="7">
        <f t="shared" si="20"/>
        <v>0.27521411223315861</v>
      </c>
      <c r="O35" s="11"/>
      <c r="P35" s="6">
        <v>322.89999999999998</v>
      </c>
      <c r="Q35" s="2"/>
      <c r="R35" s="7">
        <f t="shared" si="21"/>
        <v>3.5402208115427203E-3</v>
      </c>
      <c r="S35" s="2"/>
      <c r="T35" s="6">
        <v>251.18</v>
      </c>
      <c r="U35" s="2"/>
      <c r="V35" s="7">
        <f t="shared" si="22"/>
        <v>3.4140283427690978E-3</v>
      </c>
      <c r="W35" s="2"/>
      <c r="X35" s="6">
        <f t="shared" si="23"/>
        <v>71.71999999999997</v>
      </c>
      <c r="Y35" s="2"/>
      <c r="Z35" s="7">
        <f t="shared" si="24"/>
        <v>0.28553228760251598</v>
      </c>
    </row>
    <row r="36" spans="1:26" s="24" customFormat="1" hidden="1" outlineLevel="2" x14ac:dyDescent="0.3">
      <c r="A36" s="27"/>
      <c r="B36" s="11" t="str">
        <f>CONCATENATE("          ", "6115", " - ", "P.E.R.S.")</f>
        <v xml:space="preserve">          6115 - P.E.R.S.</v>
      </c>
      <c r="C36" s="11"/>
      <c r="D36" s="6">
        <v>3677.36</v>
      </c>
      <c r="E36" s="2"/>
      <c r="F36" s="7">
        <f t="shared" si="17"/>
        <v>0.54173387958097441</v>
      </c>
      <c r="G36" s="2"/>
      <c r="H36" s="6">
        <v>2180.81</v>
      </c>
      <c r="I36" s="2"/>
      <c r="J36" s="7">
        <f t="shared" si="18"/>
        <v>1.3647975467801488</v>
      </c>
      <c r="K36" s="2"/>
      <c r="L36" s="6">
        <f t="shared" si="19"/>
        <v>1496.5500000000002</v>
      </c>
      <c r="M36" s="2"/>
      <c r="N36" s="7">
        <f t="shared" si="20"/>
        <v>0.68623584814816518</v>
      </c>
      <c r="O36" s="11"/>
      <c r="P36" s="6">
        <v>10835.91</v>
      </c>
      <c r="Q36" s="2"/>
      <c r="R36" s="7">
        <f t="shared" si="21"/>
        <v>0.11880307864355491</v>
      </c>
      <c r="S36" s="2"/>
      <c r="T36" s="6">
        <v>8679.08</v>
      </c>
      <c r="U36" s="2"/>
      <c r="V36" s="7">
        <f t="shared" si="22"/>
        <v>0.11796570232168334</v>
      </c>
      <c r="W36" s="2"/>
      <c r="X36" s="6">
        <f t="shared" si="23"/>
        <v>2156.83</v>
      </c>
      <c r="Y36" s="2"/>
      <c r="Z36" s="7">
        <f t="shared" si="24"/>
        <v>0.24850905856381089</v>
      </c>
    </row>
    <row r="37" spans="1:26" s="24" customFormat="1" hidden="1" outlineLevel="2" x14ac:dyDescent="0.3">
      <c r="A37" s="27"/>
      <c r="B37" s="11" t="str">
        <f>CONCATENATE("          ", "6118", " - ", "VACATION")</f>
        <v xml:space="preserve">          6118 - VACATION</v>
      </c>
      <c r="C37" s="11"/>
      <c r="D37" s="6">
        <v>639.32000000000005</v>
      </c>
      <c r="E37" s="2"/>
      <c r="F37" s="7">
        <f t="shared" si="17"/>
        <v>9.4182050137519471E-2</v>
      </c>
      <c r="G37" s="2"/>
      <c r="H37" s="6">
        <v>1216.0999999999999</v>
      </c>
      <c r="I37" s="2"/>
      <c r="J37" s="7">
        <f t="shared" si="18"/>
        <v>0.76106139307841536</v>
      </c>
      <c r="K37" s="2"/>
      <c r="L37" s="6">
        <f t="shared" si="19"/>
        <v>-576.77999999999986</v>
      </c>
      <c r="M37" s="2"/>
      <c r="N37" s="7">
        <f t="shared" si="20"/>
        <v>-0.47428665405805437</v>
      </c>
      <c r="O37" s="11"/>
      <c r="P37" s="6">
        <v>4603.24</v>
      </c>
      <c r="Q37" s="2"/>
      <c r="R37" s="7">
        <f t="shared" si="21"/>
        <v>5.0469142299553772E-2</v>
      </c>
      <c r="S37" s="2"/>
      <c r="T37" s="6">
        <v>6451.33</v>
      </c>
      <c r="U37" s="2"/>
      <c r="V37" s="7">
        <f t="shared" si="22"/>
        <v>8.7686214939710821E-2</v>
      </c>
      <c r="W37" s="2"/>
      <c r="X37" s="6">
        <f t="shared" si="23"/>
        <v>-1848.0900000000001</v>
      </c>
      <c r="Y37" s="2"/>
      <c r="Z37" s="7">
        <f t="shared" si="24"/>
        <v>-0.2864665115565318</v>
      </c>
    </row>
    <row r="38" spans="1:26" s="24" customFormat="1" hidden="1" outlineLevel="2" x14ac:dyDescent="0.3">
      <c r="A38" s="27"/>
      <c r="B38" s="11" t="str">
        <f>CONCATENATE("          ", "6119", " - ", "SICK LEAVE")</f>
        <v xml:space="preserve">          6119 - SICK LEAVE</v>
      </c>
      <c r="C38" s="11"/>
      <c r="D38" s="6">
        <v>410.1</v>
      </c>
      <c r="E38" s="2"/>
      <c r="F38" s="7">
        <f t="shared" si="17"/>
        <v>6.041428198929602E-2</v>
      </c>
      <c r="G38" s="2"/>
      <c r="H38" s="6">
        <v>738.5</v>
      </c>
      <c r="I38" s="2"/>
      <c r="J38" s="7">
        <f t="shared" si="18"/>
        <v>0.46216909693973335</v>
      </c>
      <c r="K38" s="2"/>
      <c r="L38" s="6">
        <f t="shared" si="19"/>
        <v>-328.4</v>
      </c>
      <c r="M38" s="2"/>
      <c r="N38" s="7">
        <f t="shared" si="20"/>
        <v>-0.44468517264725793</v>
      </c>
      <c r="O38" s="11"/>
      <c r="P38" s="6">
        <v>3045.03</v>
      </c>
      <c r="Q38" s="2"/>
      <c r="R38" s="7">
        <f t="shared" si="21"/>
        <v>3.3385192250764729E-2</v>
      </c>
      <c r="S38" s="2"/>
      <c r="T38" s="6">
        <v>3955.77</v>
      </c>
      <c r="U38" s="2"/>
      <c r="V38" s="7">
        <f t="shared" si="22"/>
        <v>5.3766664931426525E-2</v>
      </c>
      <c r="W38" s="2"/>
      <c r="X38" s="6">
        <f t="shared" si="23"/>
        <v>-910.73999999999978</v>
      </c>
      <c r="Y38" s="2"/>
      <c r="Z38" s="7">
        <f t="shared" si="24"/>
        <v>-0.2302307768146277</v>
      </c>
    </row>
    <row r="39" spans="1:26" s="24" customFormat="1" hidden="1" outlineLevel="2" x14ac:dyDescent="0.3">
      <c r="A39" s="27"/>
      <c r="B39" s="11" t="str">
        <f>CONCATENATE("          ", "6156", " - ", "EMPLOYEE MEALS")</f>
        <v xml:space="preserve">          6156 - EMPLOYEE MEALS</v>
      </c>
      <c r="C39" s="11"/>
      <c r="D39" s="6">
        <v>422.14</v>
      </c>
      <c r="E39" s="2"/>
      <c r="F39" s="7">
        <f t="shared" si="17"/>
        <v>6.2187966347138308E-2</v>
      </c>
      <c r="G39" s="2"/>
      <c r="H39" s="6">
        <v>283.25</v>
      </c>
      <c r="I39" s="2"/>
      <c r="J39" s="7">
        <f t="shared" si="18"/>
        <v>0.17726390888040552</v>
      </c>
      <c r="K39" s="2"/>
      <c r="L39" s="6">
        <f t="shared" si="19"/>
        <v>138.88999999999999</v>
      </c>
      <c r="M39" s="2"/>
      <c r="N39" s="7">
        <f t="shared" si="20"/>
        <v>0.49034421888790813</v>
      </c>
      <c r="O39" s="11"/>
      <c r="P39" s="6">
        <v>2225.88</v>
      </c>
      <c r="Q39" s="2"/>
      <c r="R39" s="7">
        <f t="shared" si="21"/>
        <v>2.440417064105516E-2</v>
      </c>
      <c r="S39" s="2"/>
      <c r="T39" s="6">
        <v>1749.89</v>
      </c>
      <c r="U39" s="2"/>
      <c r="V39" s="7">
        <f t="shared" si="22"/>
        <v>2.3784433699849578E-2</v>
      </c>
      <c r="W39" s="2"/>
      <c r="X39" s="6">
        <f t="shared" si="23"/>
        <v>475.99</v>
      </c>
      <c r="Y39" s="2"/>
      <c r="Z39" s="7">
        <f t="shared" si="24"/>
        <v>0.27201138357268168</v>
      </c>
    </row>
    <row r="40" spans="1:26" s="29" customFormat="1" outlineLevel="1" collapsed="1" x14ac:dyDescent="0.3">
      <c r="A40" s="28"/>
      <c r="B40" s="14" t="str">
        <f>CONCATENATE("     ","*Payroll                                          ")</f>
        <v xml:space="preserve">     *Payroll                                          </v>
      </c>
      <c r="C40" s="14"/>
      <c r="D40" s="1">
        <f>SUM(OSRRefD22_1x_0)</f>
        <v>91.619999999999891</v>
      </c>
      <c r="E40" s="1"/>
      <c r="F40" s="5">
        <f t="shared" ref="F40:F43" si="25">IF(D$12=0,0,D40/D$12)</f>
        <v>1.3497089772882942E-2</v>
      </c>
      <c r="G40" s="1"/>
      <c r="H40" s="1">
        <f>SUM(OSRRefH22_1x_0)</f>
        <v>12527.39</v>
      </c>
      <c r="I40" s="1"/>
      <c r="J40" s="5">
        <f t="shared" ref="J40:J43" si="26">IF(H$12=0,0,H40/H$12)</f>
        <v>7.8399086300769749</v>
      </c>
      <c r="K40" s="1"/>
      <c r="L40" s="1">
        <f t="shared" ref="L40:L43" si="27">+D40-H40</f>
        <v>-12435.77</v>
      </c>
      <c r="M40" s="1"/>
      <c r="N40" s="5">
        <f t="shared" ref="N40:N43" si="28">IF(H40=0,0,L40/H40)</f>
        <v>-0.99268642550443476</v>
      </c>
      <c r="O40" s="14"/>
      <c r="P40" s="1">
        <f>SUM(OSRRefP22_1x_0)</f>
        <v>77350.159999999989</v>
      </c>
      <c r="Q40" s="1"/>
      <c r="R40" s="5">
        <f t="shared" ref="R40:R43" si="29">IF(P$12=0,0,P40/P$12)</f>
        <v>0.84805402975583533</v>
      </c>
      <c r="S40" s="1"/>
      <c r="T40" s="1">
        <f>SUM(OSRRefT22_1x_0)</f>
        <v>72695.44</v>
      </c>
      <c r="U40" s="1"/>
      <c r="V40" s="5">
        <f t="shared" ref="V40:V43" si="30">IF(T$12=0,0,T40/T$12)</f>
        <v>0.98807346345278446</v>
      </c>
      <c r="W40" s="1"/>
      <c r="X40" s="1">
        <f t="shared" ref="X40:X43" si="31">+P40-T40</f>
        <v>4654.7199999999866</v>
      </c>
      <c r="Y40" s="1"/>
      <c r="Z40" s="5">
        <f t="shared" ref="Z40:Z43" si="32">IF(T40=0,0,X40/T40)</f>
        <v>6.4030426117511446E-2</v>
      </c>
    </row>
    <row r="41" spans="1:26" s="24" customFormat="1" hidden="1" outlineLevel="2" x14ac:dyDescent="0.3">
      <c r="A41" s="27"/>
      <c r="B41" s="11" t="str">
        <f>CONCATENATE("          ", "6002", " - ", "STAFF SALARIES")</f>
        <v xml:space="preserve">          6002 - STAFF SALARIES</v>
      </c>
      <c r="C41" s="11"/>
      <c r="D41" s="6">
        <v>-1936.7</v>
      </c>
      <c r="E41" s="2"/>
      <c r="F41" s="7">
        <f t="shared" si="25"/>
        <v>-0.285306851813386</v>
      </c>
      <c r="G41" s="2"/>
      <c r="H41" s="6">
        <v>12025.49</v>
      </c>
      <c r="I41" s="2"/>
      <c r="J41" s="7">
        <f t="shared" si="26"/>
        <v>7.5258088741473177</v>
      </c>
      <c r="K41" s="2"/>
      <c r="L41" s="6">
        <f t="shared" si="27"/>
        <v>-13962.19</v>
      </c>
      <c r="M41" s="2"/>
      <c r="N41" s="7">
        <f t="shared" si="28"/>
        <v>-1.1610495705372506</v>
      </c>
      <c r="O41" s="11"/>
      <c r="P41" s="6">
        <v>66261.009999999995</v>
      </c>
      <c r="Q41" s="2"/>
      <c r="R41" s="7">
        <f t="shared" si="29"/>
        <v>0.72647447072109106</v>
      </c>
      <c r="S41" s="2"/>
      <c r="T41" s="6">
        <v>68793.919999999998</v>
      </c>
      <c r="U41" s="2"/>
      <c r="V41" s="7">
        <f t="shared" si="30"/>
        <v>0.9350441623146345</v>
      </c>
      <c r="W41" s="2"/>
      <c r="X41" s="6">
        <f t="shared" si="31"/>
        <v>-2532.9100000000035</v>
      </c>
      <c r="Y41" s="2"/>
      <c r="Z41" s="7">
        <f t="shared" si="32"/>
        <v>-3.6818806080537399E-2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/>
      <c r="E42" s="2"/>
      <c r="F42" s="7">
        <f t="shared" si="25"/>
        <v>0</v>
      </c>
      <c r="G42" s="2"/>
      <c r="H42" s="6"/>
      <c r="I42" s="2"/>
      <c r="J42" s="7">
        <f t="shared" si="26"/>
        <v>0</v>
      </c>
      <c r="K42" s="2"/>
      <c r="L42" s="6">
        <f t="shared" si="27"/>
        <v>0</v>
      </c>
      <c r="M42" s="2"/>
      <c r="N42" s="7">
        <f t="shared" si="28"/>
        <v>0</v>
      </c>
      <c r="O42" s="11"/>
      <c r="P42" s="6"/>
      <c r="Q42" s="2"/>
      <c r="R42" s="7">
        <f t="shared" si="29"/>
        <v>0</v>
      </c>
      <c r="S42" s="2"/>
      <c r="T42" s="6">
        <v>383.25</v>
      </c>
      <c r="U42" s="2"/>
      <c r="V42" s="7">
        <f t="shared" si="30"/>
        <v>5.2091184105671502E-3</v>
      </c>
      <c r="W42" s="2"/>
      <c r="X42" s="6">
        <f t="shared" si="31"/>
        <v>-383.25</v>
      </c>
      <c r="Y42" s="2"/>
      <c r="Z42" s="7">
        <f t="shared" si="32"/>
        <v>-1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2028.32</v>
      </c>
      <c r="E43" s="2"/>
      <c r="F43" s="7">
        <f t="shared" si="25"/>
        <v>0.29880394158626894</v>
      </c>
      <c r="G43" s="2"/>
      <c r="H43" s="6">
        <v>501.9</v>
      </c>
      <c r="I43" s="2"/>
      <c r="J43" s="7">
        <f t="shared" si="26"/>
        <v>0.31409975592965766</v>
      </c>
      <c r="K43" s="2"/>
      <c r="L43" s="6">
        <f t="shared" si="27"/>
        <v>1526.42</v>
      </c>
      <c r="M43" s="2"/>
      <c r="N43" s="7">
        <f t="shared" si="28"/>
        <v>3.0412831241283125</v>
      </c>
      <c r="O43" s="11"/>
      <c r="P43" s="6">
        <v>11089.15</v>
      </c>
      <c r="Q43" s="2"/>
      <c r="R43" s="7">
        <f t="shared" si="29"/>
        <v>0.12157955903474438</v>
      </c>
      <c r="S43" s="2"/>
      <c r="T43" s="6">
        <v>3518.27</v>
      </c>
      <c r="U43" s="2"/>
      <c r="V43" s="7">
        <f t="shared" si="30"/>
        <v>4.7820182727582747E-2</v>
      </c>
      <c r="W43" s="2"/>
      <c r="X43" s="6">
        <f t="shared" si="31"/>
        <v>7570.8799999999992</v>
      </c>
      <c r="Y43" s="2"/>
      <c r="Z43" s="7">
        <f t="shared" si="32"/>
        <v>2.1518757798577139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0</v>
      </c>
      <c r="E44" s="1"/>
      <c r="F44" s="5">
        <f t="shared" ref="F44:F54" si="33">IF(D$12=0,0,D44/D$12)</f>
        <v>0</v>
      </c>
      <c r="G44" s="1"/>
      <c r="H44" s="1">
        <f>SUM(OSRRefH22_2x_0)</f>
        <v>0</v>
      </c>
      <c r="I44" s="1"/>
      <c r="J44" s="5">
        <f t="shared" ref="J44:J54" si="34">IF(H$12=0,0,H44/H$12)</f>
        <v>0</v>
      </c>
      <c r="K44" s="1"/>
      <c r="L44" s="1">
        <f t="shared" ref="L44:L54" si="35">+D44-H44</f>
        <v>0</v>
      </c>
      <c r="M44" s="1"/>
      <c r="N44" s="5">
        <f t="shared" ref="N44:N54" si="36">IF(H44=0,0,L44/H44)</f>
        <v>0</v>
      </c>
      <c r="O44" s="14"/>
      <c r="P44" s="1">
        <f>SUM(OSRRefP22_2x_0)</f>
        <v>97.75</v>
      </c>
      <c r="Q44" s="1"/>
      <c r="R44" s="5">
        <f t="shared" ref="R44:R54" si="37">IF(P$12=0,0,P44/P$12)</f>
        <v>1.0717144141477266E-3</v>
      </c>
      <c r="S44" s="1"/>
      <c r="T44" s="1">
        <f>SUM(OSRRefT22_2x_0)</f>
        <v>0</v>
      </c>
      <c r="U44" s="1"/>
      <c r="V44" s="5">
        <f t="shared" ref="V44:V54" si="38">IF(T$12=0,0,T44/T$12)</f>
        <v>0</v>
      </c>
      <c r="W44" s="1"/>
      <c r="X44" s="1">
        <f t="shared" ref="X44:X54" si="39">+P44-T44</f>
        <v>97.75</v>
      </c>
      <c r="Y44" s="1"/>
      <c r="Z44" s="5">
        <f t="shared" ref="Z44:Z54" si="40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/>
      <c r="E45" s="2"/>
      <c r="F45" s="7">
        <f t="shared" si="33"/>
        <v>0</v>
      </c>
      <c r="G45" s="2"/>
      <c r="H45" s="6"/>
      <c r="I45" s="2"/>
      <c r="J45" s="7">
        <f t="shared" si="34"/>
        <v>0</v>
      </c>
      <c r="K45" s="2"/>
      <c r="L45" s="6">
        <f t="shared" si="35"/>
        <v>0</v>
      </c>
      <c r="M45" s="2"/>
      <c r="N45" s="7">
        <f t="shared" si="36"/>
        <v>0</v>
      </c>
      <c r="O45" s="11"/>
      <c r="P45" s="6">
        <v>97.75</v>
      </c>
      <c r="Q45" s="2"/>
      <c r="R45" s="7">
        <f t="shared" si="37"/>
        <v>1.0717144141477266E-3</v>
      </c>
      <c r="S45" s="2"/>
      <c r="T45" s="6"/>
      <c r="U45" s="2"/>
      <c r="V45" s="7">
        <f t="shared" si="38"/>
        <v>0</v>
      </c>
      <c r="W45" s="2"/>
      <c r="X45" s="6">
        <f t="shared" si="39"/>
        <v>97.75</v>
      </c>
      <c r="Y45" s="2"/>
      <c r="Z45" s="7">
        <f t="shared" si="40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SUM(OSRRefD22_3x_0)</f>
        <v>169.88</v>
      </c>
      <c r="E46" s="1"/>
      <c r="F46" s="5">
        <f t="shared" si="33"/>
        <v>2.502603809885786E-2</v>
      </c>
      <c r="G46" s="1"/>
      <c r="H46" s="1">
        <f>SUM(OSRRefH22_3x_0)</f>
        <v>169.88</v>
      </c>
      <c r="I46" s="1"/>
      <c r="J46" s="5">
        <f t="shared" si="34"/>
        <v>0.10631453783090306</v>
      </c>
      <c r="K46" s="1"/>
      <c r="L46" s="1">
        <f t="shared" si="35"/>
        <v>0</v>
      </c>
      <c r="M46" s="1"/>
      <c r="N46" s="5">
        <f t="shared" si="36"/>
        <v>0</v>
      </c>
      <c r="O46" s="14"/>
      <c r="P46" s="1">
        <f>SUM(OSRRefP22_3x_0)</f>
        <v>849.4</v>
      </c>
      <c r="Q46" s="1"/>
      <c r="R46" s="5">
        <f t="shared" si="37"/>
        <v>9.3126774770033657E-3</v>
      </c>
      <c r="S46" s="1"/>
      <c r="T46" s="1">
        <f>SUM(OSRRefT22_3x_0)</f>
        <v>849.4</v>
      </c>
      <c r="U46" s="1"/>
      <c r="V46" s="5">
        <f t="shared" si="38"/>
        <v>1.1545010249016927E-2</v>
      </c>
      <c r="W46" s="1"/>
      <c r="X46" s="1">
        <f t="shared" si="39"/>
        <v>0</v>
      </c>
      <c r="Y46" s="1"/>
      <c r="Z46" s="5">
        <f t="shared" si="40"/>
        <v>0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169.88</v>
      </c>
      <c r="E47" s="2"/>
      <c r="F47" s="7">
        <f t="shared" si="33"/>
        <v>2.502603809885786E-2</v>
      </c>
      <c r="G47" s="2"/>
      <c r="H47" s="6">
        <v>169.88</v>
      </c>
      <c r="I47" s="2"/>
      <c r="J47" s="7">
        <f t="shared" si="34"/>
        <v>0.10631453783090306</v>
      </c>
      <c r="K47" s="2"/>
      <c r="L47" s="6">
        <f t="shared" si="35"/>
        <v>0</v>
      </c>
      <c r="M47" s="2"/>
      <c r="N47" s="7">
        <f t="shared" si="36"/>
        <v>0</v>
      </c>
      <c r="O47" s="11"/>
      <c r="P47" s="6">
        <v>849.4</v>
      </c>
      <c r="Q47" s="2"/>
      <c r="R47" s="7">
        <f t="shared" si="37"/>
        <v>9.3126774770033657E-3</v>
      </c>
      <c r="S47" s="2"/>
      <c r="T47" s="6">
        <v>849.4</v>
      </c>
      <c r="U47" s="2"/>
      <c r="V47" s="7">
        <f t="shared" si="38"/>
        <v>1.1545010249016927E-2</v>
      </c>
      <c r="W47" s="2"/>
      <c r="X47" s="6">
        <f t="shared" si="39"/>
        <v>0</v>
      </c>
      <c r="Y47" s="2"/>
      <c r="Z47" s="7">
        <f t="shared" si="40"/>
        <v>0</v>
      </c>
    </row>
    <row r="48" spans="1:26" s="29" customFormat="1" outlineLevel="1" collapsed="1" x14ac:dyDescent="0.3">
      <c r="A48" s="28"/>
      <c r="B48" s="14" t="str">
        <f>CONCATENATE("     ","Discounts and Markdowns                           ")</f>
        <v xml:space="preserve">     Discounts and Markdowns                           </v>
      </c>
      <c r="C48" s="14"/>
      <c r="D48" s="1">
        <f>SUM(OSRRefD22_4x_0)</f>
        <v>0</v>
      </c>
      <c r="E48" s="1"/>
      <c r="F48" s="5">
        <f t="shared" si="33"/>
        <v>0</v>
      </c>
      <c r="G48" s="1"/>
      <c r="H48" s="1">
        <f>SUM(OSRRefH22_4x_0)</f>
        <v>0</v>
      </c>
      <c r="I48" s="1"/>
      <c r="J48" s="5">
        <f t="shared" si="34"/>
        <v>0</v>
      </c>
      <c r="K48" s="1"/>
      <c r="L48" s="1">
        <f t="shared" si="35"/>
        <v>0</v>
      </c>
      <c r="M48" s="1"/>
      <c r="N48" s="5">
        <f t="shared" si="36"/>
        <v>0</v>
      </c>
      <c r="O48" s="14"/>
      <c r="P48" s="1">
        <f>SUM(OSRRefP22_4x_0)</f>
        <v>0</v>
      </c>
      <c r="Q48" s="1"/>
      <c r="R48" s="5">
        <f t="shared" si="37"/>
        <v>0</v>
      </c>
      <c r="S48" s="1"/>
      <c r="T48" s="1">
        <f>SUM(OSRRefT22_4x_0)</f>
        <v>0</v>
      </c>
      <c r="U48" s="1"/>
      <c r="V48" s="5">
        <f t="shared" si="38"/>
        <v>0</v>
      </c>
      <c r="W48" s="1"/>
      <c r="X48" s="1">
        <f t="shared" si="39"/>
        <v>0</v>
      </c>
      <c r="Y48" s="1"/>
      <c r="Z48" s="5">
        <f t="shared" si="40"/>
        <v>0</v>
      </c>
    </row>
    <row r="49" spans="1:26" s="24" customFormat="1" hidden="1" outlineLevel="2" x14ac:dyDescent="0.3">
      <c r="A49" s="27"/>
      <c r="B49" s="11" t="str">
        <f>CONCATENATE("          ", "6382", " - ", "DISCOUNTS/MARK DOWNS")</f>
        <v xml:space="preserve">          6382 - DISCOUNTS/MARK DOWNS</v>
      </c>
      <c r="C49" s="11"/>
      <c r="D49" s="6"/>
      <c r="E49" s="2"/>
      <c r="F49" s="7">
        <f t="shared" si="33"/>
        <v>0</v>
      </c>
      <c r="G49" s="2"/>
      <c r="H49" s="6"/>
      <c r="I49" s="2"/>
      <c r="J49" s="7">
        <f t="shared" si="34"/>
        <v>0</v>
      </c>
      <c r="K49" s="2"/>
      <c r="L49" s="6">
        <f t="shared" si="35"/>
        <v>0</v>
      </c>
      <c r="M49" s="2"/>
      <c r="N49" s="7">
        <f t="shared" si="36"/>
        <v>0</v>
      </c>
      <c r="O49" s="11"/>
      <c r="P49" s="6"/>
      <c r="Q49" s="2"/>
      <c r="R49" s="7">
        <f t="shared" si="37"/>
        <v>0</v>
      </c>
      <c r="S49" s="2"/>
      <c r="T49" s="6">
        <v>0</v>
      </c>
      <c r="U49" s="2"/>
      <c r="V49" s="7">
        <f t="shared" si="38"/>
        <v>0</v>
      </c>
      <c r="W49" s="2"/>
      <c r="X49" s="6">
        <f t="shared" si="39"/>
        <v>0</v>
      </c>
      <c r="Y49" s="2"/>
      <c r="Z49" s="7">
        <f t="shared" si="40"/>
        <v>0</v>
      </c>
    </row>
    <row r="50" spans="1:26" s="29" customFormat="1" outlineLevel="1" collapsed="1" x14ac:dyDescent="0.3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SUM(OSRRefD22_5x_0)</f>
        <v>1205.6400000000001</v>
      </c>
      <c r="E50" s="1"/>
      <c r="F50" s="5">
        <f t="shared" si="33"/>
        <v>0.17761003398579581</v>
      </c>
      <c r="G50" s="1"/>
      <c r="H50" s="1">
        <f>SUM(OSRRefH22_5x_0)</f>
        <v>1205.6400000000001</v>
      </c>
      <c r="I50" s="1"/>
      <c r="J50" s="5">
        <f t="shared" si="34"/>
        <v>0.7545153013329996</v>
      </c>
      <c r="K50" s="1"/>
      <c r="L50" s="1">
        <f t="shared" si="35"/>
        <v>0</v>
      </c>
      <c r="M50" s="1"/>
      <c r="N50" s="5">
        <f t="shared" si="36"/>
        <v>0</v>
      </c>
      <c r="O50" s="14"/>
      <c r="P50" s="1">
        <f>SUM(OSRRefP22_5x_0)</f>
        <v>6028.2</v>
      </c>
      <c r="Q50" s="1"/>
      <c r="R50" s="5">
        <f t="shared" si="37"/>
        <v>6.609216195770154E-2</v>
      </c>
      <c r="S50" s="1"/>
      <c r="T50" s="1">
        <f>SUM(OSRRefT22_5x_0)</f>
        <v>6028.2</v>
      </c>
      <c r="U50" s="1"/>
      <c r="V50" s="5">
        <f t="shared" si="38"/>
        <v>8.1935049191339579E-2</v>
      </c>
      <c r="W50" s="1"/>
      <c r="X50" s="1">
        <f t="shared" si="39"/>
        <v>0</v>
      </c>
      <c r="Y50" s="1"/>
      <c r="Z50" s="5">
        <f t="shared" si="40"/>
        <v>0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1205.6400000000001</v>
      </c>
      <c r="E51" s="2"/>
      <c r="F51" s="7">
        <f t="shared" si="33"/>
        <v>0.17761003398579581</v>
      </c>
      <c r="G51" s="2"/>
      <c r="H51" s="6">
        <v>1205.6400000000001</v>
      </c>
      <c r="I51" s="2"/>
      <c r="J51" s="7">
        <f t="shared" si="34"/>
        <v>0.7545153013329996</v>
      </c>
      <c r="K51" s="2"/>
      <c r="L51" s="6">
        <f t="shared" si="35"/>
        <v>0</v>
      </c>
      <c r="M51" s="2"/>
      <c r="N51" s="7">
        <f t="shared" si="36"/>
        <v>0</v>
      </c>
      <c r="O51" s="11"/>
      <c r="P51" s="6">
        <v>6028.2</v>
      </c>
      <c r="Q51" s="2"/>
      <c r="R51" s="7">
        <f t="shared" si="37"/>
        <v>6.609216195770154E-2</v>
      </c>
      <c r="S51" s="2"/>
      <c r="T51" s="6">
        <v>6028.2</v>
      </c>
      <c r="U51" s="2"/>
      <c r="V51" s="7">
        <f t="shared" si="38"/>
        <v>8.1935049191339579E-2</v>
      </c>
      <c r="W51" s="2"/>
      <c r="X51" s="6">
        <f t="shared" si="39"/>
        <v>0</v>
      </c>
      <c r="Y51" s="2"/>
      <c r="Z51" s="7">
        <f t="shared" si="40"/>
        <v>0</v>
      </c>
    </row>
    <row r="52" spans="1:26" s="29" customFormat="1" outlineLevel="1" collapsed="1" x14ac:dyDescent="0.3">
      <c r="A52" s="28"/>
      <c r="B52" s="14" t="str">
        <f>CONCATENATE("     ","Freight out/Postage                               ")</f>
        <v xml:space="preserve">     Freight out/Postage                               </v>
      </c>
      <c r="C52" s="14"/>
      <c r="D52" s="1">
        <f>SUM(OSRRefD22_6x_0)</f>
        <v>-3785.619999999999</v>
      </c>
      <c r="E52" s="1"/>
      <c r="F52" s="5">
        <f t="shared" si="33"/>
        <v>-0.55768230720389844</v>
      </c>
      <c r="G52" s="1"/>
      <c r="H52" s="1">
        <f>SUM(OSRRefH22_6x_0)</f>
        <v>8307.7900000000009</v>
      </c>
      <c r="I52" s="1"/>
      <c r="J52" s="5">
        <f t="shared" si="34"/>
        <v>5.1991926904061581</v>
      </c>
      <c r="K52" s="1"/>
      <c r="L52" s="1">
        <f t="shared" si="35"/>
        <v>-12093.41</v>
      </c>
      <c r="M52" s="1"/>
      <c r="N52" s="5">
        <f t="shared" si="36"/>
        <v>-1.4556711231266075</v>
      </c>
      <c r="O52" s="14"/>
      <c r="P52" s="1">
        <f>SUM(OSRRefP22_6x_0)</f>
        <v>-42973.159999999996</v>
      </c>
      <c r="Q52" s="1"/>
      <c r="R52" s="5">
        <f t="shared" si="37"/>
        <v>-0.47115043471587231</v>
      </c>
      <c r="S52" s="1"/>
      <c r="T52" s="1">
        <f>SUM(OSRRefT22_6x_0)</f>
        <v>-24841.37000000001</v>
      </c>
      <c r="U52" s="1"/>
      <c r="V52" s="5">
        <f t="shared" si="38"/>
        <v>-0.33764289056936864</v>
      </c>
      <c r="W52" s="1"/>
      <c r="X52" s="1">
        <f t="shared" si="39"/>
        <v>-18131.789999999986</v>
      </c>
      <c r="Y52" s="1"/>
      <c r="Z52" s="5">
        <f t="shared" si="40"/>
        <v>0.72990298039117729</v>
      </c>
    </row>
    <row r="53" spans="1:26" s="24" customFormat="1" hidden="1" outlineLevel="2" x14ac:dyDescent="0.3">
      <c r="A53" s="27"/>
      <c r="B53" s="11" t="str">
        <f>CONCATENATE("          ", "6305", " - ", "FREIGHT OUT")</f>
        <v xml:space="preserve">          6305 - FREIGHT OUT</v>
      </c>
      <c r="C53" s="11"/>
      <c r="D53" s="6">
        <v>8941.11</v>
      </c>
      <c r="E53" s="2"/>
      <c r="F53" s="7">
        <f t="shared" si="33"/>
        <v>1.3171683512248586</v>
      </c>
      <c r="G53" s="2"/>
      <c r="H53" s="6">
        <v>12643.45</v>
      </c>
      <c r="I53" s="2"/>
      <c r="J53" s="7">
        <f t="shared" si="34"/>
        <v>7.9125414606671258</v>
      </c>
      <c r="K53" s="2"/>
      <c r="L53" s="6">
        <f t="shared" si="35"/>
        <v>-3702.34</v>
      </c>
      <c r="M53" s="2"/>
      <c r="N53" s="7">
        <f t="shared" si="36"/>
        <v>-0.29282672055491182</v>
      </c>
      <c r="O53" s="11"/>
      <c r="P53" s="6">
        <v>62421.9</v>
      </c>
      <c r="Q53" s="2"/>
      <c r="R53" s="7">
        <f t="shared" si="37"/>
        <v>0.68438312008683355</v>
      </c>
      <c r="S53" s="2"/>
      <c r="T53" s="6">
        <v>98238.23</v>
      </c>
      <c r="U53" s="2"/>
      <c r="V53" s="7">
        <f t="shared" si="38"/>
        <v>1.3352500261305418</v>
      </c>
      <c r="W53" s="2"/>
      <c r="X53" s="6">
        <f t="shared" si="39"/>
        <v>-35816.329999999994</v>
      </c>
      <c r="Y53" s="2"/>
      <c r="Z53" s="7">
        <f t="shared" si="40"/>
        <v>-0.36458647514312909</v>
      </c>
    </row>
    <row r="54" spans="1:26" s="24" customFormat="1" hidden="1" outlineLevel="2" x14ac:dyDescent="0.3">
      <c r="A54" s="27"/>
      <c r="B54" s="11" t="str">
        <f>CONCATENATE("          ", "6307", " - ", "POSTAGE")</f>
        <v xml:space="preserve">          6307 - POSTAGE</v>
      </c>
      <c r="C54" s="11"/>
      <c r="D54" s="6">
        <v>-12726.73</v>
      </c>
      <c r="E54" s="2"/>
      <c r="F54" s="7">
        <f t="shared" si="33"/>
        <v>-1.8748506584287572</v>
      </c>
      <c r="G54" s="2"/>
      <c r="H54" s="6">
        <v>-4335.66</v>
      </c>
      <c r="I54" s="2"/>
      <c r="J54" s="7">
        <f t="shared" si="34"/>
        <v>-2.7133487702609673</v>
      </c>
      <c r="K54" s="2"/>
      <c r="L54" s="6">
        <f t="shared" si="35"/>
        <v>-8391.07</v>
      </c>
      <c r="M54" s="2"/>
      <c r="N54" s="7">
        <f t="shared" si="36"/>
        <v>1.935361628910016</v>
      </c>
      <c r="O54" s="11"/>
      <c r="P54" s="6">
        <v>-105395.06</v>
      </c>
      <c r="Q54" s="2"/>
      <c r="R54" s="7">
        <f t="shared" si="37"/>
        <v>-1.1555335548027059</v>
      </c>
      <c r="S54" s="2"/>
      <c r="T54" s="6">
        <v>-123079.6</v>
      </c>
      <c r="U54" s="2"/>
      <c r="V54" s="7">
        <f t="shared" si="38"/>
        <v>-1.6728929166999102</v>
      </c>
      <c r="W54" s="2"/>
      <c r="X54" s="6">
        <f t="shared" si="39"/>
        <v>17684.540000000008</v>
      </c>
      <c r="Y54" s="2"/>
      <c r="Z54" s="7">
        <f t="shared" si="40"/>
        <v>-0.14368376237816832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0</v>
      </c>
      <c r="E55" s="1"/>
      <c r="F55" s="5">
        <f t="shared" ref="F55:F60" si="41">IF(D$12=0,0,D55/D$12)</f>
        <v>0</v>
      </c>
      <c r="G55" s="1"/>
      <c r="H55" s="1">
        <f>SUM(OSRRefH22_7x_0)</f>
        <v>0</v>
      </c>
      <c r="I55" s="1"/>
      <c r="J55" s="5">
        <f t="shared" ref="J55:J60" si="42">IF(H$12=0,0,H55/H$12)</f>
        <v>0</v>
      </c>
      <c r="K55" s="1"/>
      <c r="L55" s="1">
        <f t="shared" ref="L55:L60" si="43">+D55-H55</f>
        <v>0</v>
      </c>
      <c r="M55" s="1"/>
      <c r="N55" s="5">
        <f t="shared" ref="N55:N60" si="44">IF(H55=0,0,L55/H55)</f>
        <v>0</v>
      </c>
      <c r="O55" s="14"/>
      <c r="P55" s="1">
        <f>SUM(OSRRefP22_7x_0)</f>
        <v>91.31</v>
      </c>
      <c r="Q55" s="1"/>
      <c r="R55" s="5">
        <f t="shared" ref="R55:R60" si="45">IF(P$12=0,0,P55/P$12)</f>
        <v>1.0011073468627E-3</v>
      </c>
      <c r="S55" s="1"/>
      <c r="T55" s="1">
        <f>SUM(OSRRefT22_7x_0)</f>
        <v>0</v>
      </c>
      <c r="U55" s="1"/>
      <c r="V55" s="5">
        <f t="shared" ref="V55:V60" si="46">IF(T$12=0,0,T55/T$12)</f>
        <v>0</v>
      </c>
      <c r="W55" s="1"/>
      <c r="X55" s="1">
        <f t="shared" ref="X55:X60" si="47">+P55-T55</f>
        <v>91.31</v>
      </c>
      <c r="Y55" s="1"/>
      <c r="Z55" s="5">
        <f t="shared" ref="Z55:Z60" si="48">IF(T55=0,0,X55/T55)</f>
        <v>0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41"/>
        <v>0</v>
      </c>
      <c r="G56" s="2"/>
      <c r="H56" s="6"/>
      <c r="I56" s="2"/>
      <c r="J56" s="7">
        <f t="shared" si="42"/>
        <v>0</v>
      </c>
      <c r="K56" s="2"/>
      <c r="L56" s="6">
        <f t="shared" si="43"/>
        <v>0</v>
      </c>
      <c r="M56" s="2"/>
      <c r="N56" s="7">
        <f t="shared" si="44"/>
        <v>0</v>
      </c>
      <c r="O56" s="11"/>
      <c r="P56" s="6">
        <v>91.31</v>
      </c>
      <c r="Q56" s="2"/>
      <c r="R56" s="7">
        <f t="shared" si="45"/>
        <v>1.0011073468627E-3</v>
      </c>
      <c r="S56" s="2"/>
      <c r="T56" s="6"/>
      <c r="U56" s="2"/>
      <c r="V56" s="7">
        <f t="shared" si="46"/>
        <v>0</v>
      </c>
      <c r="W56" s="2"/>
      <c r="X56" s="6">
        <f t="shared" si="47"/>
        <v>91.31</v>
      </c>
      <c r="Y56" s="2"/>
      <c r="Z56" s="7">
        <f t="shared" si="48"/>
        <v>0</v>
      </c>
    </row>
    <row r="57" spans="1:26" s="29" customFormat="1" outlineLevel="1" collapsed="1" x14ac:dyDescent="0.3">
      <c r="A57" s="28"/>
      <c r="B57" s="14" t="str">
        <f>CONCATENATE("     ","Repair and Maintenance                            ")</f>
        <v xml:space="preserve">     Repair and Maintenance                            </v>
      </c>
      <c r="C57" s="14"/>
      <c r="D57" s="1">
        <f>SUM(OSRRefD22_8x_0)</f>
        <v>142.87</v>
      </c>
      <c r="E57" s="1"/>
      <c r="F57" s="5">
        <f t="shared" si="41"/>
        <v>2.10470335718379E-2</v>
      </c>
      <c r="G57" s="1"/>
      <c r="H57" s="1">
        <f>SUM(OSRRefH22_8x_0)</f>
        <v>400.12</v>
      </c>
      <c r="I57" s="1"/>
      <c r="J57" s="5">
        <f t="shared" si="42"/>
        <v>0.25040365479692095</v>
      </c>
      <c r="K57" s="1"/>
      <c r="L57" s="1">
        <f t="shared" si="43"/>
        <v>-257.25</v>
      </c>
      <c r="M57" s="1"/>
      <c r="N57" s="5">
        <f t="shared" si="44"/>
        <v>-0.6429321203638908</v>
      </c>
      <c r="O57" s="14"/>
      <c r="P57" s="1">
        <f>SUM(OSRRefP22_8x_0)</f>
        <v>12528.02</v>
      </c>
      <c r="Q57" s="1"/>
      <c r="R57" s="5">
        <f t="shared" si="45"/>
        <v>0.13735508557269568</v>
      </c>
      <c r="S57" s="1"/>
      <c r="T57" s="1">
        <f>SUM(OSRRefT22_8x_0)</f>
        <v>24520.879999999997</v>
      </c>
      <c r="U57" s="1"/>
      <c r="V57" s="5">
        <f t="shared" si="46"/>
        <v>0.33328680352591727</v>
      </c>
      <c r="W57" s="1"/>
      <c r="X57" s="1">
        <f t="shared" si="47"/>
        <v>-11992.859999999997</v>
      </c>
      <c r="Y57" s="1"/>
      <c r="Z57" s="5">
        <f t="shared" si="48"/>
        <v>-0.48908766732678427</v>
      </c>
    </row>
    <row r="58" spans="1:26" s="24" customFormat="1" hidden="1" outlineLevel="2" x14ac:dyDescent="0.3">
      <c r="A58" s="27"/>
      <c r="B58" s="11" t="str">
        <f>CONCATENATE("          ", "6371", " - ", "COMPUTER SOFTWARE MAINTENANCE")</f>
        <v xml:space="preserve">          6371 - COMPUTER SOFTWARE MAINTENANCE</v>
      </c>
      <c r="C58" s="11"/>
      <c r="D58" s="6"/>
      <c r="E58" s="2"/>
      <c r="F58" s="7">
        <f t="shared" si="41"/>
        <v>0</v>
      </c>
      <c r="G58" s="2"/>
      <c r="H58" s="6"/>
      <c r="I58" s="2"/>
      <c r="J58" s="7">
        <f t="shared" si="42"/>
        <v>0</v>
      </c>
      <c r="K58" s="2"/>
      <c r="L58" s="6">
        <f t="shared" si="43"/>
        <v>0</v>
      </c>
      <c r="M58" s="2"/>
      <c r="N58" s="7">
        <f t="shared" si="44"/>
        <v>0</v>
      </c>
      <c r="O58" s="11"/>
      <c r="P58" s="6"/>
      <c r="Q58" s="2"/>
      <c r="R58" s="7">
        <f t="shared" si="45"/>
        <v>0</v>
      </c>
      <c r="S58" s="2"/>
      <c r="T58" s="6">
        <v>7.69</v>
      </c>
      <c r="U58" s="2"/>
      <c r="V58" s="7">
        <f t="shared" si="46"/>
        <v>1.0452216719441979E-4</v>
      </c>
      <c r="W58" s="2"/>
      <c r="X58" s="6">
        <f t="shared" si="47"/>
        <v>-7.69</v>
      </c>
      <c r="Y58" s="2"/>
      <c r="Z58" s="7">
        <f t="shared" si="48"/>
        <v>-1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142.87</v>
      </c>
      <c r="E59" s="2"/>
      <c r="F59" s="7">
        <f t="shared" si="41"/>
        <v>2.10470335718379E-2</v>
      </c>
      <c r="G59" s="2"/>
      <c r="H59" s="6">
        <v>400.12</v>
      </c>
      <c r="I59" s="2"/>
      <c r="J59" s="7">
        <f t="shared" si="42"/>
        <v>0.25040365479692095</v>
      </c>
      <c r="K59" s="2"/>
      <c r="L59" s="6">
        <f t="shared" si="43"/>
        <v>-257.25</v>
      </c>
      <c r="M59" s="2"/>
      <c r="N59" s="7">
        <f t="shared" si="44"/>
        <v>-0.6429321203638908</v>
      </c>
      <c r="O59" s="11"/>
      <c r="P59" s="6">
        <v>4630.41</v>
      </c>
      <c r="Q59" s="2"/>
      <c r="R59" s="7">
        <f t="shared" si="45"/>
        <v>5.0767029569450381E-2</v>
      </c>
      <c r="S59" s="2"/>
      <c r="T59" s="6">
        <v>24513.19</v>
      </c>
      <c r="U59" s="2"/>
      <c r="V59" s="7">
        <f t="shared" si="46"/>
        <v>0.33318228135872291</v>
      </c>
      <c r="W59" s="2"/>
      <c r="X59" s="6">
        <f t="shared" si="47"/>
        <v>-19882.78</v>
      </c>
      <c r="Y59" s="2"/>
      <c r="Z59" s="7">
        <f t="shared" si="48"/>
        <v>-0.8111053681711764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/>
      <c r="E60" s="2"/>
      <c r="F60" s="7">
        <f t="shared" si="41"/>
        <v>0</v>
      </c>
      <c r="G60" s="2"/>
      <c r="H60" s="6"/>
      <c r="I60" s="2"/>
      <c r="J60" s="7">
        <f t="shared" si="42"/>
        <v>0</v>
      </c>
      <c r="K60" s="2"/>
      <c r="L60" s="6">
        <f t="shared" si="43"/>
        <v>0</v>
      </c>
      <c r="M60" s="2"/>
      <c r="N60" s="7">
        <f t="shared" si="44"/>
        <v>0</v>
      </c>
      <c r="O60" s="11"/>
      <c r="P60" s="6">
        <v>7897.61</v>
      </c>
      <c r="Q60" s="2"/>
      <c r="R60" s="7">
        <f t="shared" si="45"/>
        <v>8.658805600324529E-2</v>
      </c>
      <c r="S60" s="2"/>
      <c r="T60" s="6"/>
      <c r="U60" s="2"/>
      <c r="V60" s="7">
        <f t="shared" si="46"/>
        <v>0</v>
      </c>
      <c r="W60" s="2"/>
      <c r="X60" s="6">
        <f t="shared" si="47"/>
        <v>7897.61</v>
      </c>
      <c r="Y60" s="2"/>
      <c r="Z60" s="7">
        <f t="shared" si="48"/>
        <v>0</v>
      </c>
    </row>
    <row r="61" spans="1:26" s="29" customFormat="1" outlineLevel="1" collapsed="1" x14ac:dyDescent="0.3">
      <c r="A61" s="28"/>
      <c r="B61" s="14" t="str">
        <f>CONCATENATE("     ","Royalty &amp; Commissions                             ")</f>
        <v xml:space="preserve">     Royalty &amp; Commissions                             </v>
      </c>
      <c r="C61" s="14"/>
      <c r="D61" s="1">
        <f>SUM(OSRRefD22_9x_0)</f>
        <v>784.77</v>
      </c>
      <c r="E61" s="1"/>
      <c r="F61" s="5">
        <f t="shared" ref="F61:F68" si="49">IF(D$12=0,0,D61/D$12)</f>
        <v>0.11560915892889499</v>
      </c>
      <c r="G61" s="1"/>
      <c r="H61" s="1">
        <f>SUM(OSRRefH22_9x_0)</f>
        <v>4453.09</v>
      </c>
      <c r="I61" s="1"/>
      <c r="J61" s="5">
        <f t="shared" ref="J61:J68" si="50">IF(H$12=0,0,H61/H$12)</f>
        <v>2.7868389761562051</v>
      </c>
      <c r="K61" s="1"/>
      <c r="L61" s="1">
        <f t="shared" ref="L61:L68" si="51">+D61-H61</f>
        <v>-3668.32</v>
      </c>
      <c r="M61" s="1"/>
      <c r="N61" s="5">
        <f t="shared" ref="N61:N68" si="52">IF(H61=0,0,L61/H61)</f>
        <v>-0.82376956225901565</v>
      </c>
      <c r="O61" s="14"/>
      <c r="P61" s="1">
        <f>SUM(OSRRefP22_9x_0)</f>
        <v>4492.91</v>
      </c>
      <c r="Q61" s="1"/>
      <c r="R61" s="5">
        <f t="shared" ref="R61:R68" si="53">IF(P$12=0,0,P61/P$12)</f>
        <v>4.9259502899933118E-2</v>
      </c>
      <c r="S61" s="1"/>
      <c r="T61" s="1">
        <f>SUM(OSRRefT22_9x_0)</f>
        <v>10158.290000000001</v>
      </c>
      <c r="U61" s="1"/>
      <c r="V61" s="5">
        <f t="shared" ref="V61:V68" si="54">IF(T$12=0,0,T61/T$12)</f>
        <v>0.13807106447196393</v>
      </c>
      <c r="W61" s="1"/>
      <c r="X61" s="1">
        <f t="shared" ref="X61:X68" si="55">+P61-T61</f>
        <v>-5665.380000000001</v>
      </c>
      <c r="Y61" s="1"/>
      <c r="Z61" s="5">
        <f t="shared" ref="Z61:Z68" si="56">IF(T61=0,0,X61/T61)</f>
        <v>-0.55771000827895256</v>
      </c>
    </row>
    <row r="62" spans="1:26" s="24" customFormat="1" hidden="1" outlineLevel="2" x14ac:dyDescent="0.3">
      <c r="A62" s="27"/>
      <c r="B62" s="11" t="str">
        <f>CONCATENATE("          ", "6259", " - ", "ROYALTY &amp; COMMISSIONS")</f>
        <v xml:space="preserve">          6259 - ROYALTY &amp; COMMISSIONS</v>
      </c>
      <c r="C62" s="11"/>
      <c r="D62" s="6">
        <v>784.77</v>
      </c>
      <c r="E62" s="2"/>
      <c r="F62" s="7">
        <f t="shared" si="49"/>
        <v>0.11560915892889499</v>
      </c>
      <c r="G62" s="2"/>
      <c r="H62" s="6">
        <v>4453.09</v>
      </c>
      <c r="I62" s="2"/>
      <c r="J62" s="7">
        <f t="shared" si="50"/>
        <v>2.7868389761562051</v>
      </c>
      <c r="K62" s="2"/>
      <c r="L62" s="6">
        <f t="shared" si="51"/>
        <v>-3668.32</v>
      </c>
      <c r="M62" s="2"/>
      <c r="N62" s="7">
        <f t="shared" si="52"/>
        <v>-0.82376956225901565</v>
      </c>
      <c r="O62" s="11"/>
      <c r="P62" s="6">
        <v>4492.91</v>
      </c>
      <c r="Q62" s="2"/>
      <c r="R62" s="7">
        <f t="shared" si="53"/>
        <v>4.9259502899933118E-2</v>
      </c>
      <c r="S62" s="2"/>
      <c r="T62" s="6">
        <v>10158.290000000001</v>
      </c>
      <c r="U62" s="2"/>
      <c r="V62" s="7">
        <f t="shared" si="54"/>
        <v>0.13807106447196393</v>
      </c>
      <c r="W62" s="2"/>
      <c r="X62" s="6">
        <f t="shared" si="55"/>
        <v>-5665.380000000001</v>
      </c>
      <c r="Y62" s="2"/>
      <c r="Z62" s="7">
        <f t="shared" si="56"/>
        <v>-0.55771000827895256</v>
      </c>
    </row>
    <row r="63" spans="1:26" s="29" customFormat="1" outlineLevel="1" collapsed="1" x14ac:dyDescent="0.3">
      <c r="A63" s="28"/>
      <c r="B63" s="14" t="str">
        <f>CONCATENATE("     ","Supplies                                          ")</f>
        <v xml:space="preserve">     Supplies                                          </v>
      </c>
      <c r="C63" s="14"/>
      <c r="D63" s="1">
        <f>SUM(OSRRefD22_10x_0)</f>
        <v>1938.7199999999998</v>
      </c>
      <c r="E63" s="1"/>
      <c r="F63" s="5">
        <f t="shared" si="49"/>
        <v>0.28560443008604725</v>
      </c>
      <c r="G63" s="1"/>
      <c r="H63" s="1">
        <f>SUM(OSRRefH22_10x_0)</f>
        <v>2362.06</v>
      </c>
      <c r="I63" s="1"/>
      <c r="J63" s="5">
        <f t="shared" si="50"/>
        <v>1.4782276738218911</v>
      </c>
      <c r="K63" s="1"/>
      <c r="L63" s="1">
        <f t="shared" si="51"/>
        <v>-423.34000000000015</v>
      </c>
      <c r="M63" s="1"/>
      <c r="N63" s="5">
        <f t="shared" si="52"/>
        <v>-0.17922491384638839</v>
      </c>
      <c r="O63" s="14"/>
      <c r="P63" s="1">
        <f>SUM(OSRRefP22_10x_0)</f>
        <v>18494.150000000001</v>
      </c>
      <c r="Q63" s="1"/>
      <c r="R63" s="5">
        <f t="shared" si="53"/>
        <v>0.20276672258220133</v>
      </c>
      <c r="S63" s="1"/>
      <c r="T63" s="1">
        <f>SUM(OSRRefT22_10x_0)</f>
        <v>23873.61</v>
      </c>
      <c r="U63" s="1"/>
      <c r="V63" s="5">
        <f t="shared" si="54"/>
        <v>0.32448913601487284</v>
      </c>
      <c r="W63" s="1"/>
      <c r="X63" s="1">
        <f t="shared" si="55"/>
        <v>-5379.4599999999991</v>
      </c>
      <c r="Y63" s="1"/>
      <c r="Z63" s="5">
        <f t="shared" si="56"/>
        <v>-0.2253308150715371</v>
      </c>
    </row>
    <row r="64" spans="1:26" s="24" customFormat="1" hidden="1" outlineLevel="2" x14ac:dyDescent="0.3">
      <c r="A64" s="27"/>
      <c r="B64" s="11" t="str">
        <f>CONCATENATE("          ", "6235", " - ", "COVID-19 EXPENSES")</f>
        <v xml:space="preserve">          6235 - COVID-19 EXPENSES</v>
      </c>
      <c r="C64" s="11"/>
      <c r="D64" s="6"/>
      <c r="E64" s="2"/>
      <c r="F64" s="7">
        <f t="shared" si="49"/>
        <v>0</v>
      </c>
      <c r="G64" s="2"/>
      <c r="H64" s="6"/>
      <c r="I64" s="2"/>
      <c r="J64" s="7">
        <f t="shared" si="50"/>
        <v>0</v>
      </c>
      <c r="K64" s="2"/>
      <c r="L64" s="6">
        <f t="shared" si="51"/>
        <v>0</v>
      </c>
      <c r="M64" s="2"/>
      <c r="N64" s="7">
        <f t="shared" si="52"/>
        <v>0</v>
      </c>
      <c r="O64" s="11"/>
      <c r="P64" s="6"/>
      <c r="Q64" s="2"/>
      <c r="R64" s="7">
        <f t="shared" si="53"/>
        <v>0</v>
      </c>
      <c r="S64" s="2"/>
      <c r="T64" s="6">
        <v>310.91000000000003</v>
      </c>
      <c r="U64" s="2"/>
      <c r="V64" s="7">
        <f t="shared" si="54"/>
        <v>4.2258760731361585E-3</v>
      </c>
      <c r="W64" s="2"/>
      <c r="X64" s="6">
        <f t="shared" si="55"/>
        <v>-310.91000000000003</v>
      </c>
      <c r="Y64" s="2"/>
      <c r="Z64" s="7">
        <f t="shared" si="56"/>
        <v>-1</v>
      </c>
    </row>
    <row r="65" spans="1:26" s="24" customFormat="1" hidden="1" outlineLevel="2" x14ac:dyDescent="0.3">
      <c r="A65" s="27"/>
      <c r="B65" s="11" t="str">
        <f>CONCATENATE("          ", "6241", " - ", "OFFICE EXPENSE")</f>
        <v xml:space="preserve">          6241 - OFFICE EXPENSE</v>
      </c>
      <c r="C65" s="11"/>
      <c r="D65" s="6">
        <v>7.16</v>
      </c>
      <c r="E65" s="2"/>
      <c r="F65" s="7">
        <f t="shared" si="49"/>
        <v>1.0547823922052171E-3</v>
      </c>
      <c r="G65" s="2"/>
      <c r="H65" s="6"/>
      <c r="I65" s="2"/>
      <c r="J65" s="7">
        <f t="shared" si="50"/>
        <v>0</v>
      </c>
      <c r="K65" s="2"/>
      <c r="L65" s="6">
        <f t="shared" si="51"/>
        <v>7.16</v>
      </c>
      <c r="M65" s="2"/>
      <c r="N65" s="7">
        <f t="shared" si="52"/>
        <v>0</v>
      </c>
      <c r="O65" s="11"/>
      <c r="P65" s="6">
        <v>4842.87</v>
      </c>
      <c r="Q65" s="2"/>
      <c r="R65" s="7">
        <f t="shared" si="53"/>
        <v>5.3096404960036835E-2</v>
      </c>
      <c r="S65" s="2"/>
      <c r="T65" s="6">
        <v>4596.8599999999997</v>
      </c>
      <c r="U65" s="2"/>
      <c r="V65" s="7">
        <f t="shared" si="54"/>
        <v>6.2480334133854426E-2</v>
      </c>
      <c r="W65" s="2"/>
      <c r="X65" s="6">
        <f t="shared" si="55"/>
        <v>246.01000000000022</v>
      </c>
      <c r="Y65" s="2"/>
      <c r="Z65" s="7">
        <f t="shared" si="56"/>
        <v>5.3516965928916749E-2</v>
      </c>
    </row>
    <row r="66" spans="1:26" s="24" customFormat="1" hidden="1" outlineLevel="2" x14ac:dyDescent="0.3">
      <c r="A66" s="27"/>
      <c r="B66" s="11" t="str">
        <f>CONCATENATE("          ", "6243", " - ", "PAPER SUPPLIES")</f>
        <v xml:space="preserve">          6243 - PAPER SUPPLIES</v>
      </c>
      <c r="C66" s="11"/>
      <c r="D66" s="6">
        <v>284.11</v>
      </c>
      <c r="E66" s="2"/>
      <c r="F66" s="7">
        <f t="shared" si="49"/>
        <v>4.1853942101874889E-2</v>
      </c>
      <c r="G66" s="2"/>
      <c r="H66" s="6">
        <v>1108.5999999999999</v>
      </c>
      <c r="I66" s="2"/>
      <c r="J66" s="7">
        <f t="shared" si="50"/>
        <v>0.69378559359158887</v>
      </c>
      <c r="K66" s="2"/>
      <c r="L66" s="6">
        <f t="shared" si="51"/>
        <v>-824.4899999999999</v>
      </c>
      <c r="M66" s="2"/>
      <c r="N66" s="7">
        <f t="shared" si="52"/>
        <v>-0.74372181129352333</v>
      </c>
      <c r="O66" s="11"/>
      <c r="P66" s="6">
        <v>4470.8999999999996</v>
      </c>
      <c r="Q66" s="2"/>
      <c r="R66" s="7">
        <f t="shared" si="53"/>
        <v>4.901818899450712E-2</v>
      </c>
      <c r="S66" s="2"/>
      <c r="T66" s="6">
        <v>4682.3</v>
      </c>
      <c r="U66" s="2"/>
      <c r="V66" s="7">
        <f t="shared" si="54"/>
        <v>6.3641631138417656E-2</v>
      </c>
      <c r="W66" s="2"/>
      <c r="X66" s="6">
        <f t="shared" si="55"/>
        <v>-211.40000000000055</v>
      </c>
      <c r="Y66" s="2"/>
      <c r="Z66" s="7">
        <f t="shared" si="56"/>
        <v>-4.5148751681865863E-2</v>
      </c>
    </row>
    <row r="67" spans="1:26" s="24" customFormat="1" hidden="1" outlineLevel="2" x14ac:dyDescent="0.3">
      <c r="A67" s="27"/>
      <c r="B67" s="11" t="str">
        <f>CONCATENATE("          ", "6245", " - ", "PRINTING")</f>
        <v xml:space="preserve">          6245 - PRINTING</v>
      </c>
      <c r="C67" s="11"/>
      <c r="D67" s="6">
        <v>632.28</v>
      </c>
      <c r="E67" s="2"/>
      <c r="F67" s="7">
        <f t="shared" si="49"/>
        <v>9.3144945662502032E-2</v>
      </c>
      <c r="G67" s="2"/>
      <c r="H67" s="6">
        <v>93.72</v>
      </c>
      <c r="I67" s="2"/>
      <c r="J67" s="7">
        <f t="shared" si="50"/>
        <v>5.8651980724701167E-2</v>
      </c>
      <c r="K67" s="2"/>
      <c r="L67" s="6">
        <f t="shared" si="51"/>
        <v>538.55999999999995</v>
      </c>
      <c r="M67" s="2"/>
      <c r="N67" s="7">
        <f t="shared" si="52"/>
        <v>5.7464788732394361</v>
      </c>
      <c r="O67" s="11"/>
      <c r="P67" s="6">
        <v>269.89</v>
      </c>
      <c r="Q67" s="2"/>
      <c r="R67" s="7">
        <f t="shared" si="53"/>
        <v>2.9590281660801018E-3</v>
      </c>
      <c r="S67" s="2"/>
      <c r="T67" s="6">
        <v>439.61</v>
      </c>
      <c r="U67" s="2"/>
      <c r="V67" s="7">
        <f t="shared" si="54"/>
        <v>5.9751612380154594E-3</v>
      </c>
      <c r="W67" s="2"/>
      <c r="X67" s="6">
        <f t="shared" si="55"/>
        <v>-169.72000000000003</v>
      </c>
      <c r="Y67" s="2"/>
      <c r="Z67" s="7">
        <f t="shared" si="56"/>
        <v>-0.38606947066718234</v>
      </c>
    </row>
    <row r="68" spans="1:26" s="24" customFormat="1" hidden="1" outlineLevel="2" x14ac:dyDescent="0.3">
      <c r="A68" s="27"/>
      <c r="B68" s="11" t="str">
        <f>CONCATENATE("          ", "6247", " - ", "STORE SUPPLIES")</f>
        <v xml:space="preserve">          6247 - STORE SUPPLIES</v>
      </c>
      <c r="C68" s="11"/>
      <c r="D68" s="6">
        <v>1015.17</v>
      </c>
      <c r="E68" s="2"/>
      <c r="F68" s="7">
        <f t="shared" si="49"/>
        <v>0.14955075992946509</v>
      </c>
      <c r="G68" s="2"/>
      <c r="H68" s="6">
        <v>1159.74</v>
      </c>
      <c r="I68" s="2"/>
      <c r="J68" s="7">
        <f t="shared" si="50"/>
        <v>0.72579009950560103</v>
      </c>
      <c r="K68" s="2"/>
      <c r="L68" s="6">
        <f t="shared" si="51"/>
        <v>-144.57000000000005</v>
      </c>
      <c r="M68" s="2"/>
      <c r="N68" s="7">
        <f t="shared" si="52"/>
        <v>-0.12465725076310212</v>
      </c>
      <c r="O68" s="11"/>
      <c r="P68" s="6">
        <v>8910.49</v>
      </c>
      <c r="Q68" s="2"/>
      <c r="R68" s="7">
        <f t="shared" si="53"/>
        <v>9.7693100461577254E-2</v>
      </c>
      <c r="S68" s="2"/>
      <c r="T68" s="6">
        <v>13843.93</v>
      </c>
      <c r="U68" s="2"/>
      <c r="V68" s="7">
        <f t="shared" si="54"/>
        <v>0.18816613343144914</v>
      </c>
      <c r="W68" s="2"/>
      <c r="X68" s="6">
        <f t="shared" si="55"/>
        <v>-4933.4400000000005</v>
      </c>
      <c r="Y68" s="2"/>
      <c r="Z68" s="7">
        <f t="shared" si="56"/>
        <v>-0.35636123557400251</v>
      </c>
    </row>
    <row r="69" spans="1:26" s="29" customFormat="1" outlineLevel="1" collapsed="1" x14ac:dyDescent="0.3">
      <c r="A69" s="28"/>
      <c r="B69" s="14" t="str">
        <f>CONCATENATE("     ","Telephone/Data Lines                              ")</f>
        <v xml:space="preserve">     Telephone/Data Lines                              </v>
      </c>
      <c r="C69" s="14"/>
      <c r="D69" s="1">
        <f>SUM(OSRRefD22_11x_0)</f>
        <v>46.15</v>
      </c>
      <c r="E69" s="1"/>
      <c r="F69" s="5">
        <f t="shared" ref="F69:F72" si="57">IF(D$12=0,0,D69/D$12)</f>
        <v>6.7986323184735702E-3</v>
      </c>
      <c r="G69" s="1"/>
      <c r="H69" s="1">
        <f>SUM(OSRRefH22_11x_0)</f>
        <v>214.55</v>
      </c>
      <c r="I69" s="1"/>
      <c r="J69" s="5">
        <f t="shared" ref="J69:J72" si="58">IF(H$12=0,0,H69/H$12)</f>
        <v>0.13426997934789411</v>
      </c>
      <c r="K69" s="1"/>
      <c r="L69" s="1">
        <f t="shared" ref="L69:L72" si="59">+D69-H69</f>
        <v>-168.4</v>
      </c>
      <c r="M69" s="1"/>
      <c r="N69" s="5">
        <f t="shared" ref="N69:N72" si="60">IF(H69=0,0,L69/H69)</f>
        <v>-0.78489862502913077</v>
      </c>
      <c r="O69" s="14"/>
      <c r="P69" s="1">
        <f>SUM(OSRRefP22_11x_0)</f>
        <v>579.04999999999995</v>
      </c>
      <c r="Q69" s="1"/>
      <c r="R69" s="5">
        <f t="shared" ref="R69:R72" si="61">IF(P$12=0,0,P69/P$12)</f>
        <v>6.3486059489743334E-3</v>
      </c>
      <c r="S69" s="1"/>
      <c r="T69" s="1">
        <f>SUM(OSRRefT22_11x_0)</f>
        <v>1073.7</v>
      </c>
      <c r="U69" s="1"/>
      <c r="V69" s="5">
        <f t="shared" ref="V69:V72" si="62">IF(T$12=0,0,T69/T$12)</f>
        <v>1.4593686725181864E-2</v>
      </c>
      <c r="W69" s="1"/>
      <c r="X69" s="1">
        <f t="shared" ref="X69:X72" si="63">+P69-T69</f>
        <v>-494.65000000000009</v>
      </c>
      <c r="Y69" s="1"/>
      <c r="Z69" s="5">
        <f t="shared" ref="Z69:Z72" si="64">IF(T69=0,0,X69/T69)</f>
        <v>-0.46069665642171936</v>
      </c>
    </row>
    <row r="70" spans="1:26" s="24" customFormat="1" hidden="1" outlineLevel="2" x14ac:dyDescent="0.3">
      <c r="A70" s="27"/>
      <c r="B70" s="11" t="str">
        <f>CONCATENATE("          ", "6309", " - ", "TELEPHONE")</f>
        <v xml:space="preserve">          6309 - TELEPHONE</v>
      </c>
      <c r="C70" s="11"/>
      <c r="D70" s="6">
        <v>46.15</v>
      </c>
      <c r="E70" s="2"/>
      <c r="F70" s="7">
        <f t="shared" si="57"/>
        <v>6.7986323184735702E-3</v>
      </c>
      <c r="G70" s="2"/>
      <c r="H70" s="6">
        <v>214.55</v>
      </c>
      <c r="I70" s="2"/>
      <c r="J70" s="7">
        <f t="shared" si="58"/>
        <v>0.13426997934789411</v>
      </c>
      <c r="K70" s="2"/>
      <c r="L70" s="6">
        <f t="shared" si="59"/>
        <v>-168.4</v>
      </c>
      <c r="M70" s="2"/>
      <c r="N70" s="7">
        <f t="shared" si="60"/>
        <v>-0.78489862502913077</v>
      </c>
      <c r="O70" s="11"/>
      <c r="P70" s="6">
        <v>579.04999999999995</v>
      </c>
      <c r="Q70" s="2"/>
      <c r="R70" s="7">
        <f t="shared" si="61"/>
        <v>6.3486059489743334E-3</v>
      </c>
      <c r="S70" s="2"/>
      <c r="T70" s="6">
        <v>1073.7</v>
      </c>
      <c r="U70" s="2"/>
      <c r="V70" s="7">
        <f t="shared" si="62"/>
        <v>1.4593686725181864E-2</v>
      </c>
      <c r="W70" s="2"/>
      <c r="X70" s="6">
        <f t="shared" si="63"/>
        <v>-494.65000000000009</v>
      </c>
      <c r="Y70" s="2"/>
      <c r="Z70" s="7">
        <f t="shared" si="64"/>
        <v>-0.46069665642171936</v>
      </c>
    </row>
    <row r="71" spans="1:26" s="29" customFormat="1" outlineLevel="1" collapsed="1" x14ac:dyDescent="0.3">
      <c r="A71" s="28"/>
      <c r="B71" s="14" t="str">
        <f>CONCATENATE("     ","Utilities                                         ")</f>
        <v xml:space="preserve">     Utilities                                         </v>
      </c>
      <c r="C71" s="14"/>
      <c r="D71" s="1">
        <f>SUM(OSRRefD22_12x_0)</f>
        <v>0</v>
      </c>
      <c r="E71" s="1"/>
      <c r="F71" s="5">
        <f t="shared" si="57"/>
        <v>0</v>
      </c>
      <c r="G71" s="1"/>
      <c r="H71" s="1">
        <f>SUM(OSRRefH22_12x_0)</f>
        <v>0</v>
      </c>
      <c r="I71" s="1"/>
      <c r="J71" s="5">
        <f t="shared" si="58"/>
        <v>0</v>
      </c>
      <c r="K71" s="1"/>
      <c r="L71" s="1">
        <f t="shared" si="59"/>
        <v>0</v>
      </c>
      <c r="M71" s="1"/>
      <c r="N71" s="5">
        <f t="shared" si="60"/>
        <v>0</v>
      </c>
      <c r="O71" s="14"/>
      <c r="P71" s="1">
        <f>SUM(OSRRefP22_12x_0)</f>
        <v>0</v>
      </c>
      <c r="Q71" s="1"/>
      <c r="R71" s="5">
        <f t="shared" si="61"/>
        <v>0</v>
      </c>
      <c r="S71" s="1"/>
      <c r="T71" s="1">
        <f>SUM(OSRRefT22_12x_0)</f>
        <v>15.02</v>
      </c>
      <c r="U71" s="1"/>
      <c r="V71" s="5">
        <f t="shared" si="62"/>
        <v>2.0415122903253384E-4</v>
      </c>
      <c r="W71" s="1"/>
      <c r="X71" s="1">
        <f t="shared" si="63"/>
        <v>-15.02</v>
      </c>
      <c r="Y71" s="1"/>
      <c r="Z71" s="5">
        <f t="shared" si="64"/>
        <v>-1</v>
      </c>
    </row>
    <row r="72" spans="1:26" s="24" customFormat="1" hidden="1" outlineLevel="2" x14ac:dyDescent="0.3">
      <c r="A72" s="27"/>
      <c r="B72" s="11" t="str">
        <f>CONCATENATE("          ", "6274", " - ", "UTILITIES")</f>
        <v xml:space="preserve">          6274 - UTILITIES</v>
      </c>
      <c r="C72" s="11"/>
      <c r="D72" s="6"/>
      <c r="E72" s="2"/>
      <c r="F72" s="7">
        <f t="shared" si="57"/>
        <v>0</v>
      </c>
      <c r="G72" s="2"/>
      <c r="H72" s="6"/>
      <c r="I72" s="2"/>
      <c r="J72" s="7">
        <f t="shared" si="58"/>
        <v>0</v>
      </c>
      <c r="K72" s="2"/>
      <c r="L72" s="6">
        <f t="shared" si="59"/>
        <v>0</v>
      </c>
      <c r="M72" s="2"/>
      <c r="N72" s="7">
        <f t="shared" si="60"/>
        <v>0</v>
      </c>
      <c r="O72" s="11"/>
      <c r="P72" s="6"/>
      <c r="Q72" s="2"/>
      <c r="R72" s="7">
        <f t="shared" si="61"/>
        <v>0</v>
      </c>
      <c r="S72" s="2"/>
      <c r="T72" s="6">
        <v>15.02</v>
      </c>
      <c r="U72" s="2"/>
      <c r="V72" s="7">
        <f t="shared" si="62"/>
        <v>2.0415122903253384E-4</v>
      </c>
      <c r="W72" s="2"/>
      <c r="X72" s="6">
        <f t="shared" si="63"/>
        <v>-15.02</v>
      </c>
      <c r="Y72" s="2"/>
      <c r="Z72" s="7">
        <f t="shared" si="64"/>
        <v>-1</v>
      </c>
    </row>
    <row r="73" spans="1:26" s="62" customFormat="1" x14ac:dyDescent="0.3">
      <c r="A73" s="37"/>
      <c r="B73" s="37"/>
      <c r="C73" s="37"/>
      <c r="D73" s="1"/>
      <c r="E73" s="1"/>
      <c r="F73" s="5"/>
      <c r="G73" s="1"/>
      <c r="H73" s="1"/>
      <c r="I73" s="1"/>
      <c r="J73" s="5"/>
      <c r="K73" s="1"/>
      <c r="L73" s="1"/>
      <c r="M73" s="1"/>
      <c r="N73" s="5"/>
      <c r="O73" s="37"/>
      <c r="P73" s="1"/>
      <c r="Q73" s="1"/>
      <c r="R73" s="5"/>
      <c r="S73" s="1"/>
      <c r="T73" s="1"/>
      <c r="U73" s="1"/>
      <c r="V73" s="5"/>
      <c r="W73" s="1"/>
      <c r="X73" s="1"/>
      <c r="Y73" s="1"/>
      <c r="Z73" s="5"/>
    </row>
    <row r="74" spans="1:26" s="23" customFormat="1" collapsed="1" x14ac:dyDescent="0.3">
      <c r="A74" s="10"/>
      <c r="B74" s="26" t="s">
        <v>292</v>
      </c>
      <c r="C74" s="10"/>
      <c r="D74" s="4">
        <f>SUM(OSRRefD25x_0)</f>
        <v>0</v>
      </c>
      <c r="E74" s="4"/>
      <c r="F74" s="12">
        <f t="shared" ref="F74:F75" si="65">IF(D$12=0,0,D74/D$12)</f>
        <v>0</v>
      </c>
      <c r="G74" s="4"/>
      <c r="H74" s="4">
        <f>SUM(OSRRefH25x_0)</f>
        <v>6782</v>
      </c>
      <c r="I74" s="4"/>
      <c r="J74" s="12">
        <f t="shared" ref="J74:J75" si="66">IF(H$12=0,0,H74/H$12)</f>
        <v>4.2443206708805308</v>
      </c>
      <c r="K74" s="4"/>
      <c r="L74" s="4">
        <f t="shared" ref="L74:L75" si="67">+D74-H74</f>
        <v>-6782</v>
      </c>
      <c r="M74" s="4"/>
      <c r="N74" s="12">
        <f t="shared" ref="N74:N75" si="68">IF(H74=0,0,L74/H74)</f>
        <v>-1</v>
      </c>
      <c r="O74" s="10"/>
      <c r="P74" s="4">
        <f>SUM(OSRRefP25x_0)</f>
        <v>14899</v>
      </c>
      <c r="Q74" s="4"/>
      <c r="R74" s="12">
        <f t="shared" ref="R74:R75" si="69">IF(P$12=0,0,P74/P$12)</f>
        <v>0.16335010799372868</v>
      </c>
      <c r="S74" s="4"/>
      <c r="T74" s="4">
        <f>SUM(OSRRefT25x_0)</f>
        <v>33910</v>
      </c>
      <c r="U74" s="4"/>
      <c r="V74" s="12">
        <f t="shared" ref="V74:V75" si="70">IF(T$12=0,0,T74/T$12)</f>
        <v>0.46090334064535438</v>
      </c>
      <c r="W74" s="4"/>
      <c r="X74" s="4">
        <f t="shared" ref="X74:X75" si="71">+P74-T74</f>
        <v>-19011</v>
      </c>
      <c r="Y74" s="4"/>
      <c r="Z74" s="12">
        <f t="shared" ref="Z74:Z75" si="72">IF(T74=0,0,X74/T74)</f>
        <v>-0.56063108227661462</v>
      </c>
    </row>
    <row r="75" spans="1:26" s="24" customFormat="1" hidden="1" outlineLevel="1" x14ac:dyDescent="0.3">
      <c r="A75" s="44"/>
      <c r="B75" s="11" t="str">
        <f>CONCATENATE("          ", "9150", " - ", "MISC. INCOME")</f>
        <v xml:space="preserve">          9150 - MISC. INCOME</v>
      </c>
      <c r="C75" s="11"/>
      <c r="D75" s="2">
        <f>0</f>
        <v>0</v>
      </c>
      <c r="E75" s="2"/>
      <c r="F75" s="19">
        <f t="shared" si="65"/>
        <v>0</v>
      </c>
      <c r="G75" s="2"/>
      <c r="H75" s="2">
        <f>--6782</f>
        <v>6782</v>
      </c>
      <c r="I75" s="2"/>
      <c r="J75" s="19">
        <f t="shared" si="66"/>
        <v>4.2443206708805308</v>
      </c>
      <c r="K75" s="2"/>
      <c r="L75" s="2">
        <f t="shared" si="67"/>
        <v>-6782</v>
      </c>
      <c r="M75" s="2"/>
      <c r="N75" s="19">
        <f t="shared" si="68"/>
        <v>-1</v>
      </c>
      <c r="O75" s="11"/>
      <c r="P75" s="2">
        <f>--14899</f>
        <v>14899</v>
      </c>
      <c r="Q75" s="2"/>
      <c r="R75" s="19">
        <f t="shared" si="69"/>
        <v>0.16335010799372868</v>
      </c>
      <c r="S75" s="2"/>
      <c r="T75" s="2">
        <f>--33910</f>
        <v>33910</v>
      </c>
      <c r="U75" s="2"/>
      <c r="V75" s="19">
        <f t="shared" si="70"/>
        <v>0.46090334064535438</v>
      </c>
      <c r="W75" s="2"/>
      <c r="X75" s="2">
        <f t="shared" si="71"/>
        <v>-19011</v>
      </c>
      <c r="Y75" s="2"/>
      <c r="Z75" s="19">
        <f t="shared" si="72"/>
        <v>-0.56063108227661462</v>
      </c>
    </row>
    <row r="76" spans="1:26" x14ac:dyDescent="0.3">
      <c r="A76" s="9"/>
      <c r="B76" s="10"/>
      <c r="C76" s="10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O76" s="10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s="23" customFormat="1" x14ac:dyDescent="0.3">
      <c r="A77" s="10"/>
      <c r="B77" s="25" t="s">
        <v>276</v>
      </c>
      <c r="C77" s="25"/>
      <c r="D77" s="21">
        <f>+D28-D30+D74</f>
        <v>-5228.7300000000023</v>
      </c>
      <c r="E77" s="13"/>
      <c r="F77" s="22">
        <f>IF(D$12=0,0,D77/D$12)</f>
        <v>-0.7702754661445792</v>
      </c>
      <c r="G77" s="13"/>
      <c r="H77" s="21">
        <f>+H28-H30+H74</f>
        <v>-30800.15</v>
      </c>
      <c r="I77" s="13"/>
      <c r="J77" s="22">
        <f>IF(H$12=0,0,H77/H$12)</f>
        <v>-19.275392702922584</v>
      </c>
      <c r="K77" s="16"/>
      <c r="L77" s="21">
        <f>+D77-H77</f>
        <v>25571.42</v>
      </c>
      <c r="M77" s="16"/>
      <c r="N77" s="22">
        <f>IF(H77=0,0,L77/H77)</f>
        <v>-0.83023686572954991</v>
      </c>
      <c r="O77" s="26"/>
      <c r="P77" s="21">
        <f>+P28-P30+P74</f>
        <v>-19273.329999999973</v>
      </c>
      <c r="Q77" s="13"/>
      <c r="R77" s="22">
        <f>IF(P$12=0,0,P77/P$12)</f>
        <v>-0.21130951989386981</v>
      </c>
      <c r="S77" s="13"/>
      <c r="T77" s="21">
        <f>+T28-T30+T74</f>
        <v>-52702.829999999929</v>
      </c>
      <c r="U77" s="13"/>
      <c r="V77" s="22">
        <f>IF(T$12=0,0,T77/T$12)</f>
        <v>-0.71633472157075107</v>
      </c>
      <c r="W77" s="16"/>
      <c r="X77" s="21">
        <f>+P77-T77</f>
        <v>33429.499999999956</v>
      </c>
      <c r="Y77" s="16"/>
      <c r="Z77" s="22">
        <f>IF(T77=0,0,X77/T77)</f>
        <v>-0.63430180125052116</v>
      </c>
    </row>
    <row r="78" spans="1:26" x14ac:dyDescent="0.3">
      <c r="A78" s="9"/>
      <c r="B78" s="10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51"/>
      <c r="B79" s="10" t="s">
        <v>127</v>
      </c>
      <c r="C79" s="10"/>
      <c r="D79" s="4">
        <v>1105.7</v>
      </c>
      <c r="E79" s="4"/>
      <c r="F79" s="12">
        <f>IF(D$12=0,0,D79/D$12)</f>
        <v>0.16288727528789226</v>
      </c>
      <c r="G79" s="4"/>
      <c r="H79" s="4">
        <v>-3900.6</v>
      </c>
      <c r="I79" s="4"/>
      <c r="J79" s="12">
        <f>IF(H$12=0,0,H79/H$12)</f>
        <v>-2.4410789160773514</v>
      </c>
      <c r="K79" s="4"/>
      <c r="L79" s="4">
        <f>+D79-H79</f>
        <v>5006.3</v>
      </c>
      <c r="M79" s="4"/>
      <c r="N79" s="12">
        <f>IF(H79=0,0,L79/H79)</f>
        <v>-1.283469209865149</v>
      </c>
      <c r="O79" s="10"/>
      <c r="P79" s="4">
        <v>10864.06</v>
      </c>
      <c r="Q79" s="4"/>
      <c r="R79" s="12">
        <f>IF(P$12=0,0,P79/P$12)</f>
        <v>0.1191117104671688</v>
      </c>
      <c r="S79" s="4"/>
      <c r="T79" s="4">
        <v>11690.74</v>
      </c>
      <c r="U79" s="4"/>
      <c r="V79" s="12">
        <f>IF(T$12=0,0,T79/T$12)</f>
        <v>0.15890006253660482</v>
      </c>
      <c r="W79" s="4"/>
      <c r="X79" s="4">
        <f>+P79-T79</f>
        <v>-826.68000000000029</v>
      </c>
      <c r="Y79" s="4"/>
      <c r="Z79" s="12">
        <f>IF(T79=0,0,X79/T79)</f>
        <v>-7.0712375777752329E-2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ht="15" thickBot="1" x14ac:dyDescent="0.35">
      <c r="A81" s="10"/>
      <c r="B81" s="25" t="s">
        <v>125</v>
      </c>
      <c r="C81" s="25"/>
      <c r="D81" s="35">
        <f>+D77-D79</f>
        <v>-6334.4300000000021</v>
      </c>
      <c r="E81" s="13"/>
      <c r="F81" s="31">
        <f>IF(D$12=0,0,D81/D$12)</f>
        <v>-0.93316274143247135</v>
      </c>
      <c r="G81" s="13"/>
      <c r="H81" s="35">
        <f>+H77-H79</f>
        <v>-26899.550000000003</v>
      </c>
      <c r="I81" s="13"/>
      <c r="J81" s="31">
        <f>IF(H$12=0,0,H81/H$12)</f>
        <v>-16.834313786845236</v>
      </c>
      <c r="K81" s="16"/>
      <c r="L81" s="35">
        <f>D81-H81</f>
        <v>20565.120000000003</v>
      </c>
      <c r="M81" s="16"/>
      <c r="N81" s="31">
        <f>IF(H81=0,0,L81/H81)</f>
        <v>-0.76451539152141956</v>
      </c>
      <c r="O81" s="26"/>
      <c r="P81" s="35">
        <f>+P77-P79</f>
        <v>-30137.38999999997</v>
      </c>
      <c r="Q81" s="13"/>
      <c r="R81" s="31">
        <f>IF(P$12=0,0,P81/P$12)</f>
        <v>-0.3304212303610386</v>
      </c>
      <c r="S81" s="13"/>
      <c r="T81" s="35">
        <f>+T77-T79</f>
        <v>-64393.569999999927</v>
      </c>
      <c r="U81" s="13"/>
      <c r="V81" s="31">
        <f>IF(T$12=0,0,T81/T$12)</f>
        <v>-0.87523478410735589</v>
      </c>
      <c r="W81" s="16"/>
      <c r="X81" s="35">
        <f>P81-T81</f>
        <v>34256.179999999957</v>
      </c>
      <c r="Y81" s="16"/>
      <c r="Z81" s="31">
        <f>IF(T81=0,0,X81/T81)</f>
        <v>-0.53198137640140153</v>
      </c>
    </row>
    <row r="82" spans="1:26" ht="15" thickTop="1" x14ac:dyDescent="0.3">
      <c r="A82" s="9"/>
      <c r="B82" s="9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x14ac:dyDescent="0.3">
      <c r="A83" s="9"/>
      <c r="B83" s="9"/>
      <c r="C83" s="9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5" t="s">
        <v>293</v>
      </c>
      <c r="C84" s="25"/>
      <c r="D84" s="36">
        <f>SUM(D81:D83)</f>
        <v>-6334.4300000000021</v>
      </c>
      <c r="E84" s="13"/>
      <c r="F84" s="33">
        <f>IF(D$12=0,0,D84/D$12)</f>
        <v>-0.93316274143247135</v>
      </c>
      <c r="G84" s="13"/>
      <c r="H84" s="36">
        <f>SUM(H81:H83)</f>
        <v>-26899.550000000003</v>
      </c>
      <c r="I84" s="13"/>
      <c r="J84" s="33">
        <f>IF(H$12=0,0,H84/H$12)</f>
        <v>-16.834313786845236</v>
      </c>
      <c r="K84" s="16"/>
      <c r="L84" s="36">
        <f>+D84-H84</f>
        <v>20565.120000000003</v>
      </c>
      <c r="M84" s="16"/>
      <c r="N84" s="33">
        <f>IF(H84=0,0,L84/H84)</f>
        <v>-0.76451539152141956</v>
      </c>
      <c r="O84" s="26"/>
      <c r="P84" s="36">
        <f>SUM(P81:P83)</f>
        <v>-30137.38999999997</v>
      </c>
      <c r="Q84" s="13"/>
      <c r="R84" s="33">
        <f>IF(P$12=0,0,P84/P$12)</f>
        <v>-0.3304212303610386</v>
      </c>
      <c r="S84" s="13"/>
      <c r="T84" s="36">
        <f>SUM(T81:T83)</f>
        <v>-64393.569999999927</v>
      </c>
      <c r="U84" s="13"/>
      <c r="V84" s="33">
        <f>IF(T$12=0,0,T84/T$12)</f>
        <v>-0.87523478410735589</v>
      </c>
      <c r="W84" s="16"/>
      <c r="X84" s="36">
        <f>+P84-T84</f>
        <v>34256.179999999957</v>
      </c>
      <c r="Y84" s="16"/>
      <c r="Z84" s="33">
        <f>IF(T84=0,0,X84/T84)</f>
        <v>-0.53198137640140153</v>
      </c>
    </row>
    <row r="85" spans="1:26" ht="15" thickTop="1" x14ac:dyDescent="0.3">
      <c r="A85" s="9"/>
      <c r="C85" s="9"/>
      <c r="D85" s="17"/>
      <c r="E85" s="17"/>
      <c r="G85" s="17"/>
      <c r="H85" s="17"/>
      <c r="I85" s="17"/>
      <c r="J85" s="42"/>
      <c r="K85" s="17"/>
      <c r="L85" s="17"/>
      <c r="M85" s="17"/>
      <c r="P85" s="17"/>
      <c r="Q85" s="17"/>
      <c r="R85" s="42"/>
      <c r="S85" s="17"/>
      <c r="T85" s="17"/>
      <c r="U85" s="17"/>
      <c r="V85" s="42"/>
      <c r="W85" s="17"/>
      <c r="X85" s="17"/>
    </row>
    <row r="86" spans="1:26" x14ac:dyDescent="0.3">
      <c r="A86" s="9"/>
      <c r="B86" s="52">
        <v>44543.765594675926</v>
      </c>
      <c r="D86" s="17"/>
      <c r="E86" s="17"/>
      <c r="G86" s="17"/>
      <c r="H86" s="17"/>
      <c r="I86" s="17"/>
      <c r="J86" s="42"/>
      <c r="K86" s="17"/>
      <c r="L86" s="17"/>
      <c r="M86" s="17"/>
      <c r="P86" s="17"/>
      <c r="Q86" s="17"/>
      <c r="R86" s="42"/>
      <c r="S86" s="17"/>
      <c r="T86" s="17"/>
      <c r="U86" s="17"/>
      <c r="V86" s="42"/>
      <c r="W86" s="17"/>
      <c r="X86" s="17"/>
    </row>
    <row r="87" spans="1:26" x14ac:dyDescent="0.3">
      <c r="A87" s="9"/>
      <c r="B87" s="59" t="s">
        <v>56</v>
      </c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61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</sheetData>
  <pageMargins left="0.25" right="0.25" top="0.75" bottom="0.75" header="0.3" footer="0.3"/>
  <pageSetup scale="55" fitToWidth="2" orientation="landscape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C00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92527.76</v>
      </c>
      <c r="E12" s="4"/>
      <c r="F12" s="12"/>
      <c r="G12" s="4"/>
      <c r="H12" s="4">
        <f>SUM(OSRRefH13x_0)</f>
        <v>59781.37</v>
      </c>
      <c r="I12" s="4"/>
      <c r="J12" s="12"/>
      <c r="K12" s="4"/>
      <c r="L12" s="4">
        <f t="shared" ref="L12:L33" si="0">+D12-H12</f>
        <v>32746.389999999992</v>
      </c>
      <c r="M12" s="4"/>
      <c r="N12" s="12">
        <f t="shared" ref="N12:N33" si="1">IF(H12=0,0,L12/H12)</f>
        <v>0.54776914614034422</v>
      </c>
      <c r="O12" s="10"/>
      <c r="P12" s="4">
        <f>SUM(OSRRefP13x_0)</f>
        <v>833107.47</v>
      </c>
      <c r="Q12" s="4"/>
      <c r="R12" s="12"/>
      <c r="S12" s="4"/>
      <c r="T12" s="4">
        <f>SUM(OSRRefT13x_0)</f>
        <v>1195902.9000000004</v>
      </c>
      <c r="U12" s="4"/>
      <c r="V12" s="12"/>
      <c r="W12" s="4"/>
      <c r="X12" s="4">
        <f t="shared" ref="X12:X33" si="2">+P12-T12</f>
        <v>-362795.4300000004</v>
      </c>
      <c r="Y12" s="4"/>
      <c r="Z12" s="12">
        <f t="shared" ref="Z12:Z33" si="3">IF(T12=0,0,X12/T12)</f>
        <v>-0.30336528994118189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--101601.44</f>
        <v>101601.44</v>
      </c>
      <c r="E13" s="2"/>
      <c r="F13" s="19"/>
      <c r="G13" s="2"/>
      <c r="H13" s="2">
        <f>-142.02</f>
        <v>-142.02000000000001</v>
      </c>
      <c r="I13" s="2"/>
      <c r="J13" s="19"/>
      <c r="K13" s="2"/>
      <c r="L13" s="2">
        <f t="shared" si="0"/>
        <v>101743.46</v>
      </c>
      <c r="M13" s="2"/>
      <c r="N13" s="19">
        <f t="shared" si="1"/>
        <v>-716.40233769891563</v>
      </c>
      <c r="O13" s="11"/>
      <c r="P13" s="2">
        <f>--684111.95</f>
        <v>684111.95</v>
      </c>
      <c r="Q13" s="2"/>
      <c r="R13" s="19"/>
      <c r="S13" s="2"/>
      <c r="T13" s="2">
        <f>-2044.11</f>
        <v>-2044.11</v>
      </c>
      <c r="U13" s="2"/>
      <c r="V13" s="19"/>
      <c r="W13" s="2"/>
      <c r="X13" s="2">
        <f t="shared" si="2"/>
        <v>686156.05999999994</v>
      </c>
      <c r="Y13" s="2"/>
      <c r="Z13" s="19">
        <f t="shared" si="3"/>
        <v>-335.6747239629961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--973.93</f>
        <v>973.93</v>
      </c>
      <c r="I14" s="2"/>
      <c r="J14" s="19"/>
      <c r="K14" s="2"/>
      <c r="L14" s="2">
        <f t="shared" si="0"/>
        <v>-973.93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--56019.27</f>
        <v>56019.27</v>
      </c>
      <c r="U14" s="2"/>
      <c r="V14" s="19"/>
      <c r="W14" s="2"/>
      <c r="X14" s="2">
        <f t="shared" si="2"/>
        <v>-56019.27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--57494.9</f>
        <v>57494.9</v>
      </c>
      <c r="I15" s="2"/>
      <c r="J15" s="19"/>
      <c r="K15" s="2"/>
      <c r="L15" s="2">
        <f t="shared" si="0"/>
        <v>-57494.9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--949594.89</f>
        <v>949594.89</v>
      </c>
      <c r="U15" s="2"/>
      <c r="V15" s="19"/>
      <c r="W15" s="2"/>
      <c r="X15" s="2">
        <f t="shared" si="2"/>
        <v>-949594.89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--4805.85</f>
        <v>4805.8500000000004</v>
      </c>
      <c r="I16" s="2"/>
      <c r="J16" s="19"/>
      <c r="K16" s="2"/>
      <c r="L16" s="2">
        <f t="shared" si="0"/>
        <v>-4805.8500000000004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--76850.95</f>
        <v>76850.95</v>
      </c>
      <c r="U16" s="2"/>
      <c r="V16" s="19"/>
      <c r="W16" s="2"/>
      <c r="X16" s="2">
        <f t="shared" si="2"/>
        <v>-76850.95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--378.99</f>
        <v>378.99</v>
      </c>
      <c r="I17" s="2"/>
      <c r="J17" s="19"/>
      <c r="K17" s="2"/>
      <c r="L17" s="2">
        <f t="shared" si="0"/>
        <v>-378.99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--1499.95</f>
        <v>1499.95</v>
      </c>
      <c r="U17" s="2"/>
      <c r="V17" s="19"/>
      <c r="W17" s="2"/>
      <c r="X17" s="2">
        <f t="shared" si="2"/>
        <v>-1499.95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--260.94</f>
        <v>260.94</v>
      </c>
      <c r="I18" s="2"/>
      <c r="J18" s="19"/>
      <c r="K18" s="2"/>
      <c r="L18" s="2">
        <f t="shared" si="0"/>
        <v>-260.94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--29627.6</f>
        <v>29627.599999999999</v>
      </c>
      <c r="U18" s="2"/>
      <c r="V18" s="19"/>
      <c r="W18" s="2"/>
      <c r="X18" s="2">
        <f t="shared" si="2"/>
        <v>-29627.599999999999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--34580</f>
        <v>34580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34580</v>
      </c>
      <c r="M19" s="2"/>
      <c r="N19" s="19">
        <f t="shared" si="1"/>
        <v>0</v>
      </c>
      <c r="O19" s="11"/>
      <c r="P19" s="2">
        <f>--301761.89</f>
        <v>301761.89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301761.89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--29.99</f>
        <v>29.99</v>
      </c>
      <c r="I20" s="2"/>
      <c r="J20" s="19"/>
      <c r="K20" s="2"/>
      <c r="L20" s="2">
        <f t="shared" si="0"/>
        <v>-29.99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--3534.12</f>
        <v>3534.12</v>
      </c>
      <c r="U20" s="2"/>
      <c r="V20" s="19"/>
      <c r="W20" s="2"/>
      <c r="X20" s="2">
        <f t="shared" si="2"/>
        <v>-3534.12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--9499.97</f>
        <v>9499.9699999999993</v>
      </c>
      <c r="I21" s="2"/>
      <c r="J21" s="19"/>
      <c r="K21" s="2"/>
      <c r="L21" s="2">
        <f t="shared" si="0"/>
        <v>-9499.9699999999993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--154794.35</f>
        <v>154794.35</v>
      </c>
      <c r="U21" s="2"/>
      <c r="V21" s="19"/>
      <c r="W21" s="2"/>
      <c r="X21" s="2">
        <f t="shared" si="2"/>
        <v>-154794.35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--1033.89</f>
        <v>1033.8900000000001</v>
      </c>
      <c r="I22" s="2"/>
      <c r="J22" s="19"/>
      <c r="K22" s="2"/>
      <c r="L22" s="2">
        <f t="shared" si="0"/>
        <v>-1033.8900000000001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--7370.28</f>
        <v>7370.28</v>
      </c>
      <c r="U22" s="2"/>
      <c r="V22" s="19"/>
      <c r="W22" s="2"/>
      <c r="X22" s="2">
        <f t="shared" si="2"/>
        <v>-7370.28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--1989.89</f>
        <v>1989.89</v>
      </c>
      <c r="I23" s="2"/>
      <c r="J23" s="19"/>
      <c r="K23" s="2"/>
      <c r="L23" s="2">
        <f t="shared" si="0"/>
        <v>-1989.89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--25806.74</f>
        <v>25806.74</v>
      </c>
      <c r="U23" s="2"/>
      <c r="V23" s="19"/>
      <c r="W23" s="2"/>
      <c r="X23" s="2">
        <f t="shared" si="2"/>
        <v>-25806.74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--44</f>
        <v>44</v>
      </c>
      <c r="I24" s="2"/>
      <c r="J24" s="19"/>
      <c r="K24" s="2"/>
      <c r="L24" s="2">
        <f t="shared" si="0"/>
        <v>-44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--1773.77</f>
        <v>1773.77</v>
      </c>
      <c r="U24" s="2"/>
      <c r="V24" s="19"/>
      <c r="W24" s="2"/>
      <c r="X24" s="2">
        <f t="shared" si="2"/>
        <v>-1773.77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-43602.29</f>
        <v>-43602.29</v>
      </c>
      <c r="E25" s="2"/>
      <c r="F25" s="19"/>
      <c r="G25" s="2"/>
      <c r="H25" s="2">
        <f t="shared" ref="H25:H26" si="8">0</f>
        <v>0</v>
      </c>
      <c r="I25" s="2"/>
      <c r="J25" s="19"/>
      <c r="K25" s="2"/>
      <c r="L25" s="2">
        <f t="shared" si="0"/>
        <v>-43602.29</v>
      </c>
      <c r="M25" s="2"/>
      <c r="N25" s="19">
        <f t="shared" si="1"/>
        <v>0</v>
      </c>
      <c r="O25" s="11"/>
      <c r="P25" s="2">
        <f>-151969.64</f>
        <v>-151969.64000000001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-151969.64000000001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9">0</f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0" si="10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9"/>
        <v>0</v>
      </c>
      <c r="E27" s="2"/>
      <c r="F27" s="19"/>
      <c r="G27" s="2"/>
      <c r="H27" s="2">
        <f>-15761.01</f>
        <v>-15761.01</v>
      </c>
      <c r="I27" s="2"/>
      <c r="J27" s="19"/>
      <c r="K27" s="2"/>
      <c r="L27" s="2">
        <f t="shared" si="0"/>
        <v>15761.01</v>
      </c>
      <c r="M27" s="2"/>
      <c r="N27" s="19">
        <f t="shared" si="1"/>
        <v>-1</v>
      </c>
      <c r="O27" s="11"/>
      <c r="P27" s="2">
        <f t="shared" si="10"/>
        <v>0</v>
      </c>
      <c r="Q27" s="2"/>
      <c r="R27" s="19"/>
      <c r="S27" s="2"/>
      <c r="T27" s="2">
        <f>-84084.01</f>
        <v>-84084.01</v>
      </c>
      <c r="U27" s="2"/>
      <c r="V27" s="19"/>
      <c r="W27" s="2"/>
      <c r="X27" s="2">
        <f t="shared" si="2"/>
        <v>84084.01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9"/>
        <v>0</v>
      </c>
      <c r="E28" s="2"/>
      <c r="F28" s="19"/>
      <c r="G28" s="2"/>
      <c r="H28" s="2">
        <f>-678.96</f>
        <v>-678.96</v>
      </c>
      <c r="I28" s="2"/>
      <c r="J28" s="19"/>
      <c r="K28" s="2"/>
      <c r="L28" s="2">
        <f t="shared" si="0"/>
        <v>678.96</v>
      </c>
      <c r="M28" s="2"/>
      <c r="N28" s="19">
        <f t="shared" si="1"/>
        <v>-1</v>
      </c>
      <c r="O28" s="11"/>
      <c r="P28" s="2">
        <f t="shared" si="10"/>
        <v>0</v>
      </c>
      <c r="Q28" s="2"/>
      <c r="R28" s="19"/>
      <c r="S28" s="2"/>
      <c r="T28" s="2">
        <f>-3311.27</f>
        <v>-3311.27</v>
      </c>
      <c r="U28" s="2"/>
      <c r="V28" s="19"/>
      <c r="W28" s="2"/>
      <c r="X28" s="2">
        <f t="shared" si="2"/>
        <v>3311.27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9"/>
        <v>0</v>
      </c>
      <c r="E29" s="2"/>
      <c r="F29" s="19"/>
      <c r="G29" s="2"/>
      <c r="H29" s="2">
        <f>-139</f>
        <v>-139</v>
      </c>
      <c r="I29" s="2"/>
      <c r="J29" s="19"/>
      <c r="K29" s="2"/>
      <c r="L29" s="2">
        <f t="shared" si="0"/>
        <v>139</v>
      </c>
      <c r="M29" s="2"/>
      <c r="N29" s="19">
        <f t="shared" si="1"/>
        <v>-1</v>
      </c>
      <c r="O29" s="11"/>
      <c r="P29" s="2">
        <f t="shared" si="10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9"/>
        <v>0</v>
      </c>
      <c r="E30" s="2"/>
      <c r="F30" s="19"/>
      <c r="G30" s="2"/>
      <c r="H30" s="2">
        <f>-9.99</f>
        <v>-9.99</v>
      </c>
      <c r="I30" s="2"/>
      <c r="J30" s="19"/>
      <c r="K30" s="2"/>
      <c r="L30" s="2">
        <f t="shared" si="0"/>
        <v>9.99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-581.35</f>
        <v>-581.35</v>
      </c>
      <c r="U30" s="2"/>
      <c r="V30" s="19"/>
      <c r="W30" s="2"/>
      <c r="X30" s="2">
        <f t="shared" si="2"/>
        <v>581.35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>-14.99</f>
        <v>-14.99</v>
      </c>
      <c r="E31" s="2"/>
      <c r="F31" s="19"/>
      <c r="G31" s="2"/>
      <c r="H31" s="2">
        <f t="shared" ref="H31:H33" si="11">0</f>
        <v>0</v>
      </c>
      <c r="I31" s="2"/>
      <c r="J31" s="19"/>
      <c r="K31" s="2"/>
      <c r="L31" s="2">
        <f t="shared" si="0"/>
        <v>-14.99</v>
      </c>
      <c r="M31" s="2"/>
      <c r="N31" s="19">
        <f t="shared" si="1"/>
        <v>0</v>
      </c>
      <c r="O31" s="11"/>
      <c r="P31" s="2">
        <f>-704.79</f>
        <v>-704.79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-704.79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 t="shared" si="11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-36.4</f>
        <v>-36.4</v>
      </c>
      <c r="E33" s="2"/>
      <c r="F33" s="19"/>
      <c r="G33" s="2"/>
      <c r="H33" s="2">
        <f t="shared" si="11"/>
        <v>0</v>
      </c>
      <c r="I33" s="2"/>
      <c r="J33" s="19"/>
      <c r="K33" s="2"/>
      <c r="L33" s="2">
        <f t="shared" si="0"/>
        <v>-36.4</v>
      </c>
      <c r="M33" s="2"/>
      <c r="N33" s="19">
        <f t="shared" si="1"/>
        <v>0</v>
      </c>
      <c r="O33" s="11"/>
      <c r="P33" s="2">
        <f>-91.94</f>
        <v>-91.94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-91.94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82925.39</v>
      </c>
      <c r="E35" s="4"/>
      <c r="F35" s="12">
        <f t="shared" ref="F35:F47" si="12">IF(D$12=0,0,D35/D$12)</f>
        <v>0.89622173929207849</v>
      </c>
      <c r="G35" s="4"/>
      <c r="H35" s="4">
        <f>SUM(OSRRefH16x_0)</f>
        <v>60363.839999999997</v>
      </c>
      <c r="I35" s="4"/>
      <c r="J35" s="12">
        <f t="shared" ref="J35:J47" si="13">IF(H$12=0,0,H35/H$12)</f>
        <v>1.0097433364273851</v>
      </c>
      <c r="K35" s="4"/>
      <c r="L35" s="4">
        <f t="shared" ref="L35:L47" si="14">+D35-H35</f>
        <v>22561.550000000003</v>
      </c>
      <c r="M35" s="4"/>
      <c r="N35" s="12">
        <f t="shared" ref="N35:N47" si="15">IF(H35=0,0,L35/H35)</f>
        <v>0.37375935659494169</v>
      </c>
      <c r="O35" s="10"/>
      <c r="P35" s="4">
        <f>SUM(OSRRefP16x_0)</f>
        <v>702659.7300000001</v>
      </c>
      <c r="Q35" s="4"/>
      <c r="R35" s="12">
        <f t="shared" ref="R35:R47" si="16">IF(P$12=0,0,P35/P$12)</f>
        <v>0.84342027325718272</v>
      </c>
      <c r="S35" s="4"/>
      <c r="T35" s="4">
        <f>SUM(OSRRefT16x_0)</f>
        <v>1141638.8399999999</v>
      </c>
      <c r="U35" s="4"/>
      <c r="V35" s="12">
        <f t="shared" ref="V35:V47" si="17">IF(T$12=0,0,T35/T$12)</f>
        <v>0.9546250285035679</v>
      </c>
      <c r="W35" s="4"/>
      <c r="X35" s="4">
        <f t="shared" ref="X35:X47" si="18">+P35-T35</f>
        <v>-438979.10999999975</v>
      </c>
      <c r="Y35" s="4"/>
      <c r="Z35" s="12">
        <f t="shared" ref="Z35:Z47" si="19">IF(T35=0,0,X35/T35)</f>
        <v>-0.38451662173652029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56710.32</v>
      </c>
      <c r="E36" s="2"/>
      <c r="F36" s="19">
        <f t="shared" si="12"/>
        <v>0.61290060409978586</v>
      </c>
      <c r="G36" s="2"/>
      <c r="H36" s="2"/>
      <c r="I36" s="2"/>
      <c r="J36" s="19">
        <f t="shared" si="13"/>
        <v>0</v>
      </c>
      <c r="K36" s="2"/>
      <c r="L36" s="2">
        <f t="shared" si="14"/>
        <v>56710.32</v>
      </c>
      <c r="M36" s="2"/>
      <c r="N36" s="19">
        <f t="shared" si="15"/>
        <v>0</v>
      </c>
      <c r="O36" s="11"/>
      <c r="P36" s="2">
        <v>743562.51</v>
      </c>
      <c r="Q36" s="2"/>
      <c r="R36" s="19">
        <f t="shared" si="16"/>
        <v>0.89251691621490326</v>
      </c>
      <c r="S36" s="2"/>
      <c r="T36" s="2">
        <v>0</v>
      </c>
      <c r="U36" s="2"/>
      <c r="V36" s="19">
        <f t="shared" si="17"/>
        <v>0</v>
      </c>
      <c r="W36" s="2"/>
      <c r="X36" s="2">
        <f t="shared" si="18"/>
        <v>743562.51</v>
      </c>
      <c r="Y36" s="2"/>
      <c r="Z36" s="19">
        <f t="shared" si="19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2"/>
        <v>0</v>
      </c>
      <c r="G37" s="2"/>
      <c r="H37" s="2">
        <v>2367.86</v>
      </c>
      <c r="I37" s="2"/>
      <c r="J37" s="19">
        <f t="shared" si="13"/>
        <v>3.9608660691449527E-2</v>
      </c>
      <c r="K37" s="2"/>
      <c r="L37" s="2">
        <f t="shared" si="14"/>
        <v>-2367.86</v>
      </c>
      <c r="M37" s="2"/>
      <c r="N37" s="19">
        <f t="shared" si="15"/>
        <v>-1</v>
      </c>
      <c r="O37" s="11"/>
      <c r="P37" s="2">
        <v>0</v>
      </c>
      <c r="Q37" s="2"/>
      <c r="R37" s="19">
        <f t="shared" si="16"/>
        <v>0</v>
      </c>
      <c r="S37" s="2"/>
      <c r="T37" s="2">
        <v>24315.07</v>
      </c>
      <c r="U37" s="2"/>
      <c r="V37" s="19">
        <f t="shared" si="17"/>
        <v>2.0331976785071759E-2</v>
      </c>
      <c r="W37" s="2"/>
      <c r="X37" s="2">
        <f t="shared" si="18"/>
        <v>-24315.07</v>
      </c>
      <c r="Y37" s="2"/>
      <c r="Z37" s="19">
        <f t="shared" si="19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-3384.72</v>
      </c>
      <c r="E38" s="2"/>
      <c r="F38" s="19">
        <f t="shared" si="12"/>
        <v>-3.6580589436078427E-2</v>
      </c>
      <c r="G38" s="2"/>
      <c r="H38" s="2">
        <v>71242.03</v>
      </c>
      <c r="I38" s="2"/>
      <c r="J38" s="19">
        <f t="shared" si="13"/>
        <v>1.1917095576765804</v>
      </c>
      <c r="K38" s="2"/>
      <c r="L38" s="2">
        <f t="shared" si="14"/>
        <v>-74626.75</v>
      </c>
      <c r="M38" s="2"/>
      <c r="N38" s="19">
        <f t="shared" si="15"/>
        <v>-1.0475101565747074</v>
      </c>
      <c r="O38" s="11"/>
      <c r="P38" s="2">
        <v>-80709.45</v>
      </c>
      <c r="Q38" s="2"/>
      <c r="R38" s="19">
        <f t="shared" si="16"/>
        <v>-9.6877597316466266E-2</v>
      </c>
      <c r="S38" s="2"/>
      <c r="T38" s="2">
        <v>960020.11</v>
      </c>
      <c r="U38" s="2"/>
      <c r="V38" s="19">
        <f t="shared" si="17"/>
        <v>0.80275757337823972</v>
      </c>
      <c r="W38" s="2"/>
      <c r="X38" s="2">
        <f t="shared" si="18"/>
        <v>-1040729.5599999999</v>
      </c>
      <c r="Y38" s="2"/>
      <c r="Z38" s="19">
        <f t="shared" si="19"/>
        <v>-1.0840705826464405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2"/>
        <v>0</v>
      </c>
      <c r="G39" s="2"/>
      <c r="H39" s="2">
        <v>2620.17</v>
      </c>
      <c r="I39" s="2"/>
      <c r="J39" s="19">
        <f t="shared" si="13"/>
        <v>4.3829206322973192E-2</v>
      </c>
      <c r="K39" s="2"/>
      <c r="L39" s="2">
        <f t="shared" si="14"/>
        <v>-2620.17</v>
      </c>
      <c r="M39" s="2"/>
      <c r="N39" s="19">
        <f t="shared" si="15"/>
        <v>-1</v>
      </c>
      <c r="O39" s="11"/>
      <c r="P39" s="2">
        <v>0</v>
      </c>
      <c r="Q39" s="2"/>
      <c r="R39" s="19">
        <f t="shared" si="16"/>
        <v>0</v>
      </c>
      <c r="S39" s="2"/>
      <c r="T39" s="2">
        <v>75893.119999999995</v>
      </c>
      <c r="U39" s="2"/>
      <c r="V39" s="19">
        <f t="shared" si="17"/>
        <v>6.3460938174830062E-2</v>
      </c>
      <c r="W39" s="2"/>
      <c r="X39" s="2">
        <f t="shared" si="18"/>
        <v>-75893.119999999995</v>
      </c>
      <c r="Y39" s="2"/>
      <c r="Z39" s="19">
        <f t="shared" si="19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2"/>
        <v>0</v>
      </c>
      <c r="G40" s="2"/>
      <c r="H40" s="2">
        <v>3394.72</v>
      </c>
      <c r="I40" s="2"/>
      <c r="J40" s="19">
        <f t="shared" si="13"/>
        <v>5.6785583870025053E-2</v>
      </c>
      <c r="K40" s="2"/>
      <c r="L40" s="2">
        <f t="shared" si="14"/>
        <v>-3394.72</v>
      </c>
      <c r="M40" s="2"/>
      <c r="N40" s="19">
        <f t="shared" si="15"/>
        <v>-1</v>
      </c>
      <c r="O40" s="11"/>
      <c r="P40" s="2">
        <v>0</v>
      </c>
      <c r="Q40" s="2"/>
      <c r="R40" s="19">
        <f t="shared" si="16"/>
        <v>0</v>
      </c>
      <c r="S40" s="2"/>
      <c r="T40" s="2">
        <v>24075.919999999998</v>
      </c>
      <c r="U40" s="2"/>
      <c r="V40" s="19">
        <f t="shared" si="17"/>
        <v>2.0132002355709642E-2</v>
      </c>
      <c r="W40" s="2"/>
      <c r="X40" s="2">
        <f t="shared" si="18"/>
        <v>-24075.919999999998</v>
      </c>
      <c r="Y40" s="2"/>
      <c r="Z40" s="19">
        <f t="shared" si="19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2"/>
        <v>0</v>
      </c>
      <c r="G41" s="2"/>
      <c r="H41" s="2">
        <v>189.17</v>
      </c>
      <c r="I41" s="2"/>
      <c r="J41" s="19">
        <f t="shared" si="13"/>
        <v>3.1643637474350283E-3</v>
      </c>
      <c r="K41" s="2"/>
      <c r="L41" s="2">
        <f t="shared" si="14"/>
        <v>-189.17</v>
      </c>
      <c r="M41" s="2"/>
      <c r="N41" s="19">
        <f t="shared" si="15"/>
        <v>-1</v>
      </c>
      <c r="O41" s="11"/>
      <c r="P41" s="2">
        <v>0</v>
      </c>
      <c r="Q41" s="2"/>
      <c r="R41" s="19">
        <f t="shared" si="16"/>
        <v>0</v>
      </c>
      <c r="S41" s="2"/>
      <c r="T41" s="2">
        <v>22718.61</v>
      </c>
      <c r="U41" s="2"/>
      <c r="V41" s="19">
        <f t="shared" si="17"/>
        <v>1.8997035628895952E-2</v>
      </c>
      <c r="W41" s="2"/>
      <c r="X41" s="2">
        <f t="shared" si="18"/>
        <v>-22718.61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-56710.32</v>
      </c>
      <c r="E42" s="2"/>
      <c r="F42" s="19">
        <f t="shared" si="12"/>
        <v>-0.61290060409978586</v>
      </c>
      <c r="G42" s="2"/>
      <c r="H42" s="2">
        <v>-75868.11</v>
      </c>
      <c r="I42" s="2"/>
      <c r="J42" s="19">
        <f t="shared" si="13"/>
        <v>-1.2690928628768461</v>
      </c>
      <c r="K42" s="2"/>
      <c r="L42" s="2">
        <f t="shared" si="14"/>
        <v>19157.79</v>
      </c>
      <c r="M42" s="2"/>
      <c r="N42" s="19">
        <f t="shared" si="15"/>
        <v>-0.25251439636495493</v>
      </c>
      <c r="O42" s="11"/>
      <c r="P42" s="2">
        <v>-743606.7</v>
      </c>
      <c r="Q42" s="2"/>
      <c r="R42" s="19">
        <f t="shared" si="16"/>
        <v>-0.89256995859129673</v>
      </c>
      <c r="S42" s="2"/>
      <c r="T42" s="2">
        <v>-1103420.28</v>
      </c>
      <c r="U42" s="2"/>
      <c r="V42" s="19">
        <f t="shared" si="17"/>
        <v>-0.92266711620149067</v>
      </c>
      <c r="W42" s="2"/>
      <c r="X42" s="2">
        <f t="shared" si="18"/>
        <v>359813.58000000007</v>
      </c>
      <c r="Y42" s="2"/>
      <c r="Z42" s="19">
        <f t="shared" si="19"/>
        <v>-0.32608933016891811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86310.11</v>
      </c>
      <c r="E43" s="2"/>
      <c r="F43" s="19">
        <f t="shared" si="12"/>
        <v>0.93280232872815694</v>
      </c>
      <c r="G43" s="2"/>
      <c r="H43" s="2">
        <v>56418</v>
      </c>
      <c r="I43" s="2"/>
      <c r="J43" s="19">
        <f t="shared" si="13"/>
        <v>0.94373882699576805</v>
      </c>
      <c r="K43" s="2"/>
      <c r="L43" s="2">
        <f t="shared" si="14"/>
        <v>29892.11</v>
      </c>
      <c r="M43" s="2"/>
      <c r="N43" s="19">
        <f t="shared" si="15"/>
        <v>0.5298328547626644</v>
      </c>
      <c r="O43" s="11"/>
      <c r="P43" s="2">
        <v>783369.18</v>
      </c>
      <c r="Q43" s="2"/>
      <c r="R43" s="19">
        <f t="shared" si="16"/>
        <v>0.94029787057364889</v>
      </c>
      <c r="S43" s="2"/>
      <c r="T43" s="2">
        <v>1137693</v>
      </c>
      <c r="U43" s="2"/>
      <c r="V43" s="19">
        <f t="shared" si="17"/>
        <v>0.95132556330451212</v>
      </c>
      <c r="W43" s="2"/>
      <c r="X43" s="2">
        <f t="shared" si="18"/>
        <v>-354323.81999999995</v>
      </c>
      <c r="Y43" s="2"/>
      <c r="Z43" s="19">
        <f t="shared" si="19"/>
        <v>-0.31144062589819921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12"/>
        <v>0</v>
      </c>
      <c r="G44" s="2"/>
      <c r="H44" s="2"/>
      <c r="I44" s="2"/>
      <c r="J44" s="19">
        <f t="shared" si="13"/>
        <v>0</v>
      </c>
      <c r="K44" s="2"/>
      <c r="L44" s="2">
        <f t="shared" si="14"/>
        <v>0</v>
      </c>
      <c r="M44" s="2"/>
      <c r="N44" s="19">
        <f t="shared" si="15"/>
        <v>0</v>
      </c>
      <c r="O44" s="11"/>
      <c r="P44" s="2">
        <v>44.19</v>
      </c>
      <c r="Q44" s="2"/>
      <c r="R44" s="19">
        <f t="shared" si="16"/>
        <v>5.3042376393528194E-5</v>
      </c>
      <c r="S44" s="2"/>
      <c r="T44" s="2">
        <v>0</v>
      </c>
      <c r="U44" s="2"/>
      <c r="V44" s="19">
        <f t="shared" si="17"/>
        <v>0</v>
      </c>
      <c r="W44" s="2"/>
      <c r="X44" s="2">
        <f t="shared" si="18"/>
        <v>44.19</v>
      </c>
      <c r="Y44" s="2"/>
      <c r="Z44" s="19">
        <f t="shared" si="19"/>
        <v>0</v>
      </c>
    </row>
    <row r="45" spans="1:26" s="24" customFormat="1" hidden="1" outlineLevel="1" x14ac:dyDescent="0.3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12"/>
        <v>0</v>
      </c>
      <c r="G45" s="2"/>
      <c r="H45" s="2"/>
      <c r="I45" s="2"/>
      <c r="J45" s="19">
        <f t="shared" si="13"/>
        <v>0</v>
      </c>
      <c r="K45" s="2"/>
      <c r="L45" s="2">
        <f t="shared" si="14"/>
        <v>0</v>
      </c>
      <c r="M45" s="2"/>
      <c r="N45" s="19">
        <f t="shared" si="15"/>
        <v>0</v>
      </c>
      <c r="O45" s="11"/>
      <c r="P45" s="2"/>
      <c r="Q45" s="2"/>
      <c r="R45" s="19">
        <f t="shared" si="16"/>
        <v>0</v>
      </c>
      <c r="S45" s="2"/>
      <c r="T45" s="2">
        <v>94</v>
      </c>
      <c r="U45" s="2"/>
      <c r="V45" s="19">
        <f t="shared" si="17"/>
        <v>7.8601699184774925E-5</v>
      </c>
      <c r="W45" s="2"/>
      <c r="X45" s="2">
        <f t="shared" si="18"/>
        <v>-94</v>
      </c>
      <c r="Y45" s="2"/>
      <c r="Z45" s="19">
        <f t="shared" si="19"/>
        <v>-1</v>
      </c>
    </row>
    <row r="46" spans="1:26" s="24" customFormat="1" hidden="1" outlineLevel="1" x14ac:dyDescent="0.3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12"/>
        <v>0</v>
      </c>
      <c r="G46" s="2"/>
      <c r="H46" s="2"/>
      <c r="I46" s="2"/>
      <c r="J46" s="19">
        <f t="shared" si="13"/>
        <v>0</v>
      </c>
      <c r="K46" s="2"/>
      <c r="L46" s="2">
        <f t="shared" si="14"/>
        <v>0</v>
      </c>
      <c r="M46" s="2"/>
      <c r="N46" s="19">
        <f t="shared" si="15"/>
        <v>0</v>
      </c>
      <c r="O46" s="11"/>
      <c r="P46" s="2">
        <v>0</v>
      </c>
      <c r="Q46" s="2"/>
      <c r="R46" s="19">
        <f t="shared" si="16"/>
        <v>0</v>
      </c>
      <c r="S46" s="2"/>
      <c r="T46" s="2">
        <v>225.17</v>
      </c>
      <c r="U46" s="2"/>
      <c r="V46" s="19">
        <f t="shared" si="17"/>
        <v>1.8828451707910392E-4</v>
      </c>
      <c r="W46" s="2"/>
      <c r="X46" s="2">
        <f t="shared" si="18"/>
        <v>-225.17</v>
      </c>
      <c r="Y46" s="2"/>
      <c r="Z46" s="19">
        <f t="shared" si="19"/>
        <v>-1</v>
      </c>
    </row>
    <row r="47" spans="1:26" s="24" customFormat="1" hidden="1" outlineLevel="1" x14ac:dyDescent="0.3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12"/>
        <v>0</v>
      </c>
      <c r="G47" s="2"/>
      <c r="H47" s="2"/>
      <c r="I47" s="2"/>
      <c r="J47" s="19">
        <f t="shared" si="13"/>
        <v>0</v>
      </c>
      <c r="K47" s="2"/>
      <c r="L47" s="2">
        <f t="shared" si="14"/>
        <v>0</v>
      </c>
      <c r="M47" s="2"/>
      <c r="N47" s="19">
        <f t="shared" si="15"/>
        <v>0</v>
      </c>
      <c r="O47" s="11"/>
      <c r="P47" s="2"/>
      <c r="Q47" s="2"/>
      <c r="R47" s="19">
        <f t="shared" si="16"/>
        <v>0</v>
      </c>
      <c r="S47" s="2"/>
      <c r="T47" s="2">
        <v>24.12</v>
      </c>
      <c r="U47" s="2"/>
      <c r="V47" s="19">
        <f t="shared" si="17"/>
        <v>2.0168861535497566E-5</v>
      </c>
      <c r="W47" s="2"/>
      <c r="X47" s="2">
        <f t="shared" si="18"/>
        <v>-24.12</v>
      </c>
      <c r="Y47" s="2"/>
      <c r="Z47" s="19">
        <f t="shared" si="19"/>
        <v>-1</v>
      </c>
    </row>
    <row r="48" spans="1:26" x14ac:dyDescent="0.3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10"/>
      <c r="B49" s="25" t="s">
        <v>107</v>
      </c>
      <c r="C49" s="25"/>
      <c r="D49" s="21">
        <f>D12-D35</f>
        <v>9602.3699999999953</v>
      </c>
      <c r="E49" s="13"/>
      <c r="F49" s="22">
        <f>IF(D$12=0,0,D49/D$12)</f>
        <v>0.10377826070792155</v>
      </c>
      <c r="G49" s="13"/>
      <c r="H49" s="21">
        <f>H12-H35</f>
        <v>-582.46999999999389</v>
      </c>
      <c r="I49" s="13"/>
      <c r="J49" s="22">
        <f>IF(H$12=0,0,H49/H$12)</f>
        <v>-9.7433364273852175E-3</v>
      </c>
      <c r="K49" s="16"/>
      <c r="L49" s="21">
        <f>+D49-H49</f>
        <v>10184.839999999989</v>
      </c>
      <c r="M49" s="16"/>
      <c r="N49" s="22">
        <f>IF(H49=0,0,L49/H49)</f>
        <v>-17.485604408810918</v>
      </c>
      <c r="O49" s="26"/>
      <c r="P49" s="21">
        <f>P12-P35</f>
        <v>130447.73999999987</v>
      </c>
      <c r="Q49" s="13"/>
      <c r="R49" s="22">
        <f>IF(P$12=0,0,P49/P$12)</f>
        <v>0.15657972674281731</v>
      </c>
      <c r="S49" s="13"/>
      <c r="T49" s="21">
        <f>T12-T35</f>
        <v>54264.060000000522</v>
      </c>
      <c r="U49" s="13"/>
      <c r="V49" s="22">
        <f>IF(T$12=0,0,T49/T$12)</f>
        <v>4.5374971496432111E-2</v>
      </c>
      <c r="W49" s="16"/>
      <c r="X49" s="21">
        <f>+P49-T49</f>
        <v>76183.679999999353</v>
      </c>
      <c r="Y49" s="16"/>
      <c r="Z49" s="22">
        <f>IF(T49=0,0,X49/T49)</f>
        <v>1.4039436046620659</v>
      </c>
    </row>
    <row r="50" spans="1:26" x14ac:dyDescent="0.3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6" t="s">
        <v>294</v>
      </c>
      <c r="C51" s="10"/>
      <c r="D51" s="20">
        <f>SUM(OSRRefD22x_0)</f>
        <v>12756.37</v>
      </c>
      <c r="E51" s="20"/>
      <c r="F51" s="32">
        <f t="shared" ref="F51:F61" si="20">IF(D$12=0,0,D51/D$12)</f>
        <v>0.13786532819988295</v>
      </c>
      <c r="G51" s="20"/>
      <c r="H51" s="20">
        <f>SUM(OSRRefH22x_0)</f>
        <v>12478.91</v>
      </c>
      <c r="I51" s="20"/>
      <c r="J51" s="32">
        <f t="shared" ref="J51:J61" si="21">IF(H$12=0,0,H51/H$12)</f>
        <v>0.2087424560527803</v>
      </c>
      <c r="K51" s="4"/>
      <c r="L51" s="20">
        <f t="shared" ref="L51:L61" si="22">+D51-H51</f>
        <v>277.46000000000095</v>
      </c>
      <c r="M51" s="4"/>
      <c r="N51" s="32">
        <f t="shared" ref="N51:N61" si="23">IF(H51=0,0,L51/H51)</f>
        <v>2.2234313734132306E-2</v>
      </c>
      <c r="O51" s="10"/>
      <c r="P51" s="20">
        <f>SUM(OSRRefP22x_0)</f>
        <v>71781.51999999999</v>
      </c>
      <c r="Q51" s="20"/>
      <c r="R51" s="32">
        <f t="shared" ref="R51:R61" si="24">IF(P$12=0,0,P51/P$12)</f>
        <v>8.6161176780709933E-2</v>
      </c>
      <c r="S51" s="20"/>
      <c r="T51" s="20">
        <f>SUM(OSRRefT22x_0)</f>
        <v>66383.699999999983</v>
      </c>
      <c r="U51" s="20"/>
      <c r="V51" s="32">
        <f t="shared" ref="V51:V61" si="25">IF(T$12=0,0,T51/T$12)</f>
        <v>5.5509272533748322E-2</v>
      </c>
      <c r="W51" s="4"/>
      <c r="X51" s="20">
        <f t="shared" ref="X51:X61" si="26">+P51-T51</f>
        <v>5397.820000000007</v>
      </c>
      <c r="Y51" s="4"/>
      <c r="Z51" s="32">
        <f t="shared" ref="Z51:Z61" si="27">IF(T51=0,0,X51/T51)</f>
        <v>8.1312430611731615E-2</v>
      </c>
    </row>
    <row r="52" spans="1:26" s="29" customFormat="1" outlineLevel="1" collapsed="1" x14ac:dyDescent="0.3">
      <c r="A52" s="28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2357.9199999999996</v>
      </c>
      <c r="E52" s="1"/>
      <c r="F52" s="5">
        <f t="shared" si="20"/>
        <v>2.5483379258289619E-2</v>
      </c>
      <c r="G52" s="1"/>
      <c r="H52" s="1">
        <f>SUM(OSRRefH22_0x_0)</f>
        <v>2874.4300000000003</v>
      </c>
      <c r="I52" s="1"/>
      <c r="J52" s="5">
        <f t="shared" si="21"/>
        <v>4.8082370812177776E-2</v>
      </c>
      <c r="K52" s="1"/>
      <c r="L52" s="1">
        <f t="shared" si="22"/>
        <v>-516.51000000000067</v>
      </c>
      <c r="M52" s="1"/>
      <c r="N52" s="5">
        <f t="shared" si="23"/>
        <v>-0.17969127792292755</v>
      </c>
      <c r="O52" s="14"/>
      <c r="P52" s="1">
        <f>SUM(OSRRefP22_0x_0)</f>
        <v>8923.5300000000007</v>
      </c>
      <c r="Q52" s="1"/>
      <c r="R52" s="5">
        <f t="shared" si="24"/>
        <v>1.0711139104298273E-2</v>
      </c>
      <c r="S52" s="1"/>
      <c r="T52" s="1">
        <f>SUM(OSRRefT22_0x_0)</f>
        <v>14834.34</v>
      </c>
      <c r="U52" s="1"/>
      <c r="V52" s="5">
        <f t="shared" si="25"/>
        <v>1.2404301386007172E-2</v>
      </c>
      <c r="W52" s="1"/>
      <c r="X52" s="1">
        <f t="shared" si="26"/>
        <v>-5910.8099999999995</v>
      </c>
      <c r="Y52" s="1"/>
      <c r="Z52" s="5">
        <f t="shared" si="27"/>
        <v>-0.39845453184974861</v>
      </c>
    </row>
    <row r="53" spans="1:26" s="24" customFormat="1" hidden="1" outlineLevel="2" x14ac:dyDescent="0.3">
      <c r="A53" s="27"/>
      <c r="B53" s="11" t="str">
        <f>CONCATENATE("          ", "6111", " - ", "F.I.C.A.")</f>
        <v xml:space="preserve">          6111 - F.I.C.A.</v>
      </c>
      <c r="C53" s="11"/>
      <c r="D53" s="6">
        <v>475.62</v>
      </c>
      <c r="E53" s="2"/>
      <c r="F53" s="7">
        <f t="shared" si="20"/>
        <v>5.1402951935721778E-3</v>
      </c>
      <c r="G53" s="2"/>
      <c r="H53" s="6">
        <v>448.03</v>
      </c>
      <c r="I53" s="2"/>
      <c r="J53" s="7">
        <f t="shared" si="21"/>
        <v>7.4944752855279151E-3</v>
      </c>
      <c r="K53" s="2"/>
      <c r="L53" s="6">
        <f t="shared" si="22"/>
        <v>27.590000000000032</v>
      </c>
      <c r="M53" s="2"/>
      <c r="N53" s="7">
        <f t="shared" si="23"/>
        <v>6.1580697721134822E-2</v>
      </c>
      <c r="O53" s="11"/>
      <c r="P53" s="6">
        <v>2809.64</v>
      </c>
      <c r="Q53" s="2"/>
      <c r="R53" s="7">
        <f t="shared" si="24"/>
        <v>3.3724820640487116E-3</v>
      </c>
      <c r="S53" s="2"/>
      <c r="T53" s="6">
        <v>2947.04</v>
      </c>
      <c r="U53" s="2"/>
      <c r="V53" s="7">
        <f t="shared" si="25"/>
        <v>2.4642803358031818E-3</v>
      </c>
      <c r="W53" s="2"/>
      <c r="X53" s="6">
        <f t="shared" si="26"/>
        <v>-137.40000000000009</v>
      </c>
      <c r="Y53" s="2"/>
      <c r="Z53" s="7">
        <f t="shared" si="27"/>
        <v>-4.6623052282968702E-2</v>
      </c>
    </row>
    <row r="54" spans="1:26" s="24" customFormat="1" hidden="1" outlineLevel="2" x14ac:dyDescent="0.3">
      <c r="A54" s="27"/>
      <c r="B54" s="11" t="str">
        <f>CONCATENATE("          ", "6112", " - ", "COMPENSATION INSURANCE")</f>
        <v xml:space="preserve">          6112 - COMPENSATION INSURANCE</v>
      </c>
      <c r="C54" s="11"/>
      <c r="D54" s="6">
        <v>124.44</v>
      </c>
      <c r="E54" s="2"/>
      <c r="F54" s="7">
        <f t="shared" si="20"/>
        <v>1.3448936837982461E-3</v>
      </c>
      <c r="G54" s="2"/>
      <c r="H54" s="6">
        <v>256.8</v>
      </c>
      <c r="I54" s="2"/>
      <c r="J54" s="7">
        <f t="shared" si="21"/>
        <v>4.2956526422863843E-3</v>
      </c>
      <c r="K54" s="2"/>
      <c r="L54" s="6">
        <f t="shared" si="22"/>
        <v>-132.36000000000001</v>
      </c>
      <c r="M54" s="2"/>
      <c r="N54" s="7">
        <f t="shared" si="23"/>
        <v>-0.51542056074766363</v>
      </c>
      <c r="O54" s="11"/>
      <c r="P54" s="6">
        <v>734.4</v>
      </c>
      <c r="Q54" s="2"/>
      <c r="R54" s="7">
        <f t="shared" si="24"/>
        <v>8.8151892336291258E-4</v>
      </c>
      <c r="S54" s="2"/>
      <c r="T54" s="6">
        <v>725.73</v>
      </c>
      <c r="U54" s="2"/>
      <c r="V54" s="7">
        <f t="shared" si="25"/>
        <v>6.0684692712092243E-4</v>
      </c>
      <c r="W54" s="2"/>
      <c r="X54" s="6">
        <f t="shared" si="26"/>
        <v>8.6699999999999591</v>
      </c>
      <c r="Y54" s="2"/>
      <c r="Z54" s="7">
        <f t="shared" si="27"/>
        <v>1.1946591707659817E-2</v>
      </c>
    </row>
    <row r="55" spans="1:26" s="24" customFormat="1" hidden="1" outlineLevel="2" x14ac:dyDescent="0.3">
      <c r="A55" s="27"/>
      <c r="B55" s="11" t="str">
        <f>CONCATENATE("          ", "6113", " - ", "GROUP INSURANCE")</f>
        <v xml:space="preserve">          6113 - GROUP INSURANCE</v>
      </c>
      <c r="C55" s="11"/>
      <c r="D55" s="6">
        <v>853.84</v>
      </c>
      <c r="E55" s="2"/>
      <c r="F55" s="7">
        <f t="shared" si="20"/>
        <v>9.2279333250907623E-3</v>
      </c>
      <c r="G55" s="2"/>
      <c r="H55" s="6">
        <v>1035.69</v>
      </c>
      <c r="I55" s="2"/>
      <c r="J55" s="7">
        <f t="shared" si="21"/>
        <v>1.7324628057202435E-2</v>
      </c>
      <c r="K55" s="2"/>
      <c r="L55" s="6">
        <f t="shared" si="22"/>
        <v>-181.85000000000002</v>
      </c>
      <c r="M55" s="2"/>
      <c r="N55" s="7">
        <f t="shared" si="23"/>
        <v>-0.1755834274734718</v>
      </c>
      <c r="O55" s="11"/>
      <c r="P55" s="6">
        <v>2896.57</v>
      </c>
      <c r="Q55" s="2"/>
      <c r="R55" s="7">
        <f t="shared" si="24"/>
        <v>3.4768263451052722E-3</v>
      </c>
      <c r="S55" s="2"/>
      <c r="T55" s="6">
        <v>5178.45</v>
      </c>
      <c r="U55" s="2"/>
      <c r="V55" s="7">
        <f t="shared" si="25"/>
        <v>4.3301592462063583E-3</v>
      </c>
      <c r="W55" s="2"/>
      <c r="X55" s="6">
        <f t="shared" si="26"/>
        <v>-2281.8799999999997</v>
      </c>
      <c r="Y55" s="2"/>
      <c r="Z55" s="7">
        <f t="shared" si="27"/>
        <v>-0.44064922901640446</v>
      </c>
    </row>
    <row r="56" spans="1:26" s="24" customFormat="1" hidden="1" outlineLevel="2" x14ac:dyDescent="0.3">
      <c r="A56" s="27"/>
      <c r="B56" s="11" t="str">
        <f>CONCATENATE("          ", "6114", " - ", "STATE UNEMPLOYMENT INSURANCE")</f>
        <v xml:space="preserve">          6114 - STATE UNEMPLOYMENT INSURANCE</v>
      </c>
      <c r="C56" s="11"/>
      <c r="D56" s="6">
        <v>21.86</v>
      </c>
      <c r="E56" s="2"/>
      <c r="F56" s="7">
        <f t="shared" si="20"/>
        <v>2.3625342275658678E-4</v>
      </c>
      <c r="G56" s="2"/>
      <c r="H56" s="6">
        <v>36.090000000000003</v>
      </c>
      <c r="I56" s="2"/>
      <c r="J56" s="7">
        <f t="shared" si="21"/>
        <v>6.0369978138674304E-4</v>
      </c>
      <c r="K56" s="2"/>
      <c r="L56" s="6">
        <f t="shared" si="22"/>
        <v>-14.230000000000004</v>
      </c>
      <c r="M56" s="2"/>
      <c r="N56" s="7">
        <f t="shared" si="23"/>
        <v>-0.3942920476586313</v>
      </c>
      <c r="O56" s="11"/>
      <c r="P56" s="6">
        <v>129.02000000000001</v>
      </c>
      <c r="Q56" s="2"/>
      <c r="R56" s="7">
        <f t="shared" si="24"/>
        <v>1.5486597425419798E-4</v>
      </c>
      <c r="S56" s="2"/>
      <c r="T56" s="6">
        <v>116.69</v>
      </c>
      <c r="U56" s="2"/>
      <c r="V56" s="7">
        <f t="shared" si="25"/>
        <v>9.7574811466716871E-5</v>
      </c>
      <c r="W56" s="2"/>
      <c r="X56" s="6">
        <f t="shared" si="26"/>
        <v>12.330000000000013</v>
      </c>
      <c r="Y56" s="2"/>
      <c r="Z56" s="7">
        <f t="shared" si="27"/>
        <v>0.10566458136944051</v>
      </c>
    </row>
    <row r="57" spans="1:26" s="24" customFormat="1" hidden="1" outlineLevel="2" x14ac:dyDescent="0.3">
      <c r="A57" s="27"/>
      <c r="B57" s="11" t="str">
        <f>CONCATENATE("          ", "6115", " - ", "P.E.R.S.")</f>
        <v xml:space="preserve">          6115 - P.E.R.S.</v>
      </c>
      <c r="C57" s="11"/>
      <c r="D57" s="6">
        <v>103.22</v>
      </c>
      <c r="E57" s="2"/>
      <c r="F57" s="7">
        <f t="shared" si="20"/>
        <v>1.1155571041598759E-3</v>
      </c>
      <c r="G57" s="2"/>
      <c r="H57" s="6">
        <v>176.42</v>
      </c>
      <c r="I57" s="2"/>
      <c r="J57" s="7">
        <f t="shared" si="21"/>
        <v>2.9510866010598281E-3</v>
      </c>
      <c r="K57" s="2"/>
      <c r="L57" s="6">
        <f t="shared" si="22"/>
        <v>-73.199999999999989</v>
      </c>
      <c r="M57" s="2"/>
      <c r="N57" s="7">
        <f t="shared" si="23"/>
        <v>-0.41491894343045005</v>
      </c>
      <c r="O57" s="11"/>
      <c r="P57" s="6">
        <v>584.5</v>
      </c>
      <c r="Q57" s="2"/>
      <c r="R57" s="7">
        <f t="shared" si="24"/>
        <v>7.0159015618957298E-4</v>
      </c>
      <c r="S57" s="2"/>
      <c r="T57" s="6">
        <v>970.31</v>
      </c>
      <c r="U57" s="2"/>
      <c r="V57" s="7">
        <f t="shared" si="25"/>
        <v>8.1136185889339317E-4</v>
      </c>
      <c r="W57" s="2"/>
      <c r="X57" s="6">
        <f t="shared" si="26"/>
        <v>-385.80999999999995</v>
      </c>
      <c r="Y57" s="2"/>
      <c r="Z57" s="7">
        <f t="shared" si="27"/>
        <v>-0.39761519514381999</v>
      </c>
    </row>
    <row r="58" spans="1:26" s="24" customFormat="1" hidden="1" outlineLevel="2" x14ac:dyDescent="0.3">
      <c r="A58" s="27"/>
      <c r="B58" s="11" t="str">
        <f>CONCATENATE("          ", "6117", " - ", "RETIREMENT STAFF HOURLY")</f>
        <v xml:space="preserve">          6117 - RETIREMENT STAFF HOURLY</v>
      </c>
      <c r="C58" s="11"/>
      <c r="D58" s="6">
        <v>120</v>
      </c>
      <c r="E58" s="2"/>
      <c r="F58" s="7">
        <f t="shared" si="20"/>
        <v>1.2969080846656183E-3</v>
      </c>
      <c r="G58" s="2"/>
      <c r="H58" s="6">
        <v>154.52000000000001</v>
      </c>
      <c r="I58" s="2"/>
      <c r="J58" s="7">
        <f t="shared" si="21"/>
        <v>2.5847517378741907E-3</v>
      </c>
      <c r="K58" s="2"/>
      <c r="L58" s="6">
        <f t="shared" si="22"/>
        <v>-34.52000000000001</v>
      </c>
      <c r="M58" s="2"/>
      <c r="N58" s="7">
        <f t="shared" si="23"/>
        <v>-0.22340150142376397</v>
      </c>
      <c r="O58" s="11"/>
      <c r="P58" s="6">
        <v>-537.34</v>
      </c>
      <c r="Q58" s="2"/>
      <c r="R58" s="7">
        <f t="shared" si="24"/>
        <v>-6.4498281356185666E-4</v>
      </c>
      <c r="S58" s="2"/>
      <c r="T58" s="6">
        <v>934.08</v>
      </c>
      <c r="U58" s="2"/>
      <c r="V58" s="7">
        <f t="shared" si="25"/>
        <v>7.8106675717568692E-4</v>
      </c>
      <c r="W58" s="2"/>
      <c r="X58" s="6">
        <f t="shared" si="26"/>
        <v>-1471.42</v>
      </c>
      <c r="Y58" s="2"/>
      <c r="Z58" s="7">
        <f t="shared" si="27"/>
        <v>-1.575261219595752</v>
      </c>
    </row>
    <row r="59" spans="1:26" s="24" customFormat="1" hidden="1" outlineLevel="2" x14ac:dyDescent="0.3">
      <c r="A59" s="27"/>
      <c r="B59" s="11" t="str">
        <f>CONCATENATE("          ", "6118", " - ", "VACATION")</f>
        <v xml:space="preserve">          6118 - VACATION</v>
      </c>
      <c r="C59" s="11"/>
      <c r="D59" s="6">
        <v>222.3</v>
      </c>
      <c r="E59" s="2"/>
      <c r="F59" s="7">
        <f t="shared" si="20"/>
        <v>2.402522226843058E-3</v>
      </c>
      <c r="G59" s="2"/>
      <c r="H59" s="6">
        <v>262.39999999999998</v>
      </c>
      <c r="I59" s="2"/>
      <c r="J59" s="7">
        <f t="shared" si="21"/>
        <v>4.3893273104982367E-3</v>
      </c>
      <c r="K59" s="2"/>
      <c r="L59" s="6">
        <f t="shared" si="22"/>
        <v>-40.099999999999966</v>
      </c>
      <c r="M59" s="2"/>
      <c r="N59" s="7">
        <f t="shared" si="23"/>
        <v>-0.15282012195121938</v>
      </c>
      <c r="O59" s="11"/>
      <c r="P59" s="6">
        <v>787.9</v>
      </c>
      <c r="Q59" s="2"/>
      <c r="R59" s="7">
        <f t="shared" si="24"/>
        <v>9.4573632859155617E-4</v>
      </c>
      <c r="S59" s="2"/>
      <c r="T59" s="6">
        <v>1422.5</v>
      </c>
      <c r="U59" s="2"/>
      <c r="V59" s="7">
        <f t="shared" si="25"/>
        <v>1.1894778413866205E-3</v>
      </c>
      <c r="W59" s="2"/>
      <c r="X59" s="6">
        <f t="shared" si="26"/>
        <v>-634.6</v>
      </c>
      <c r="Y59" s="2"/>
      <c r="Z59" s="7">
        <f t="shared" si="27"/>
        <v>-0.44611599297012305</v>
      </c>
    </row>
    <row r="60" spans="1:26" s="24" customFormat="1" hidden="1" outlineLevel="2" x14ac:dyDescent="0.3">
      <c r="A60" s="27"/>
      <c r="B60" s="11" t="str">
        <f>CONCATENATE("          ", "6119", " - ", "SICK LEAVE")</f>
        <v xml:space="preserve">          6119 - SICK LEAVE</v>
      </c>
      <c r="C60" s="11"/>
      <c r="D60" s="6">
        <v>216.23</v>
      </c>
      <c r="E60" s="2"/>
      <c r="F60" s="7">
        <f t="shared" si="20"/>
        <v>2.336920292893722E-3</v>
      </c>
      <c r="G60" s="2"/>
      <c r="H60" s="6">
        <v>262.10000000000002</v>
      </c>
      <c r="I60" s="2"/>
      <c r="J60" s="7">
        <f t="shared" si="21"/>
        <v>4.3843090247011737E-3</v>
      </c>
      <c r="K60" s="2"/>
      <c r="L60" s="6">
        <f t="shared" si="22"/>
        <v>-45.870000000000033</v>
      </c>
      <c r="M60" s="2"/>
      <c r="N60" s="7">
        <f t="shared" si="23"/>
        <v>-0.17500953834414357</v>
      </c>
      <c r="O60" s="11"/>
      <c r="P60" s="6">
        <v>830.68</v>
      </c>
      <c r="Q60" s="2"/>
      <c r="R60" s="7">
        <f t="shared" si="24"/>
        <v>9.9708624626784347E-4</v>
      </c>
      <c r="S60" s="2"/>
      <c r="T60" s="6">
        <v>1416.66</v>
      </c>
      <c r="U60" s="2"/>
      <c r="V60" s="7">
        <f t="shared" si="25"/>
        <v>1.1845945017776942E-3</v>
      </c>
      <c r="W60" s="2"/>
      <c r="X60" s="6">
        <f t="shared" si="26"/>
        <v>-585.98000000000013</v>
      </c>
      <c r="Y60" s="2"/>
      <c r="Z60" s="7">
        <f t="shared" si="27"/>
        <v>-0.41363488769358919</v>
      </c>
    </row>
    <row r="61" spans="1:26" s="24" customFormat="1" hidden="1" outlineLevel="2" x14ac:dyDescent="0.3">
      <c r="A61" s="27"/>
      <c r="B61" s="11" t="str">
        <f>CONCATENATE("          ", "6156", " - ", "EMPLOYEE MEALS")</f>
        <v xml:space="preserve">          6156 - EMPLOYEE MEALS</v>
      </c>
      <c r="C61" s="11"/>
      <c r="D61" s="6">
        <v>220.41</v>
      </c>
      <c r="E61" s="2"/>
      <c r="F61" s="7">
        <f t="shared" si="20"/>
        <v>2.3820959245095742E-3</v>
      </c>
      <c r="G61" s="2"/>
      <c r="H61" s="6">
        <v>242.38</v>
      </c>
      <c r="I61" s="2"/>
      <c r="J61" s="7">
        <f t="shared" si="21"/>
        <v>4.0544403716408633E-3</v>
      </c>
      <c r="K61" s="2"/>
      <c r="L61" s="6">
        <f t="shared" si="22"/>
        <v>-21.97</v>
      </c>
      <c r="M61" s="2"/>
      <c r="N61" s="7">
        <f t="shared" si="23"/>
        <v>-9.0642792309596501E-2</v>
      </c>
      <c r="O61" s="11"/>
      <c r="P61" s="6">
        <v>688.16</v>
      </c>
      <c r="Q61" s="2"/>
      <c r="R61" s="7">
        <f t="shared" si="24"/>
        <v>8.2601588004006256E-4</v>
      </c>
      <c r="S61" s="2"/>
      <c r="T61" s="6">
        <v>1122.8800000000001</v>
      </c>
      <c r="U61" s="2"/>
      <c r="V61" s="7">
        <f t="shared" si="25"/>
        <v>9.3893910617659656E-4</v>
      </c>
      <c r="W61" s="2"/>
      <c r="X61" s="6">
        <f t="shared" si="26"/>
        <v>-434.72000000000014</v>
      </c>
      <c r="Y61" s="2"/>
      <c r="Z61" s="7">
        <f t="shared" si="27"/>
        <v>-0.38714733542319757</v>
      </c>
    </row>
    <row r="62" spans="1:26" s="29" customFormat="1" outlineLevel="1" collapsed="1" x14ac:dyDescent="0.3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9218.130000000001</v>
      </c>
      <c r="E62" s="1"/>
      <c r="F62" s="5">
        <f t="shared" ref="F62:F67" si="28">IF(D$12=0,0,D62/D$12)</f>
        <v>9.9625561020822304E-2</v>
      </c>
      <c r="G62" s="1"/>
      <c r="H62" s="1">
        <f>SUM(OSRRefH22_1x_0)</f>
        <v>7316.2099999999991</v>
      </c>
      <c r="I62" s="1"/>
      <c r="J62" s="5">
        <f t="shared" ref="J62:J67" si="29">IF(H$12=0,0,H62/H$12)</f>
        <v>0.12238277577111396</v>
      </c>
      <c r="K62" s="1"/>
      <c r="L62" s="1">
        <f t="shared" ref="L62:L67" si="30">+D62-H62</f>
        <v>1901.9200000000019</v>
      </c>
      <c r="M62" s="1"/>
      <c r="N62" s="5">
        <f t="shared" ref="N62:N67" si="31">IF(H62=0,0,L62/H62)</f>
        <v>0.25995973324986599</v>
      </c>
      <c r="O62" s="14"/>
      <c r="P62" s="1">
        <f>SUM(OSRRefP22_1x_0)</f>
        <v>51584.020000000004</v>
      </c>
      <c r="Q62" s="1"/>
      <c r="R62" s="5">
        <f t="shared" ref="R62:R67" si="32">IF(P$12=0,0,P62/P$12)</f>
        <v>6.1917605900232785E-2</v>
      </c>
      <c r="S62" s="1"/>
      <c r="T62" s="1">
        <f>SUM(OSRRefT22_1x_0)</f>
        <v>39479.78</v>
      </c>
      <c r="U62" s="1"/>
      <c r="V62" s="5">
        <f t="shared" ref="V62:V67" si="33">IF(T$12=0,0,T62/T$12)</f>
        <v>3.3012529696181847E-2</v>
      </c>
      <c r="W62" s="1"/>
      <c r="X62" s="1">
        <f t="shared" ref="X62:X67" si="34">+P62-T62</f>
        <v>12104.240000000005</v>
      </c>
      <c r="Y62" s="1"/>
      <c r="Z62" s="5">
        <f t="shared" ref="Z62:Z67" si="35">IF(T62=0,0,X62/T62)</f>
        <v>0.30659340046981026</v>
      </c>
    </row>
    <row r="63" spans="1:26" s="24" customFormat="1" hidden="1" outlineLevel="2" x14ac:dyDescent="0.3">
      <c r="A63" s="27"/>
      <c r="B63" s="11" t="str">
        <f>CONCATENATE("          ", "6002", " - ", "STAFF SALARIES")</f>
        <v xml:space="preserve">          6002 - STAFF SALARIES</v>
      </c>
      <c r="C63" s="11"/>
      <c r="D63" s="6">
        <v>1156</v>
      </c>
      <c r="E63" s="2"/>
      <c r="F63" s="7">
        <f t="shared" si="28"/>
        <v>1.2493547882278789E-2</v>
      </c>
      <c r="G63" s="2"/>
      <c r="H63" s="6">
        <v>1939.96</v>
      </c>
      <c r="I63" s="2"/>
      <c r="J63" s="7">
        <f t="shared" si="29"/>
        <v>3.2450912382904575E-2</v>
      </c>
      <c r="K63" s="2"/>
      <c r="L63" s="6">
        <f t="shared" si="30"/>
        <v>-783.96</v>
      </c>
      <c r="M63" s="2"/>
      <c r="N63" s="7">
        <f t="shared" si="31"/>
        <v>-0.40411142497783459</v>
      </c>
      <c r="O63" s="11"/>
      <c r="P63" s="6">
        <v>10192.94</v>
      </c>
      <c r="Q63" s="2"/>
      <c r="R63" s="7">
        <f t="shared" si="32"/>
        <v>1.2234844083200936E-2</v>
      </c>
      <c r="S63" s="2"/>
      <c r="T63" s="6">
        <v>11297.39</v>
      </c>
      <c r="U63" s="2"/>
      <c r="V63" s="7">
        <f t="shared" si="33"/>
        <v>9.4467452165221746E-3</v>
      </c>
      <c r="W63" s="2"/>
      <c r="X63" s="6">
        <f t="shared" si="34"/>
        <v>-1104.4499999999989</v>
      </c>
      <c r="Y63" s="2"/>
      <c r="Z63" s="7">
        <f t="shared" si="35"/>
        <v>-9.7761518368401815E-2</v>
      </c>
    </row>
    <row r="64" spans="1:26" s="24" customFormat="1" hidden="1" outlineLevel="2" x14ac:dyDescent="0.3">
      <c r="A64" s="27"/>
      <c r="B64" s="11" t="str">
        <f>CONCATENATE("          ", "6004", " - ", "STAFF HOURLY")</f>
        <v xml:space="preserve">          6004 - STAFF HOURLY</v>
      </c>
      <c r="C64" s="11"/>
      <c r="D64" s="6">
        <v>3988.37</v>
      </c>
      <c r="E64" s="2"/>
      <c r="F64" s="7">
        <f t="shared" si="28"/>
        <v>4.3104577480315098E-2</v>
      </c>
      <c r="G64" s="2"/>
      <c r="H64" s="6">
        <v>3395.52</v>
      </c>
      <c r="I64" s="2"/>
      <c r="J64" s="7">
        <f t="shared" si="29"/>
        <v>5.6798965965483894E-2</v>
      </c>
      <c r="K64" s="2"/>
      <c r="L64" s="6">
        <f t="shared" si="30"/>
        <v>592.84999999999991</v>
      </c>
      <c r="M64" s="2"/>
      <c r="N64" s="7">
        <f t="shared" si="31"/>
        <v>0.17459770521157286</v>
      </c>
      <c r="O64" s="11"/>
      <c r="P64" s="6">
        <v>14750.48</v>
      </c>
      <c r="Q64" s="2"/>
      <c r="R64" s="7">
        <f t="shared" si="32"/>
        <v>1.7705374793962655E-2</v>
      </c>
      <c r="S64" s="2"/>
      <c r="T64" s="6">
        <v>17816.16</v>
      </c>
      <c r="U64" s="2"/>
      <c r="V64" s="7">
        <f t="shared" si="33"/>
        <v>1.4897664350508719E-2</v>
      </c>
      <c r="W64" s="2"/>
      <c r="X64" s="6">
        <f t="shared" si="34"/>
        <v>-3065.6800000000003</v>
      </c>
      <c r="Y64" s="2"/>
      <c r="Z64" s="7">
        <f t="shared" si="35"/>
        <v>-0.17207299440507945</v>
      </c>
    </row>
    <row r="65" spans="1:26" s="24" customFormat="1" hidden="1" outlineLevel="2" x14ac:dyDescent="0.3">
      <c r="A65" s="27"/>
      <c r="B65" s="11" t="str">
        <f>CONCATENATE("          ", "6005", " - ", "TEMPORARY WAGES-HOURLY")</f>
        <v xml:space="preserve">          6005 - TEMPORARY WAGES-HOURLY</v>
      </c>
      <c r="C65" s="11"/>
      <c r="D65" s="6">
        <v>1088.5899999999999</v>
      </c>
      <c r="E65" s="2"/>
      <c r="F65" s="7">
        <f t="shared" si="28"/>
        <v>1.1765009765717878E-2</v>
      </c>
      <c r="G65" s="2"/>
      <c r="H65" s="6"/>
      <c r="I65" s="2"/>
      <c r="J65" s="7">
        <f t="shared" si="29"/>
        <v>0</v>
      </c>
      <c r="K65" s="2"/>
      <c r="L65" s="6">
        <f t="shared" si="30"/>
        <v>1088.5899999999999</v>
      </c>
      <c r="M65" s="2"/>
      <c r="N65" s="7">
        <f t="shared" si="31"/>
        <v>0</v>
      </c>
      <c r="O65" s="11"/>
      <c r="P65" s="6">
        <v>5007.47</v>
      </c>
      <c r="Q65" s="2"/>
      <c r="R65" s="7">
        <f t="shared" si="32"/>
        <v>6.0105930871079578E-3</v>
      </c>
      <c r="S65" s="2"/>
      <c r="T65" s="6"/>
      <c r="U65" s="2"/>
      <c r="V65" s="7">
        <f t="shared" si="33"/>
        <v>0</v>
      </c>
      <c r="W65" s="2"/>
      <c r="X65" s="6">
        <f t="shared" si="34"/>
        <v>5007.47</v>
      </c>
      <c r="Y65" s="2"/>
      <c r="Z65" s="7">
        <f t="shared" si="35"/>
        <v>0</v>
      </c>
    </row>
    <row r="66" spans="1:26" s="24" customFormat="1" hidden="1" outlineLevel="2" x14ac:dyDescent="0.3">
      <c r="A66" s="27"/>
      <c r="B66" s="11" t="str">
        <f>CONCATENATE("          ", "6007", " - ", "STUDENT HOURLY")</f>
        <v xml:space="preserve">          6007 - STUDENT HOURLY</v>
      </c>
      <c r="C66" s="11"/>
      <c r="D66" s="6">
        <v>1970.89</v>
      </c>
      <c r="E66" s="2"/>
      <c r="F66" s="7">
        <f t="shared" si="28"/>
        <v>2.1300526458221839E-2</v>
      </c>
      <c r="G66" s="2"/>
      <c r="H66" s="6">
        <v>1980.73</v>
      </c>
      <c r="I66" s="2"/>
      <c r="J66" s="7">
        <f t="shared" si="29"/>
        <v>3.3132897422725509E-2</v>
      </c>
      <c r="K66" s="2"/>
      <c r="L66" s="6">
        <f t="shared" si="30"/>
        <v>-9.8399999999999181</v>
      </c>
      <c r="M66" s="2"/>
      <c r="N66" s="7">
        <f t="shared" si="31"/>
        <v>-4.9678653829648249E-3</v>
      </c>
      <c r="O66" s="11"/>
      <c r="P66" s="6">
        <v>16601.150000000001</v>
      </c>
      <c r="Q66" s="2"/>
      <c r="R66" s="7">
        <f t="shared" si="32"/>
        <v>1.9926780874981235E-2</v>
      </c>
      <c r="S66" s="2"/>
      <c r="T66" s="6">
        <v>10366.23</v>
      </c>
      <c r="U66" s="2"/>
      <c r="V66" s="7">
        <f t="shared" si="33"/>
        <v>8.66812012915095E-3</v>
      </c>
      <c r="W66" s="2"/>
      <c r="X66" s="6">
        <f t="shared" si="34"/>
        <v>6234.9200000000019</v>
      </c>
      <c r="Y66" s="2"/>
      <c r="Z66" s="7">
        <f t="shared" si="35"/>
        <v>0.60146456329832565</v>
      </c>
    </row>
    <row r="67" spans="1:26" s="24" customFormat="1" hidden="1" outlineLevel="2" x14ac:dyDescent="0.3">
      <c r="A67" s="27"/>
      <c r="B67" s="11" t="str">
        <f>CONCATENATE("          ", "6008", " - ", "STUDENT HOURLY-FICA EXEMPT")</f>
        <v xml:space="preserve">          6008 - STUDENT HOURLY-FICA EXEMPT</v>
      </c>
      <c r="C67" s="11"/>
      <c r="D67" s="6">
        <v>1014.28</v>
      </c>
      <c r="E67" s="2"/>
      <c r="F67" s="7">
        <f t="shared" si="28"/>
        <v>1.0961899434288694E-2</v>
      </c>
      <c r="G67" s="2"/>
      <c r="H67" s="6"/>
      <c r="I67" s="2"/>
      <c r="J67" s="7">
        <f t="shared" si="29"/>
        <v>0</v>
      </c>
      <c r="K67" s="2"/>
      <c r="L67" s="6">
        <f t="shared" si="30"/>
        <v>1014.28</v>
      </c>
      <c r="M67" s="2"/>
      <c r="N67" s="7">
        <f t="shared" si="31"/>
        <v>0</v>
      </c>
      <c r="O67" s="11"/>
      <c r="P67" s="6">
        <v>5031.9799999999996</v>
      </c>
      <c r="Q67" s="2"/>
      <c r="R67" s="7">
        <f t="shared" si="32"/>
        <v>6.0400130609799957E-3</v>
      </c>
      <c r="S67" s="2"/>
      <c r="T67" s="6"/>
      <c r="U67" s="2"/>
      <c r="V67" s="7">
        <f t="shared" si="33"/>
        <v>0</v>
      </c>
      <c r="W67" s="2"/>
      <c r="X67" s="6">
        <f t="shared" si="34"/>
        <v>5031.9799999999996</v>
      </c>
      <c r="Y67" s="2"/>
      <c r="Z67" s="7">
        <f t="shared" si="35"/>
        <v>0</v>
      </c>
    </row>
    <row r="68" spans="1:26" s="29" customFormat="1" outlineLevel="1" collapsed="1" x14ac:dyDescent="0.3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6.62</v>
      </c>
      <c r="E68" s="1"/>
      <c r="F68" s="5">
        <f t="shared" ref="F68:F76" si="36">IF(D$12=0,0,D68/D$12)</f>
        <v>7.1546096004053281E-5</v>
      </c>
      <c r="G68" s="1"/>
      <c r="H68" s="1">
        <f>SUM(OSRRefH22_2x_0)</f>
        <v>0</v>
      </c>
      <c r="I68" s="1"/>
      <c r="J68" s="5">
        <f t="shared" ref="J68:J76" si="37">IF(H$12=0,0,H68/H$12)</f>
        <v>0</v>
      </c>
      <c r="K68" s="1"/>
      <c r="L68" s="1">
        <f t="shared" ref="L68:L76" si="38">+D68-H68</f>
        <v>6.62</v>
      </c>
      <c r="M68" s="1"/>
      <c r="N68" s="5">
        <f t="shared" ref="N68:N76" si="39">IF(H68=0,0,L68/H68)</f>
        <v>0</v>
      </c>
      <c r="O68" s="14"/>
      <c r="P68" s="1">
        <f>SUM(OSRRefP22_2x_0)</f>
        <v>118.13</v>
      </c>
      <c r="Q68" s="1"/>
      <c r="R68" s="5">
        <f t="shared" ref="R68:R76" si="40">IF(P$12=0,0,P68/P$12)</f>
        <v>1.4179443139550771E-4</v>
      </c>
      <c r="S68" s="1"/>
      <c r="T68" s="1">
        <f>SUM(OSRRefT22_2x_0)</f>
        <v>248.88</v>
      </c>
      <c r="U68" s="1"/>
      <c r="V68" s="5">
        <f t="shared" ref="V68:V76" si="41">IF(T$12=0,0,T68/T$12)</f>
        <v>2.0811054141602962E-4</v>
      </c>
      <c r="W68" s="1"/>
      <c r="X68" s="1">
        <f t="shared" ref="X68:X76" si="42">+P68-T68</f>
        <v>-130.75</v>
      </c>
      <c r="Y68" s="1"/>
      <c r="Z68" s="5">
        <f t="shared" ref="Z68:Z76" si="43">IF(T68=0,0,X68/T68)</f>
        <v>-0.52535358405657351</v>
      </c>
    </row>
    <row r="69" spans="1:26" s="24" customFormat="1" hidden="1" outlineLevel="2" x14ac:dyDescent="0.3">
      <c r="A69" s="27"/>
      <c r="B69" s="11" t="str">
        <f>CONCATENATE("          ", "6362", " - ", "ADVERTISING EXPENSE")</f>
        <v xml:space="preserve">          6362 - ADVERTISING EXPENSE</v>
      </c>
      <c r="C69" s="11"/>
      <c r="D69" s="6">
        <v>6.62</v>
      </c>
      <c r="E69" s="2"/>
      <c r="F69" s="7">
        <f t="shared" si="36"/>
        <v>7.1546096004053281E-5</v>
      </c>
      <c r="G69" s="2"/>
      <c r="H69" s="6"/>
      <c r="I69" s="2"/>
      <c r="J69" s="7">
        <f t="shared" si="37"/>
        <v>0</v>
      </c>
      <c r="K69" s="2"/>
      <c r="L69" s="6">
        <f t="shared" si="38"/>
        <v>6.62</v>
      </c>
      <c r="M69" s="2"/>
      <c r="N69" s="7">
        <f t="shared" si="39"/>
        <v>0</v>
      </c>
      <c r="O69" s="11"/>
      <c r="P69" s="6">
        <v>118.13</v>
      </c>
      <c r="Q69" s="2"/>
      <c r="R69" s="7">
        <f t="shared" si="40"/>
        <v>1.4179443139550771E-4</v>
      </c>
      <c r="S69" s="2"/>
      <c r="T69" s="6">
        <v>248.88</v>
      </c>
      <c r="U69" s="2"/>
      <c r="V69" s="7">
        <f t="shared" si="41"/>
        <v>2.0811054141602962E-4</v>
      </c>
      <c r="W69" s="2"/>
      <c r="X69" s="6">
        <f t="shared" si="42"/>
        <v>-130.75</v>
      </c>
      <c r="Y69" s="2"/>
      <c r="Z69" s="7">
        <f t="shared" si="43"/>
        <v>-0.52535358405657351</v>
      </c>
    </row>
    <row r="70" spans="1:26" s="29" customFormat="1" outlineLevel="1" collapsed="1" x14ac:dyDescent="0.3">
      <c r="A70" s="28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36"/>
        <v>3.03087419386355E-3</v>
      </c>
      <c r="G70" s="1"/>
      <c r="H70" s="1">
        <f>SUM(OSRRefH22_3x_0)</f>
        <v>280.44</v>
      </c>
      <c r="I70" s="1"/>
      <c r="J70" s="5">
        <f t="shared" si="37"/>
        <v>4.6910935630949911E-3</v>
      </c>
      <c r="K70" s="1"/>
      <c r="L70" s="1">
        <f t="shared" si="38"/>
        <v>0</v>
      </c>
      <c r="M70" s="1"/>
      <c r="N70" s="5">
        <f t="shared" si="39"/>
        <v>0</v>
      </c>
      <c r="O70" s="14"/>
      <c r="P70" s="1">
        <f>SUM(OSRRefP22_3x_0)</f>
        <v>1402.2</v>
      </c>
      <c r="Q70" s="1"/>
      <c r="R70" s="5">
        <f t="shared" si="40"/>
        <v>1.6830961796561494E-3</v>
      </c>
      <c r="S70" s="1"/>
      <c r="T70" s="1">
        <f>SUM(OSRRefT22_3x_0)</f>
        <v>1402.2</v>
      </c>
      <c r="U70" s="1"/>
      <c r="V70" s="5">
        <f t="shared" si="41"/>
        <v>1.1725032191158659E-3</v>
      </c>
      <c r="W70" s="1"/>
      <c r="X70" s="1">
        <f t="shared" si="42"/>
        <v>0</v>
      </c>
      <c r="Y70" s="1"/>
      <c r="Z70" s="5">
        <f t="shared" si="43"/>
        <v>0</v>
      </c>
    </row>
    <row r="71" spans="1:26" s="24" customFormat="1" hidden="1" outlineLevel="2" x14ac:dyDescent="0.3">
      <c r="A71" s="27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36"/>
        <v>3.03087419386355E-3</v>
      </c>
      <c r="G71" s="2"/>
      <c r="H71" s="6">
        <v>280.44</v>
      </c>
      <c r="I71" s="2"/>
      <c r="J71" s="7">
        <f t="shared" si="37"/>
        <v>4.6910935630949911E-3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1402.2</v>
      </c>
      <c r="Q71" s="2"/>
      <c r="R71" s="7">
        <f t="shared" si="40"/>
        <v>1.6830961796561494E-3</v>
      </c>
      <c r="S71" s="2"/>
      <c r="T71" s="6">
        <v>1402.2</v>
      </c>
      <c r="U71" s="2"/>
      <c r="V71" s="7">
        <f t="shared" si="41"/>
        <v>1.1725032191158659E-3</v>
      </c>
      <c r="W71" s="2"/>
      <c r="X71" s="6">
        <f t="shared" si="42"/>
        <v>0</v>
      </c>
      <c r="Y71" s="2"/>
      <c r="Z71" s="7">
        <f t="shared" si="43"/>
        <v>0</v>
      </c>
    </row>
    <row r="72" spans="1:26" s="29" customFormat="1" outlineLevel="1" collapsed="1" x14ac:dyDescent="0.3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36"/>
        <v>0</v>
      </c>
      <c r="G72" s="1"/>
      <c r="H72" s="1">
        <f>SUM(OSRRefH22_4x_0)</f>
        <v>0</v>
      </c>
      <c r="I72" s="1"/>
      <c r="J72" s="5">
        <f t="shared" si="37"/>
        <v>0</v>
      </c>
      <c r="K72" s="1"/>
      <c r="L72" s="1">
        <f t="shared" si="38"/>
        <v>0</v>
      </c>
      <c r="M72" s="1"/>
      <c r="N72" s="5">
        <f t="shared" si="39"/>
        <v>0</v>
      </c>
      <c r="O72" s="14"/>
      <c r="P72" s="1">
        <f>SUM(OSRRefP22_4x_0)</f>
        <v>0</v>
      </c>
      <c r="Q72" s="1"/>
      <c r="R72" s="5">
        <f t="shared" si="40"/>
        <v>0</v>
      </c>
      <c r="S72" s="1"/>
      <c r="T72" s="1">
        <f>SUM(OSRRefT22_4x_0)</f>
        <v>0</v>
      </c>
      <c r="U72" s="1"/>
      <c r="V72" s="5">
        <f t="shared" si="41"/>
        <v>0</v>
      </c>
      <c r="W72" s="1"/>
      <c r="X72" s="1">
        <f t="shared" si="42"/>
        <v>0</v>
      </c>
      <c r="Y72" s="1"/>
      <c r="Z72" s="5">
        <f t="shared" si="43"/>
        <v>0</v>
      </c>
    </row>
    <row r="73" spans="1:26" s="24" customFormat="1" hidden="1" outlineLevel="2" x14ac:dyDescent="0.3">
      <c r="A73" s="27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36"/>
        <v>0</v>
      </c>
      <c r="G73" s="2"/>
      <c r="H73" s="6">
        <v>0</v>
      </c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/>
      <c r="Q73" s="2"/>
      <c r="R73" s="7">
        <f t="shared" si="40"/>
        <v>0</v>
      </c>
      <c r="S73" s="2"/>
      <c r="T73" s="6">
        <v>0</v>
      </c>
      <c r="U73" s="2"/>
      <c r="V73" s="7">
        <f t="shared" si="41"/>
        <v>0</v>
      </c>
      <c r="W73" s="2"/>
      <c r="X73" s="6">
        <f t="shared" si="42"/>
        <v>0</v>
      </c>
      <c r="Y73" s="2"/>
      <c r="Z73" s="7">
        <f t="shared" si="43"/>
        <v>0</v>
      </c>
    </row>
    <row r="74" spans="1:26" s="29" customFormat="1" outlineLevel="1" collapsed="1" x14ac:dyDescent="0.3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SUM(OSRRefD22_5x_0)</f>
        <v>0.34</v>
      </c>
      <c r="E74" s="1"/>
      <c r="F74" s="5">
        <f t="shared" si="36"/>
        <v>3.6745729065525854E-6</v>
      </c>
      <c r="G74" s="1"/>
      <c r="H74" s="1">
        <f>SUM(OSRRefH22_5x_0)</f>
        <v>277.12</v>
      </c>
      <c r="I74" s="1"/>
      <c r="J74" s="5">
        <f t="shared" si="37"/>
        <v>4.6355578669408214E-3</v>
      </c>
      <c r="K74" s="1"/>
      <c r="L74" s="1">
        <f t="shared" si="38"/>
        <v>-276.78000000000003</v>
      </c>
      <c r="M74" s="1"/>
      <c r="N74" s="5">
        <f t="shared" si="39"/>
        <v>-0.99877309468822184</v>
      </c>
      <c r="O74" s="14"/>
      <c r="P74" s="1">
        <f>SUM(OSRRefP22_5x_0)</f>
        <v>122.13</v>
      </c>
      <c r="Q74" s="1"/>
      <c r="R74" s="5">
        <f t="shared" si="40"/>
        <v>1.4659573272101376E-4</v>
      </c>
      <c r="S74" s="1"/>
      <c r="T74" s="1">
        <f>SUM(OSRRefT22_5x_0)</f>
        <v>827.59</v>
      </c>
      <c r="U74" s="1"/>
      <c r="V74" s="5">
        <f t="shared" si="41"/>
        <v>6.9202106625880727E-4</v>
      </c>
      <c r="W74" s="1"/>
      <c r="X74" s="1">
        <f t="shared" si="42"/>
        <v>-705.46</v>
      </c>
      <c r="Y74" s="1"/>
      <c r="Z74" s="5">
        <f t="shared" si="43"/>
        <v>-0.85242692637658746</v>
      </c>
    </row>
    <row r="75" spans="1:26" s="24" customFormat="1" hidden="1" outlineLevel="2" x14ac:dyDescent="0.3">
      <c r="A75" s="27"/>
      <c r="B75" s="11" t="str">
        <f>CONCATENATE("          ", "6305", " - ", "FREIGHT OUT")</f>
        <v xml:space="preserve">          6305 - FREIGHT OUT</v>
      </c>
      <c r="C75" s="11"/>
      <c r="D75" s="6">
        <v>0.34</v>
      </c>
      <c r="E75" s="2"/>
      <c r="F75" s="7">
        <f t="shared" si="36"/>
        <v>3.6745729065525854E-6</v>
      </c>
      <c r="G75" s="2"/>
      <c r="H75" s="6">
        <v>277.12</v>
      </c>
      <c r="I75" s="2"/>
      <c r="J75" s="7">
        <f t="shared" si="37"/>
        <v>4.6355578669408214E-3</v>
      </c>
      <c r="K75" s="2"/>
      <c r="L75" s="6">
        <f t="shared" si="38"/>
        <v>-276.78000000000003</v>
      </c>
      <c r="M75" s="2"/>
      <c r="N75" s="7">
        <f t="shared" si="39"/>
        <v>-0.99877309468822184</v>
      </c>
      <c r="O75" s="11"/>
      <c r="P75" s="6">
        <v>122.13</v>
      </c>
      <c r="Q75" s="2"/>
      <c r="R75" s="7">
        <f t="shared" si="40"/>
        <v>1.4659573272101376E-4</v>
      </c>
      <c r="S75" s="2"/>
      <c r="T75" s="6">
        <v>814.99</v>
      </c>
      <c r="U75" s="2"/>
      <c r="V75" s="7">
        <f t="shared" si="41"/>
        <v>6.8148509381489066E-4</v>
      </c>
      <c r="W75" s="2"/>
      <c r="X75" s="6">
        <f t="shared" si="42"/>
        <v>-692.86</v>
      </c>
      <c r="Y75" s="2"/>
      <c r="Z75" s="7">
        <f t="shared" si="43"/>
        <v>-0.850145400557062</v>
      </c>
    </row>
    <row r="76" spans="1:26" s="24" customFormat="1" hidden="1" outlineLevel="2" x14ac:dyDescent="0.3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36"/>
        <v>0</v>
      </c>
      <c r="G76" s="2"/>
      <c r="H76" s="6"/>
      <c r="I76" s="2"/>
      <c r="J76" s="7">
        <f t="shared" si="37"/>
        <v>0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/>
      <c r="Q76" s="2"/>
      <c r="R76" s="7">
        <f t="shared" si="40"/>
        <v>0</v>
      </c>
      <c r="S76" s="2"/>
      <c r="T76" s="6">
        <v>12.6</v>
      </c>
      <c r="U76" s="2"/>
      <c r="V76" s="7">
        <f t="shared" si="41"/>
        <v>1.0535972443916639E-5</v>
      </c>
      <c r="W76" s="2"/>
      <c r="X76" s="6">
        <f t="shared" si="42"/>
        <v>-12.6</v>
      </c>
      <c r="Y76" s="2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SUM(OSRRefD22_6x_0)</f>
        <v>0</v>
      </c>
      <c r="E77" s="1"/>
      <c r="F77" s="5">
        <f t="shared" ref="F77:F84" si="44">IF(D$12=0,0,D77/D$12)</f>
        <v>0</v>
      </c>
      <c r="G77" s="1"/>
      <c r="H77" s="1">
        <f>SUM(OSRRefH22_6x_0)</f>
        <v>0</v>
      </c>
      <c r="I77" s="1"/>
      <c r="J77" s="5">
        <f t="shared" ref="J77:J84" si="45">IF(H$12=0,0,H77/H$12)</f>
        <v>0</v>
      </c>
      <c r="K77" s="1"/>
      <c r="L77" s="1">
        <f t="shared" ref="L77:L84" si="46">+D77-H77</f>
        <v>0</v>
      </c>
      <c r="M77" s="1"/>
      <c r="N77" s="5">
        <f t="shared" ref="N77:N84" si="47">IF(H77=0,0,L77/H77)</f>
        <v>0</v>
      </c>
      <c r="O77" s="14"/>
      <c r="P77" s="1">
        <f>SUM(OSRRefP22_6x_0)</f>
        <v>0</v>
      </c>
      <c r="Q77" s="1"/>
      <c r="R77" s="5">
        <f t="shared" ref="R77:R84" si="48">IF(P$12=0,0,P77/P$12)</f>
        <v>0</v>
      </c>
      <c r="S77" s="1"/>
      <c r="T77" s="1">
        <f>SUM(OSRRefT22_6x_0)</f>
        <v>-30.15</v>
      </c>
      <c r="U77" s="1"/>
      <c r="V77" s="5">
        <f t="shared" ref="V77:V84" si="49">IF(T$12=0,0,T77/T$12)</f>
        <v>-2.5211076919371957E-5</v>
      </c>
      <c r="W77" s="1"/>
      <c r="X77" s="1">
        <f t="shared" ref="X77:X84" si="50">+P77-T77</f>
        <v>30.15</v>
      </c>
      <c r="Y77" s="1"/>
      <c r="Z77" s="5">
        <f t="shared" ref="Z77:Z84" si="51">IF(T77=0,0,X77/T77)</f>
        <v>-1</v>
      </c>
    </row>
    <row r="78" spans="1:26" s="24" customFormat="1" hidden="1" outlineLevel="2" x14ac:dyDescent="0.3">
      <c r="A78" s="27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/>
      <c r="Q78" s="2"/>
      <c r="R78" s="7">
        <f t="shared" si="48"/>
        <v>0</v>
      </c>
      <c r="S78" s="2"/>
      <c r="T78" s="6">
        <v>-30.15</v>
      </c>
      <c r="U78" s="2"/>
      <c r="V78" s="7">
        <f t="shared" si="49"/>
        <v>-2.5211076919371957E-5</v>
      </c>
      <c r="W78" s="2"/>
      <c r="X78" s="6">
        <f t="shared" si="50"/>
        <v>30.15</v>
      </c>
      <c r="Y78" s="2"/>
      <c r="Z78" s="7">
        <f t="shared" si="51"/>
        <v>-1</v>
      </c>
    </row>
    <row r="79" spans="1:26" s="29" customFormat="1" outlineLevel="1" collapsed="1" x14ac:dyDescent="0.3">
      <c r="A79" s="28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SUM(OSRRefD22_7x_0)</f>
        <v>630</v>
      </c>
      <c r="E79" s="1"/>
      <c r="F79" s="5">
        <f t="shared" si="44"/>
        <v>6.8087674444944962E-3</v>
      </c>
      <c r="G79" s="1"/>
      <c r="H79" s="1">
        <f>SUM(OSRRefH22_7x_0)</f>
        <v>1250</v>
      </c>
      <c r="I79" s="1"/>
      <c r="J79" s="5">
        <f t="shared" si="45"/>
        <v>2.0909524154431387E-2</v>
      </c>
      <c r="K79" s="1"/>
      <c r="L79" s="1">
        <f t="shared" si="46"/>
        <v>-620</v>
      </c>
      <c r="M79" s="1"/>
      <c r="N79" s="5">
        <f t="shared" si="47"/>
        <v>-0.496</v>
      </c>
      <c r="O79" s="14"/>
      <c r="P79" s="1">
        <f>SUM(OSRRefP22_7x_0)</f>
        <v>5300</v>
      </c>
      <c r="Q79" s="1"/>
      <c r="R79" s="5">
        <f t="shared" si="48"/>
        <v>6.3617242562955291E-3</v>
      </c>
      <c r="S79" s="1"/>
      <c r="T79" s="1">
        <f>SUM(OSRRefT22_7x_0)</f>
        <v>6250</v>
      </c>
      <c r="U79" s="1"/>
      <c r="V79" s="5">
        <f t="shared" si="49"/>
        <v>5.2261768074983329E-3</v>
      </c>
      <c r="W79" s="1"/>
      <c r="X79" s="1">
        <f t="shared" si="50"/>
        <v>-950</v>
      </c>
      <c r="Y79" s="1"/>
      <c r="Z79" s="5">
        <f t="shared" si="51"/>
        <v>-0.152</v>
      </c>
    </row>
    <row r="80" spans="1:26" s="24" customFormat="1" hidden="1" outlineLevel="2" x14ac:dyDescent="0.3">
      <c r="A80" s="27"/>
      <c r="B80" s="11" t="str">
        <f>CONCATENATE("          ", "6408", " - ", "INVENTORY ADJUSTMENT")</f>
        <v xml:space="preserve">          6408 - INVENTORY ADJUSTMENT</v>
      </c>
      <c r="C80" s="11"/>
      <c r="D80" s="6">
        <v>630</v>
      </c>
      <c r="E80" s="2"/>
      <c r="F80" s="7">
        <f t="shared" si="44"/>
        <v>6.8087674444944962E-3</v>
      </c>
      <c r="G80" s="2"/>
      <c r="H80" s="6">
        <v>1250</v>
      </c>
      <c r="I80" s="2"/>
      <c r="J80" s="7">
        <f t="shared" si="45"/>
        <v>2.0909524154431387E-2</v>
      </c>
      <c r="K80" s="2"/>
      <c r="L80" s="6">
        <f t="shared" si="46"/>
        <v>-620</v>
      </c>
      <c r="M80" s="2"/>
      <c r="N80" s="7">
        <f t="shared" si="47"/>
        <v>-0.496</v>
      </c>
      <c r="O80" s="11"/>
      <c r="P80" s="6">
        <v>5300</v>
      </c>
      <c r="Q80" s="2"/>
      <c r="R80" s="7">
        <f t="shared" si="48"/>
        <v>6.3617242562955291E-3</v>
      </c>
      <c r="S80" s="2"/>
      <c r="T80" s="6">
        <v>6250</v>
      </c>
      <c r="U80" s="2"/>
      <c r="V80" s="7">
        <f t="shared" si="49"/>
        <v>5.2261768074983329E-3</v>
      </c>
      <c r="W80" s="2"/>
      <c r="X80" s="6">
        <f t="shared" si="50"/>
        <v>-950</v>
      </c>
      <c r="Y80" s="2"/>
      <c r="Z80" s="7">
        <f t="shared" si="51"/>
        <v>-0.152</v>
      </c>
    </row>
    <row r="81" spans="1:26" s="29" customFormat="1" outlineLevel="1" collapsed="1" x14ac:dyDescent="0.3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SUM(OSRRefD22_8x_0)</f>
        <v>57.42</v>
      </c>
      <c r="E81" s="1"/>
      <c r="F81" s="5">
        <f t="shared" si="44"/>
        <v>6.2057051851249832E-4</v>
      </c>
      <c r="G81" s="1"/>
      <c r="H81" s="1">
        <f>SUM(OSRRefH22_8x_0)</f>
        <v>176.21</v>
      </c>
      <c r="I81" s="1"/>
      <c r="J81" s="5">
        <f t="shared" si="45"/>
        <v>2.947573801001884E-3</v>
      </c>
      <c r="K81" s="1"/>
      <c r="L81" s="1">
        <f t="shared" si="46"/>
        <v>-118.79</v>
      </c>
      <c r="M81" s="1"/>
      <c r="N81" s="5">
        <f t="shared" si="47"/>
        <v>-0.67413881164519607</v>
      </c>
      <c r="O81" s="14"/>
      <c r="P81" s="1">
        <f>SUM(OSRRefP22_8x_0)</f>
        <v>3276.11</v>
      </c>
      <c r="Q81" s="1"/>
      <c r="R81" s="5">
        <f t="shared" si="48"/>
        <v>3.932397821375915E-3</v>
      </c>
      <c r="S81" s="1"/>
      <c r="T81" s="1">
        <f>SUM(OSRRefT22_8x_0)</f>
        <v>1700.71</v>
      </c>
      <c r="U81" s="1"/>
      <c r="V81" s="5">
        <f t="shared" si="49"/>
        <v>1.4221137853248783E-3</v>
      </c>
      <c r="W81" s="1"/>
      <c r="X81" s="1">
        <f t="shared" si="50"/>
        <v>1575.4</v>
      </c>
      <c r="Y81" s="1"/>
      <c r="Z81" s="5">
        <f t="shared" si="51"/>
        <v>0.92631900794374122</v>
      </c>
    </row>
    <row r="82" spans="1:26" s="24" customFormat="1" hidden="1" outlineLevel="2" x14ac:dyDescent="0.3">
      <c r="A82" s="27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/>
      <c r="Q82" s="2"/>
      <c r="R82" s="7">
        <f t="shared" si="48"/>
        <v>0</v>
      </c>
      <c r="S82" s="2"/>
      <c r="T82" s="6">
        <v>668.12</v>
      </c>
      <c r="U82" s="2"/>
      <c r="V82" s="7">
        <f t="shared" si="49"/>
        <v>5.5867411978012581E-4</v>
      </c>
      <c r="W82" s="2"/>
      <c r="X82" s="6">
        <f t="shared" si="50"/>
        <v>-668.12</v>
      </c>
      <c r="Y82" s="2"/>
      <c r="Z82" s="7">
        <f t="shared" si="51"/>
        <v>-1</v>
      </c>
    </row>
    <row r="83" spans="1:26" s="24" customFormat="1" hidden="1" outlineLevel="2" x14ac:dyDescent="0.3">
      <c r="A83" s="27"/>
      <c r="B83" s="11" t="str">
        <f>CONCATENATE("          ", "6241", " - ", "OFFICE EXPENSE")</f>
        <v xml:space="preserve">          6241 - OFFICE EXPENSE</v>
      </c>
      <c r="C83" s="11"/>
      <c r="D83" s="6">
        <v>57.42</v>
      </c>
      <c r="E83" s="2"/>
      <c r="F83" s="7">
        <f t="shared" si="44"/>
        <v>6.2057051851249832E-4</v>
      </c>
      <c r="G83" s="2"/>
      <c r="H83" s="6">
        <v>176.21</v>
      </c>
      <c r="I83" s="2"/>
      <c r="J83" s="7">
        <f t="shared" si="45"/>
        <v>2.947573801001884E-3</v>
      </c>
      <c r="K83" s="2"/>
      <c r="L83" s="6">
        <f t="shared" si="46"/>
        <v>-118.79</v>
      </c>
      <c r="M83" s="2"/>
      <c r="N83" s="7">
        <f t="shared" si="47"/>
        <v>-0.67413881164519607</v>
      </c>
      <c r="O83" s="11"/>
      <c r="P83" s="6">
        <v>364.11</v>
      </c>
      <c r="Q83" s="2"/>
      <c r="R83" s="7">
        <f t="shared" si="48"/>
        <v>4.3705045640750291E-4</v>
      </c>
      <c r="S83" s="2"/>
      <c r="T83" s="6">
        <v>1032.5899999999999</v>
      </c>
      <c r="U83" s="2"/>
      <c r="V83" s="7">
        <f t="shared" si="49"/>
        <v>8.6343966554475247E-4</v>
      </c>
      <c r="W83" s="2"/>
      <c r="X83" s="6">
        <f t="shared" si="50"/>
        <v>-668.4799999999999</v>
      </c>
      <c r="Y83" s="2"/>
      <c r="Z83" s="7">
        <f t="shared" si="51"/>
        <v>-0.64738182628148633</v>
      </c>
    </row>
    <row r="84" spans="1:26" s="24" customFormat="1" hidden="1" outlineLevel="2" x14ac:dyDescent="0.3">
      <c r="A84" s="27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>
        <v>2912</v>
      </c>
      <c r="Q84" s="2"/>
      <c r="R84" s="7">
        <f t="shared" si="48"/>
        <v>3.4953473649684116E-3</v>
      </c>
      <c r="S84" s="2"/>
      <c r="T84" s="6"/>
      <c r="U84" s="2"/>
      <c r="V84" s="7">
        <f t="shared" si="49"/>
        <v>0</v>
      </c>
      <c r="W84" s="2"/>
      <c r="X84" s="6">
        <f t="shared" si="50"/>
        <v>2912</v>
      </c>
      <c r="Y84" s="2"/>
      <c r="Z84" s="7">
        <f t="shared" si="51"/>
        <v>0</v>
      </c>
    </row>
    <row r="85" spans="1:26" s="29" customFormat="1" outlineLevel="1" collapsed="1" x14ac:dyDescent="0.3">
      <c r="A85" s="28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SUM(OSRRefD22_9x_0)</f>
        <v>205.5</v>
      </c>
      <c r="E85" s="1"/>
      <c r="F85" s="5">
        <f t="shared" ref="F85:F88" si="52">IF(D$12=0,0,D85/D$12)</f>
        <v>2.2209550949898712E-3</v>
      </c>
      <c r="G85" s="1"/>
      <c r="H85" s="1">
        <f>SUM(OSRRefH22_9x_0)</f>
        <v>304.5</v>
      </c>
      <c r="I85" s="1"/>
      <c r="J85" s="5">
        <f t="shared" ref="J85:J88" si="53">IF(H$12=0,0,H85/H$12)</f>
        <v>5.0935600840194863E-3</v>
      </c>
      <c r="K85" s="1"/>
      <c r="L85" s="1">
        <f t="shared" ref="L85:L88" si="54">+D85-H85</f>
        <v>-99</v>
      </c>
      <c r="M85" s="1"/>
      <c r="N85" s="5">
        <f t="shared" ref="N85:N88" si="55">IF(H85=0,0,L85/H85)</f>
        <v>-0.3251231527093596</v>
      </c>
      <c r="O85" s="14"/>
      <c r="P85" s="1">
        <f>SUM(OSRRefP22_9x_0)</f>
        <v>1055.4000000000001</v>
      </c>
      <c r="Q85" s="1"/>
      <c r="R85" s="5">
        <f t="shared" ref="R85:R88" si="56">IF(P$12=0,0,P85/P$12)</f>
        <v>1.2668233547347741E-3</v>
      </c>
      <c r="S85" s="1"/>
      <c r="T85" s="1">
        <f>SUM(OSRRefT22_9x_0)</f>
        <v>1570.35</v>
      </c>
      <c r="U85" s="1"/>
      <c r="V85" s="5">
        <f t="shared" ref="V85:V88" si="57">IF(T$12=0,0,T85/T$12)</f>
        <v>1.313108279944801E-3</v>
      </c>
      <c r="W85" s="1"/>
      <c r="X85" s="1">
        <f t="shared" ref="X85:X88" si="58">+P85-T85</f>
        <v>-514.94999999999982</v>
      </c>
      <c r="Y85" s="1"/>
      <c r="Z85" s="5">
        <f t="shared" ref="Z85:Z88" si="59">IF(T85=0,0,X85/T85)</f>
        <v>-0.32792052727099047</v>
      </c>
    </row>
    <row r="86" spans="1:26" s="24" customFormat="1" hidden="1" outlineLevel="2" x14ac:dyDescent="0.3">
      <c r="A86" s="27"/>
      <c r="B86" s="11" t="str">
        <f>CONCATENATE("          ", "6309", " - ", "TELEPHONE")</f>
        <v xml:space="preserve">          6309 - TELEPHONE</v>
      </c>
      <c r="C86" s="11"/>
      <c r="D86" s="6">
        <v>205.5</v>
      </c>
      <c r="E86" s="2"/>
      <c r="F86" s="7">
        <f t="shared" si="52"/>
        <v>2.2209550949898712E-3</v>
      </c>
      <c r="G86" s="2"/>
      <c r="H86" s="6">
        <v>304.5</v>
      </c>
      <c r="I86" s="2"/>
      <c r="J86" s="7">
        <f t="shared" si="53"/>
        <v>5.0935600840194863E-3</v>
      </c>
      <c r="K86" s="2"/>
      <c r="L86" s="6">
        <f t="shared" si="54"/>
        <v>-99</v>
      </c>
      <c r="M86" s="2"/>
      <c r="N86" s="7">
        <f t="shared" si="55"/>
        <v>-0.3251231527093596</v>
      </c>
      <c r="O86" s="11"/>
      <c r="P86" s="6">
        <v>1055.4000000000001</v>
      </c>
      <c r="Q86" s="2"/>
      <c r="R86" s="7">
        <f t="shared" si="56"/>
        <v>1.2668233547347741E-3</v>
      </c>
      <c r="S86" s="2"/>
      <c r="T86" s="6">
        <v>1570.35</v>
      </c>
      <c r="U86" s="2"/>
      <c r="V86" s="7">
        <f t="shared" si="57"/>
        <v>1.313108279944801E-3</v>
      </c>
      <c r="W86" s="2"/>
      <c r="X86" s="6">
        <f t="shared" si="58"/>
        <v>-514.94999999999982</v>
      </c>
      <c r="Y86" s="2"/>
      <c r="Z86" s="7">
        <f t="shared" si="59"/>
        <v>-0.32792052727099047</v>
      </c>
    </row>
    <row r="87" spans="1:26" s="29" customFormat="1" outlineLevel="1" collapsed="1" x14ac:dyDescent="0.3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SUM(OSRRefD22_10x_0)</f>
        <v>0</v>
      </c>
      <c r="E87" s="1"/>
      <c r="F87" s="5">
        <f t="shared" si="52"/>
        <v>0</v>
      </c>
      <c r="G87" s="1"/>
      <c r="H87" s="1">
        <f>SUM(OSRRefH22_10x_0)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SUM(OSRRefP22_10x_0)</f>
        <v>0</v>
      </c>
      <c r="Q87" s="1"/>
      <c r="R87" s="5">
        <f t="shared" si="56"/>
        <v>0</v>
      </c>
      <c r="S87" s="1"/>
      <c r="T87" s="1">
        <f>SUM(OSRRefT22_10x_0)</f>
        <v>100</v>
      </c>
      <c r="U87" s="1"/>
      <c r="V87" s="5">
        <f t="shared" si="57"/>
        <v>8.3618828919973322E-5</v>
      </c>
      <c r="W87" s="1"/>
      <c r="X87" s="1">
        <f t="shared" si="58"/>
        <v>-100</v>
      </c>
      <c r="Y87" s="1"/>
      <c r="Z87" s="5">
        <f t="shared" si="59"/>
        <v>-1</v>
      </c>
    </row>
    <row r="88" spans="1:26" s="24" customFormat="1" hidden="1" outlineLevel="2" x14ac:dyDescent="0.3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/>
      <c r="Q88" s="2"/>
      <c r="R88" s="7">
        <f t="shared" si="56"/>
        <v>0</v>
      </c>
      <c r="S88" s="2"/>
      <c r="T88" s="6">
        <v>100</v>
      </c>
      <c r="U88" s="2"/>
      <c r="V88" s="7">
        <f t="shared" si="57"/>
        <v>8.3618828919973322E-5</v>
      </c>
      <c r="W88" s="2"/>
      <c r="X88" s="6">
        <f t="shared" si="58"/>
        <v>-100</v>
      </c>
      <c r="Y88" s="2"/>
      <c r="Z88" s="7">
        <f t="shared" si="59"/>
        <v>-1</v>
      </c>
    </row>
    <row r="89" spans="1:26" s="62" customFormat="1" x14ac:dyDescent="0.3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3">
      <c r="A90" s="10"/>
      <c r="B90" s="26" t="s">
        <v>292</v>
      </c>
      <c r="C90" s="10"/>
      <c r="D90" s="4">
        <f>SUM(OSRRefD25x_0)</f>
        <v>-88.839999999999989</v>
      </c>
      <c r="E90" s="4"/>
      <c r="F90" s="12">
        <f t="shared" ref="F90:F93" si="60">IF(D$12=0,0,D90/D$12)</f>
        <v>-9.6014428534744599E-4</v>
      </c>
      <c r="G90" s="4"/>
      <c r="H90" s="4">
        <f>SUM(OSRRefH25x_0)</f>
        <v>-368.13</v>
      </c>
      <c r="I90" s="4"/>
      <c r="J90" s="12">
        <f t="shared" ref="J90:J93" si="61">IF(H$12=0,0,H90/H$12)</f>
        <v>-6.1579385015766612E-3</v>
      </c>
      <c r="K90" s="4"/>
      <c r="L90" s="4">
        <f t="shared" ref="L90:L93" si="62">+D90-H90</f>
        <v>279.29000000000002</v>
      </c>
      <c r="M90" s="4"/>
      <c r="N90" s="12">
        <f t="shared" ref="N90:N93" si="63">IF(H90=0,0,L90/H90)</f>
        <v>-0.75867220818732517</v>
      </c>
      <c r="O90" s="10"/>
      <c r="P90" s="4">
        <f>SUM(OSRRefP25x_0)</f>
        <v>1718.4099999999999</v>
      </c>
      <c r="Q90" s="4"/>
      <c r="R90" s="12">
        <f t="shared" ref="R90:R93" si="64">IF(P$12=0,0,P90/P$12)</f>
        <v>2.0626510526907168E-3</v>
      </c>
      <c r="S90" s="4"/>
      <c r="T90" s="4">
        <f>SUM(OSRRefT25x_0)</f>
        <v>755.11</v>
      </c>
      <c r="U90" s="4"/>
      <c r="V90" s="12">
        <f t="shared" ref="V90:V93" si="65">IF(T$12=0,0,T90/T$12)</f>
        <v>6.3141413905761054E-4</v>
      </c>
      <c r="W90" s="4"/>
      <c r="X90" s="4">
        <f t="shared" ref="X90:X93" si="66">+P90-T90</f>
        <v>963.29999999999984</v>
      </c>
      <c r="Y90" s="4"/>
      <c r="Z90" s="12">
        <f t="shared" ref="Z90:Z93" si="67">IF(T90=0,0,X90/T90)</f>
        <v>1.2757081749678851</v>
      </c>
    </row>
    <row r="91" spans="1:26" s="24" customFormat="1" hidden="1" outlineLevel="1" x14ac:dyDescent="0.3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0</f>
        <v>0</v>
      </c>
      <c r="E91" s="2"/>
      <c r="F91" s="19">
        <f t="shared" si="60"/>
        <v>0</v>
      </c>
      <c r="G91" s="2"/>
      <c r="H91" s="2">
        <f>-374.75</f>
        <v>-374.75</v>
      </c>
      <c r="I91" s="2"/>
      <c r="J91" s="19">
        <f t="shared" si="61"/>
        <v>-6.2686753414985304E-3</v>
      </c>
      <c r="K91" s="2"/>
      <c r="L91" s="2">
        <f t="shared" si="62"/>
        <v>374.75</v>
      </c>
      <c r="M91" s="2"/>
      <c r="N91" s="19">
        <f t="shared" si="63"/>
        <v>-1</v>
      </c>
      <c r="O91" s="11"/>
      <c r="P91" s="2">
        <f>0</f>
        <v>0</v>
      </c>
      <c r="Q91" s="2"/>
      <c r="R91" s="19">
        <f t="shared" si="64"/>
        <v>0</v>
      </c>
      <c r="S91" s="2"/>
      <c r="T91" s="2">
        <f>--563.21</f>
        <v>563.21</v>
      </c>
      <c r="U91" s="2"/>
      <c r="V91" s="19">
        <f t="shared" si="65"/>
        <v>4.7094960636018181E-4</v>
      </c>
      <c r="W91" s="2"/>
      <c r="X91" s="2">
        <f t="shared" si="66"/>
        <v>-563.21</v>
      </c>
      <c r="Y91" s="2"/>
      <c r="Z91" s="19">
        <f t="shared" si="67"/>
        <v>-1</v>
      </c>
    </row>
    <row r="92" spans="1:26" s="24" customFormat="1" hidden="1" outlineLevel="1" x14ac:dyDescent="0.3">
      <c r="A92" s="44"/>
      <c r="B92" s="11" t="str">
        <f>CONCATENATE("          ", "9087", " - ", "")</f>
        <v xml:space="preserve">          9087 - </v>
      </c>
      <c r="C92" s="11"/>
      <c r="D92" s="2">
        <f>--74.01</f>
        <v>74.010000000000005</v>
      </c>
      <c r="E92" s="2"/>
      <c r="F92" s="19">
        <f t="shared" si="60"/>
        <v>7.9986806121752011E-4</v>
      </c>
      <c r="G92" s="2"/>
      <c r="H92" s="2">
        <f>0</f>
        <v>0</v>
      </c>
      <c r="I92" s="2"/>
      <c r="J92" s="19">
        <f t="shared" si="61"/>
        <v>0</v>
      </c>
      <c r="K92" s="2"/>
      <c r="L92" s="2">
        <f t="shared" si="62"/>
        <v>74.010000000000005</v>
      </c>
      <c r="M92" s="2"/>
      <c r="N92" s="19">
        <f t="shared" si="63"/>
        <v>0</v>
      </c>
      <c r="O92" s="11"/>
      <c r="P92" s="2">
        <f>-392.38</f>
        <v>-392.38</v>
      </c>
      <c r="Q92" s="2"/>
      <c r="R92" s="19">
        <f t="shared" si="64"/>
        <v>-4.7098365352551697E-4</v>
      </c>
      <c r="S92" s="2"/>
      <c r="T92" s="2">
        <f>0</f>
        <v>0</v>
      </c>
      <c r="U92" s="2"/>
      <c r="V92" s="19">
        <f t="shared" si="65"/>
        <v>0</v>
      </c>
      <c r="W92" s="2"/>
      <c r="X92" s="2">
        <f t="shared" si="66"/>
        <v>-392.38</v>
      </c>
      <c r="Y92" s="2"/>
      <c r="Z92" s="19">
        <f t="shared" si="67"/>
        <v>0</v>
      </c>
    </row>
    <row r="93" spans="1:26" s="24" customFormat="1" hidden="1" outlineLevel="1" x14ac:dyDescent="0.3">
      <c r="A93" s="44"/>
      <c r="B93" s="11" t="str">
        <f>CONCATENATE("          ", "9150", " - ", "MISC. INCOME")</f>
        <v xml:space="preserve">          9150 - MISC. INCOME</v>
      </c>
      <c r="C93" s="11"/>
      <c r="D93" s="2">
        <f>-162.85</f>
        <v>-162.85</v>
      </c>
      <c r="E93" s="2"/>
      <c r="F93" s="19">
        <f t="shared" si="60"/>
        <v>-1.760012346564966E-3</v>
      </c>
      <c r="G93" s="2"/>
      <c r="H93" s="2">
        <f>--6.62</f>
        <v>6.62</v>
      </c>
      <c r="I93" s="2"/>
      <c r="J93" s="19">
        <f t="shared" si="61"/>
        <v>1.1073683992186863E-4</v>
      </c>
      <c r="K93" s="2"/>
      <c r="L93" s="2">
        <f t="shared" si="62"/>
        <v>-169.47</v>
      </c>
      <c r="M93" s="2"/>
      <c r="N93" s="19">
        <f t="shared" si="63"/>
        <v>-25.599697885196374</v>
      </c>
      <c r="O93" s="11"/>
      <c r="P93" s="2">
        <f>--2110.79</f>
        <v>2110.79</v>
      </c>
      <c r="Q93" s="2"/>
      <c r="R93" s="19">
        <f t="shared" si="64"/>
        <v>2.5336347062162342E-3</v>
      </c>
      <c r="S93" s="2"/>
      <c r="T93" s="2">
        <f>--191.9</f>
        <v>191.9</v>
      </c>
      <c r="U93" s="2"/>
      <c r="V93" s="19">
        <f t="shared" si="65"/>
        <v>1.6046453269742881E-4</v>
      </c>
      <c r="W93" s="2"/>
      <c r="X93" s="2">
        <f t="shared" si="66"/>
        <v>1918.8899999999999</v>
      </c>
      <c r="Y93" s="2"/>
      <c r="Z93" s="19">
        <f t="shared" si="67"/>
        <v>9.9994267847837399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10"/>
      <c r="B95" s="25" t="s">
        <v>276</v>
      </c>
      <c r="C95" s="25"/>
      <c r="D95" s="21">
        <f>+D49-D51+D90</f>
        <v>-3242.8400000000056</v>
      </c>
      <c r="E95" s="13"/>
      <c r="F95" s="22">
        <f>IF(D$12=0,0,D95/D$12)</f>
        <v>-3.5047211777308837E-2</v>
      </c>
      <c r="G95" s="13"/>
      <c r="H95" s="21">
        <f>+H49-H51+H90</f>
        <v>-13429.509999999993</v>
      </c>
      <c r="I95" s="13"/>
      <c r="J95" s="22">
        <f>IF(H$12=0,0,H95/H$12)</f>
        <v>-0.22464373098174217</v>
      </c>
      <c r="K95" s="16"/>
      <c r="L95" s="21">
        <f>+D95-H95</f>
        <v>10186.669999999987</v>
      </c>
      <c r="M95" s="16"/>
      <c r="N95" s="22">
        <f>IF(H95=0,0,L95/H95)</f>
        <v>-0.75852879218973679</v>
      </c>
      <c r="O95" s="26"/>
      <c r="P95" s="21">
        <f>+P49-P51+P90</f>
        <v>60384.629999999888</v>
      </c>
      <c r="Q95" s="13"/>
      <c r="R95" s="22">
        <f>IF(P$12=0,0,P95/P$12)</f>
        <v>7.2481201014798116E-2</v>
      </c>
      <c r="S95" s="13"/>
      <c r="T95" s="21">
        <f>+T49-T51+T90</f>
        <v>-11364.52999999946</v>
      </c>
      <c r="U95" s="13"/>
      <c r="V95" s="22">
        <f>IF(T$12=0,0,T95/T$12)</f>
        <v>-9.5028868982585928E-3</v>
      </c>
      <c r="W95" s="16"/>
      <c r="X95" s="21">
        <f>+P95-T95</f>
        <v>71749.159999999349</v>
      </c>
      <c r="Y95" s="16"/>
      <c r="Z95" s="22">
        <f>IF(T95=0,0,X95/T95)</f>
        <v>-6.3134295918971359</v>
      </c>
    </row>
    <row r="96" spans="1:26" x14ac:dyDescent="0.3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51"/>
      <c r="B97" s="10" t="s">
        <v>127</v>
      </c>
      <c r="C97" s="10"/>
      <c r="D97" s="4">
        <v>13627.98</v>
      </c>
      <c r="E97" s="4"/>
      <c r="F97" s="12">
        <f>IF(D$12=0,0,D97/D$12)</f>
        <v>0.14728531199717793</v>
      </c>
      <c r="G97" s="4"/>
      <c r="H97" s="4">
        <v>-56079.39</v>
      </c>
      <c r="I97" s="4"/>
      <c r="J97" s="12">
        <f>IF(H$12=0,0,H97/H$12)</f>
        <v>-0.9380746878166224</v>
      </c>
      <c r="K97" s="4"/>
      <c r="L97" s="4">
        <f>+D97-H97</f>
        <v>69707.37</v>
      </c>
      <c r="M97" s="4"/>
      <c r="N97" s="12">
        <f>IF(H97=0,0,L97/H97)</f>
        <v>-1.2430122724230772</v>
      </c>
      <c r="O97" s="10"/>
      <c r="P97" s="4">
        <v>99232.88</v>
      </c>
      <c r="Q97" s="4"/>
      <c r="R97" s="12">
        <f>IF(P$12=0,0,P97/P$12)</f>
        <v>0.11911173956944596</v>
      </c>
      <c r="S97" s="4"/>
      <c r="T97" s="4">
        <v>190029</v>
      </c>
      <c r="U97" s="4"/>
      <c r="V97" s="12">
        <f>IF(T$12=0,0,T97/T$12)</f>
        <v>0.15890002440833612</v>
      </c>
      <c r="W97" s="4"/>
      <c r="X97" s="4">
        <f>+P97-T97</f>
        <v>-90796.12</v>
      </c>
      <c r="Y97" s="4"/>
      <c r="Z97" s="12">
        <f>IF(T97=0,0,X97/T97)</f>
        <v>-0.47780138820916807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5" t="s">
        <v>125</v>
      </c>
      <c r="C99" s="25"/>
      <c r="D99" s="35">
        <f>+D95-D97</f>
        <v>-16870.820000000007</v>
      </c>
      <c r="E99" s="13"/>
      <c r="F99" s="31">
        <f>IF(D$12=0,0,D99/D$12)</f>
        <v>-0.1823325237744868</v>
      </c>
      <c r="G99" s="13"/>
      <c r="H99" s="35">
        <f>+H95-H97</f>
        <v>42649.880000000005</v>
      </c>
      <c r="I99" s="13"/>
      <c r="J99" s="31">
        <f>IF(H$12=0,0,H99/H$12)</f>
        <v>0.71343095683488023</v>
      </c>
      <c r="K99" s="16"/>
      <c r="L99" s="35">
        <f>D99-H99</f>
        <v>-59520.700000000012</v>
      </c>
      <c r="M99" s="16"/>
      <c r="N99" s="31">
        <f>IF(H99=0,0,L99/H99)</f>
        <v>-1.3955654740411931</v>
      </c>
      <c r="O99" s="26"/>
      <c r="P99" s="35">
        <f>+P95-P97</f>
        <v>-38848.250000000116</v>
      </c>
      <c r="Q99" s="13"/>
      <c r="R99" s="31">
        <f>IF(P$12=0,0,P99/P$12)</f>
        <v>-4.6630538554647841E-2</v>
      </c>
      <c r="S99" s="13"/>
      <c r="T99" s="35">
        <f>+T95-T97</f>
        <v>-201393.52999999945</v>
      </c>
      <c r="U99" s="13"/>
      <c r="V99" s="31">
        <f>IF(T$12=0,0,T99/T$12)</f>
        <v>-0.16840291130659468</v>
      </c>
      <c r="W99" s="16"/>
      <c r="X99" s="35">
        <f>P99-T99</f>
        <v>162545.27999999933</v>
      </c>
      <c r="Y99" s="16"/>
      <c r="Z99" s="31">
        <f>IF(T99=0,0,X99/T99)</f>
        <v>-0.80710279024355835</v>
      </c>
    </row>
    <row r="100" spans="1:26" ht="15" thickTop="1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5" t="s">
        <v>293</v>
      </c>
      <c r="C102" s="25"/>
      <c r="D102" s="36">
        <f>SUM(D99:D101)</f>
        <v>-16870.820000000007</v>
      </c>
      <c r="E102" s="13"/>
      <c r="F102" s="33">
        <f>IF(D$12=0,0,D102/D$12)</f>
        <v>-0.1823325237744868</v>
      </c>
      <c r="G102" s="13"/>
      <c r="H102" s="36">
        <f>SUM(H99:H101)</f>
        <v>42649.880000000005</v>
      </c>
      <c r="I102" s="13"/>
      <c r="J102" s="33">
        <f>IF(H$12=0,0,H102/H$12)</f>
        <v>0.71343095683488023</v>
      </c>
      <c r="K102" s="16"/>
      <c r="L102" s="36">
        <f>+D102-H102</f>
        <v>-59520.700000000012</v>
      </c>
      <c r="M102" s="16"/>
      <c r="N102" s="33">
        <f>IF(H102=0,0,L102/H102)</f>
        <v>-1.3955654740411931</v>
      </c>
      <c r="O102" s="26"/>
      <c r="P102" s="36">
        <f>SUM(P99:P101)</f>
        <v>-38848.250000000116</v>
      </c>
      <c r="Q102" s="13"/>
      <c r="R102" s="33">
        <f>IF(P$12=0,0,P102/P$12)</f>
        <v>-4.6630538554647841E-2</v>
      </c>
      <c r="S102" s="13"/>
      <c r="T102" s="36">
        <f>SUM(T99:T101)</f>
        <v>-201393.52999999945</v>
      </c>
      <c r="U102" s="13"/>
      <c r="V102" s="33">
        <f>IF(T$12=0,0,T102/T$12)</f>
        <v>-0.16840291130659468</v>
      </c>
      <c r="W102" s="16"/>
      <c r="X102" s="36">
        <f>+P102-T102</f>
        <v>162545.27999999933</v>
      </c>
      <c r="Y102" s="16"/>
      <c r="Z102" s="33">
        <f>IF(T102=0,0,X102/T102)</f>
        <v>-0.80710279024355835</v>
      </c>
    </row>
    <row r="103" spans="1:26" ht="15" thickTop="1" x14ac:dyDescent="0.3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A104" s="9"/>
      <c r="B104" s="52">
        <v>44543.765581863423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9" t="s">
        <v>56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61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92D050"/>
    <outlinePr summaryBelow="0" summaryRight="0"/>
  </sheetPr>
  <dimension ref="A2:Z10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","317", " - ", "Computer Store")</f>
        <v>Department 317 - Computer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92527.76</v>
      </c>
      <c r="E12" s="4"/>
      <c r="F12" s="12"/>
      <c r="G12" s="4"/>
      <c r="H12" s="4">
        <f>SUM(OSRRefH13x_0)</f>
        <v>59781.37</v>
      </c>
      <c r="I12" s="4"/>
      <c r="J12" s="12"/>
      <c r="K12" s="4"/>
      <c r="L12" s="4">
        <f t="shared" ref="L12:L33" si="0">+D12-H12</f>
        <v>32746.389999999992</v>
      </c>
      <c r="M12" s="4"/>
      <c r="N12" s="12">
        <f t="shared" ref="N12:N33" si="1">IF(H12=0,0,L12/H12)</f>
        <v>0.54776914614034422</v>
      </c>
      <c r="O12" s="10"/>
      <c r="P12" s="4">
        <f>SUM(OSRRefP13x_0)</f>
        <v>833107.47</v>
      </c>
      <c r="Q12" s="4"/>
      <c r="R12" s="12"/>
      <c r="S12" s="4"/>
      <c r="T12" s="4">
        <f>SUM(OSRRefT13x_0)</f>
        <v>1195902.9000000004</v>
      </c>
      <c r="U12" s="4"/>
      <c r="V12" s="12"/>
      <c r="W12" s="4"/>
      <c r="X12" s="4">
        <f t="shared" ref="X12:X33" si="2">+P12-T12</f>
        <v>-362795.4300000004</v>
      </c>
      <c r="Y12" s="4"/>
      <c r="Z12" s="12">
        <f t="shared" ref="Z12:Z33" si="3">IF(T12=0,0,X12/T12)</f>
        <v>-0.30336528994118189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--101601.44</f>
        <v>101601.44</v>
      </c>
      <c r="E13" s="2"/>
      <c r="F13" s="19"/>
      <c r="G13" s="2"/>
      <c r="H13" s="2">
        <f>-142.02</f>
        <v>-142.02000000000001</v>
      </c>
      <c r="I13" s="2"/>
      <c r="J13" s="19"/>
      <c r="K13" s="2"/>
      <c r="L13" s="2">
        <f t="shared" si="0"/>
        <v>101743.46</v>
      </c>
      <c r="M13" s="2"/>
      <c r="N13" s="19">
        <f t="shared" si="1"/>
        <v>-716.40233769891563</v>
      </c>
      <c r="O13" s="11"/>
      <c r="P13" s="2">
        <f>--684111.95</f>
        <v>684111.95</v>
      </c>
      <c r="Q13" s="2"/>
      <c r="R13" s="19"/>
      <c r="S13" s="2"/>
      <c r="T13" s="2">
        <f>-2044.11</f>
        <v>-2044.11</v>
      </c>
      <c r="U13" s="2"/>
      <c r="V13" s="19"/>
      <c r="W13" s="2"/>
      <c r="X13" s="2">
        <f t="shared" si="2"/>
        <v>686156.05999999994</v>
      </c>
      <c r="Y13" s="2"/>
      <c r="Z13" s="19">
        <f t="shared" si="3"/>
        <v>-335.6747239629961</v>
      </c>
    </row>
    <row r="14" spans="1:26" s="24" customFormat="1" hidden="1" outlineLevel="1" x14ac:dyDescent="0.3">
      <c r="A14" s="44"/>
      <c r="B14" s="11" t="str">
        <f>CONCATENATE("          ", "4081", " - ", "TAXABLE SALES-ELECTRONICS")</f>
        <v xml:space="preserve">          4081 - TAXABLE SALES-ELECTRONICS</v>
      </c>
      <c r="C14" s="11"/>
      <c r="D14" s="2">
        <f t="shared" ref="D14:D18" si="4">0</f>
        <v>0</v>
      </c>
      <c r="E14" s="2"/>
      <c r="F14" s="19"/>
      <c r="G14" s="2"/>
      <c r="H14" s="2">
        <f>--973.93</f>
        <v>973.93</v>
      </c>
      <c r="I14" s="2"/>
      <c r="J14" s="19"/>
      <c r="K14" s="2"/>
      <c r="L14" s="2">
        <f t="shared" si="0"/>
        <v>-973.93</v>
      </c>
      <c r="M14" s="2"/>
      <c r="N14" s="19">
        <f t="shared" si="1"/>
        <v>-1</v>
      </c>
      <c r="O14" s="11"/>
      <c r="P14" s="2">
        <f t="shared" ref="P14:P18" si="5">0</f>
        <v>0</v>
      </c>
      <c r="Q14" s="2"/>
      <c r="R14" s="19"/>
      <c r="S14" s="2"/>
      <c r="T14" s="2">
        <f>--56019.27</f>
        <v>56019.27</v>
      </c>
      <c r="U14" s="2"/>
      <c r="V14" s="19"/>
      <c r="W14" s="2"/>
      <c r="X14" s="2">
        <f t="shared" si="2"/>
        <v>-56019.27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"4082", " - ", "TAXABLE SALES-COMPUTER HARDWAR")</f>
        <v xml:space="preserve">          4082 - TAXABLE SALES-COMPUTER HARDWAR</v>
      </c>
      <c r="C15" s="11"/>
      <c r="D15" s="2">
        <f t="shared" si="4"/>
        <v>0</v>
      </c>
      <c r="E15" s="2"/>
      <c r="F15" s="19"/>
      <c r="G15" s="2"/>
      <c r="H15" s="2">
        <f>--57494.9</f>
        <v>57494.9</v>
      </c>
      <c r="I15" s="2"/>
      <c r="J15" s="19"/>
      <c r="K15" s="2"/>
      <c r="L15" s="2">
        <f t="shared" si="0"/>
        <v>-57494.9</v>
      </c>
      <c r="M15" s="2"/>
      <c r="N15" s="19">
        <f t="shared" si="1"/>
        <v>-1</v>
      </c>
      <c r="O15" s="11"/>
      <c r="P15" s="2">
        <f t="shared" si="5"/>
        <v>0</v>
      </c>
      <c r="Q15" s="2"/>
      <c r="R15" s="19"/>
      <c r="S15" s="2"/>
      <c r="T15" s="2">
        <f>--949594.89</f>
        <v>949594.89</v>
      </c>
      <c r="U15" s="2"/>
      <c r="V15" s="19"/>
      <c r="W15" s="2"/>
      <c r="X15" s="2">
        <f t="shared" si="2"/>
        <v>-949594.89</v>
      </c>
      <c r="Y15" s="2"/>
      <c r="Z15" s="19">
        <f t="shared" si="3"/>
        <v>-1</v>
      </c>
    </row>
    <row r="16" spans="1:26" s="24" customFormat="1" hidden="1" outlineLevel="1" x14ac:dyDescent="0.3">
      <c r="A16" s="44"/>
      <c r="B16" s="11" t="str">
        <f>CONCATENATE("          ", "4083", " - ", "TAXABLE SALES-COMPUTER EQUIPME")</f>
        <v xml:space="preserve">          4083 - TAXABLE SALES-COMPUTER EQUIPME</v>
      </c>
      <c r="C16" s="11"/>
      <c r="D16" s="2">
        <f t="shared" si="4"/>
        <v>0</v>
      </c>
      <c r="E16" s="2"/>
      <c r="F16" s="19"/>
      <c r="G16" s="2"/>
      <c r="H16" s="2">
        <f>--4805.85</f>
        <v>4805.8500000000004</v>
      </c>
      <c r="I16" s="2"/>
      <c r="J16" s="19"/>
      <c r="K16" s="2"/>
      <c r="L16" s="2">
        <f t="shared" si="0"/>
        <v>-4805.8500000000004</v>
      </c>
      <c r="M16" s="2"/>
      <c r="N16" s="19">
        <f t="shared" si="1"/>
        <v>-1</v>
      </c>
      <c r="O16" s="11"/>
      <c r="P16" s="2">
        <f t="shared" si="5"/>
        <v>0</v>
      </c>
      <c r="Q16" s="2"/>
      <c r="R16" s="19"/>
      <c r="S16" s="2"/>
      <c r="T16" s="2">
        <f>--76850.95</f>
        <v>76850.95</v>
      </c>
      <c r="U16" s="2"/>
      <c r="V16" s="19"/>
      <c r="W16" s="2"/>
      <c r="X16" s="2">
        <f t="shared" si="2"/>
        <v>-76850.95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"4085", " - ", "TAXABLE SALES-SOFTWARE")</f>
        <v xml:space="preserve">          4085 - TAXABLE SALES-SOFTWARE</v>
      </c>
      <c r="C17" s="11"/>
      <c r="D17" s="2">
        <f t="shared" si="4"/>
        <v>0</v>
      </c>
      <c r="E17" s="2"/>
      <c r="F17" s="19"/>
      <c r="G17" s="2"/>
      <c r="H17" s="2">
        <f>--378.99</f>
        <v>378.99</v>
      </c>
      <c r="I17" s="2"/>
      <c r="J17" s="19"/>
      <c r="K17" s="2"/>
      <c r="L17" s="2">
        <f t="shared" si="0"/>
        <v>-378.99</v>
      </c>
      <c r="M17" s="2"/>
      <c r="N17" s="19">
        <f t="shared" si="1"/>
        <v>-1</v>
      </c>
      <c r="O17" s="11"/>
      <c r="P17" s="2">
        <f t="shared" si="5"/>
        <v>0</v>
      </c>
      <c r="Q17" s="2"/>
      <c r="R17" s="19"/>
      <c r="S17" s="2"/>
      <c r="T17" s="2">
        <f>--1499.95</f>
        <v>1499.95</v>
      </c>
      <c r="U17" s="2"/>
      <c r="V17" s="19"/>
      <c r="W17" s="2"/>
      <c r="X17" s="2">
        <f t="shared" si="2"/>
        <v>-1499.95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"4086", " - ", "TAXABLE SALES-COMPUTER SUPPLIE")</f>
        <v xml:space="preserve">          4086 - TAXABLE SALES-COMPUTER SUPPLIE</v>
      </c>
      <c r="C18" s="11"/>
      <c r="D18" s="2">
        <f t="shared" si="4"/>
        <v>0</v>
      </c>
      <c r="E18" s="2"/>
      <c r="F18" s="19"/>
      <c r="G18" s="2"/>
      <c r="H18" s="2">
        <f>--260.94</f>
        <v>260.94</v>
      </c>
      <c r="I18" s="2"/>
      <c r="J18" s="19"/>
      <c r="K18" s="2"/>
      <c r="L18" s="2">
        <f t="shared" si="0"/>
        <v>-260.94</v>
      </c>
      <c r="M18" s="2"/>
      <c r="N18" s="19">
        <f t="shared" si="1"/>
        <v>-1</v>
      </c>
      <c r="O18" s="11"/>
      <c r="P18" s="2">
        <f t="shared" si="5"/>
        <v>0</v>
      </c>
      <c r="Q18" s="2"/>
      <c r="R18" s="19"/>
      <c r="S18" s="2"/>
      <c r="T18" s="2">
        <f>--29627.6</f>
        <v>29627.599999999999</v>
      </c>
      <c r="U18" s="2"/>
      <c r="V18" s="19"/>
      <c r="W18" s="2"/>
      <c r="X18" s="2">
        <f t="shared" si="2"/>
        <v>-29627.599999999999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"4100", " - ", "NON-TAXABLE SALES")</f>
        <v xml:space="preserve">          4100 - NON-TAXABLE SALES</v>
      </c>
      <c r="C19" s="11"/>
      <c r="D19" s="2">
        <f>--34580</f>
        <v>34580</v>
      </c>
      <c r="E19" s="2"/>
      <c r="F19" s="19"/>
      <c r="G19" s="2"/>
      <c r="H19" s="2">
        <f>0</f>
        <v>0</v>
      </c>
      <c r="I19" s="2"/>
      <c r="J19" s="19"/>
      <c r="K19" s="2"/>
      <c r="L19" s="2">
        <f t="shared" si="0"/>
        <v>34580</v>
      </c>
      <c r="M19" s="2"/>
      <c r="N19" s="19">
        <f t="shared" si="1"/>
        <v>0</v>
      </c>
      <c r="O19" s="11"/>
      <c r="P19" s="2">
        <f>--301761.89</f>
        <v>301761.89</v>
      </c>
      <c r="Q19" s="2"/>
      <c r="R19" s="19"/>
      <c r="S19" s="2"/>
      <c r="T19" s="2">
        <f>0</f>
        <v>0</v>
      </c>
      <c r="U19" s="2"/>
      <c r="V19" s="19"/>
      <c r="W19" s="2"/>
      <c r="X19" s="2">
        <f t="shared" si="2"/>
        <v>301761.89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"4181", " - ", "NON-TAXABLE SALES-ELECTRONICS")</f>
        <v xml:space="preserve">          4181 - NON-TAXABLE SALES-ELECTRONICS</v>
      </c>
      <c r="C20" s="11"/>
      <c r="D20" s="2">
        <f t="shared" ref="D20:D24" si="6">0</f>
        <v>0</v>
      </c>
      <c r="E20" s="2"/>
      <c r="F20" s="19"/>
      <c r="G20" s="2"/>
      <c r="H20" s="2">
        <f>--29.99</f>
        <v>29.99</v>
      </c>
      <c r="I20" s="2"/>
      <c r="J20" s="19"/>
      <c r="K20" s="2"/>
      <c r="L20" s="2">
        <f t="shared" si="0"/>
        <v>-29.99</v>
      </c>
      <c r="M20" s="2"/>
      <c r="N20" s="19">
        <f t="shared" si="1"/>
        <v>-1</v>
      </c>
      <c r="O20" s="11"/>
      <c r="P20" s="2">
        <f t="shared" ref="P20:P24" si="7">0</f>
        <v>0</v>
      </c>
      <c r="Q20" s="2"/>
      <c r="R20" s="19"/>
      <c r="S20" s="2"/>
      <c r="T20" s="2">
        <f>--3534.12</f>
        <v>3534.12</v>
      </c>
      <c r="U20" s="2"/>
      <c r="V20" s="19"/>
      <c r="W20" s="2"/>
      <c r="X20" s="2">
        <f t="shared" si="2"/>
        <v>-3534.12</v>
      </c>
      <c r="Y20" s="2"/>
      <c r="Z20" s="19">
        <f t="shared" si="3"/>
        <v>-1</v>
      </c>
    </row>
    <row r="21" spans="1:26" s="24" customFormat="1" hidden="1" outlineLevel="1" x14ac:dyDescent="0.3">
      <c r="A21" s="44"/>
      <c r="B21" s="11" t="str">
        <f>CONCATENATE("          ", "4182", " - ", "NON-TAXABLE SALES-COMPUTER HAR")</f>
        <v xml:space="preserve">          4182 - NON-TAXABLE SALES-COMPUTER HAR</v>
      </c>
      <c r="C21" s="11"/>
      <c r="D21" s="2">
        <f t="shared" si="6"/>
        <v>0</v>
      </c>
      <c r="E21" s="2"/>
      <c r="F21" s="19"/>
      <c r="G21" s="2"/>
      <c r="H21" s="2">
        <f>--9499.97</f>
        <v>9499.9699999999993</v>
      </c>
      <c r="I21" s="2"/>
      <c r="J21" s="19"/>
      <c r="K21" s="2"/>
      <c r="L21" s="2">
        <f t="shared" si="0"/>
        <v>-9499.9699999999993</v>
      </c>
      <c r="M21" s="2"/>
      <c r="N21" s="19">
        <f t="shared" si="1"/>
        <v>-1</v>
      </c>
      <c r="O21" s="11"/>
      <c r="P21" s="2">
        <f t="shared" si="7"/>
        <v>0</v>
      </c>
      <c r="Q21" s="2"/>
      <c r="R21" s="19"/>
      <c r="S21" s="2"/>
      <c r="T21" s="2">
        <f>--154794.35</f>
        <v>154794.35</v>
      </c>
      <c r="U21" s="2"/>
      <c r="V21" s="19"/>
      <c r="W21" s="2"/>
      <c r="X21" s="2">
        <f t="shared" si="2"/>
        <v>-154794.35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"4183", " - ", "NON-TAXABLE SALES-COMPUTER EQU")</f>
        <v xml:space="preserve">          4183 - NON-TAXABLE SALES-COMPUTER EQU</v>
      </c>
      <c r="C22" s="11"/>
      <c r="D22" s="2">
        <f t="shared" si="6"/>
        <v>0</v>
      </c>
      <c r="E22" s="2"/>
      <c r="F22" s="19"/>
      <c r="G22" s="2"/>
      <c r="H22" s="2">
        <f>--1033.89</f>
        <v>1033.8900000000001</v>
      </c>
      <c r="I22" s="2"/>
      <c r="J22" s="19"/>
      <c r="K22" s="2"/>
      <c r="L22" s="2">
        <f t="shared" si="0"/>
        <v>-1033.8900000000001</v>
      </c>
      <c r="M22" s="2"/>
      <c r="N22" s="19">
        <f t="shared" si="1"/>
        <v>-1</v>
      </c>
      <c r="O22" s="11"/>
      <c r="P22" s="2">
        <f t="shared" si="7"/>
        <v>0</v>
      </c>
      <c r="Q22" s="2"/>
      <c r="R22" s="19"/>
      <c r="S22" s="2"/>
      <c r="T22" s="2">
        <f>--7370.28</f>
        <v>7370.28</v>
      </c>
      <c r="U22" s="2"/>
      <c r="V22" s="19"/>
      <c r="W22" s="2"/>
      <c r="X22" s="2">
        <f t="shared" si="2"/>
        <v>-7370.28</v>
      </c>
      <c r="Y22" s="2"/>
      <c r="Z22" s="19">
        <f t="shared" si="3"/>
        <v>-1</v>
      </c>
    </row>
    <row r="23" spans="1:26" s="24" customFormat="1" hidden="1" outlineLevel="1" x14ac:dyDescent="0.3">
      <c r="A23" s="44"/>
      <c r="B23" s="11" t="str">
        <f>CONCATENATE("          ", "4185", " - ", "NON-TAXABLE SALES-SOFTWARE")</f>
        <v xml:space="preserve">          4185 - NON-TAXABLE SALES-SOFTWARE</v>
      </c>
      <c r="C23" s="11"/>
      <c r="D23" s="2">
        <f t="shared" si="6"/>
        <v>0</v>
      </c>
      <c r="E23" s="2"/>
      <c r="F23" s="19"/>
      <c r="G23" s="2"/>
      <c r="H23" s="2">
        <f>--1989.89</f>
        <v>1989.89</v>
      </c>
      <c r="I23" s="2"/>
      <c r="J23" s="19"/>
      <c r="K23" s="2"/>
      <c r="L23" s="2">
        <f t="shared" si="0"/>
        <v>-1989.89</v>
      </c>
      <c r="M23" s="2"/>
      <c r="N23" s="19">
        <f t="shared" si="1"/>
        <v>-1</v>
      </c>
      <c r="O23" s="11"/>
      <c r="P23" s="2">
        <f t="shared" si="7"/>
        <v>0</v>
      </c>
      <c r="Q23" s="2"/>
      <c r="R23" s="19"/>
      <c r="S23" s="2"/>
      <c r="T23" s="2">
        <f>--25806.74</f>
        <v>25806.74</v>
      </c>
      <c r="U23" s="2"/>
      <c r="V23" s="19"/>
      <c r="W23" s="2"/>
      <c r="X23" s="2">
        <f t="shared" si="2"/>
        <v>-25806.74</v>
      </c>
      <c r="Y23" s="2"/>
      <c r="Z23" s="19">
        <f t="shared" si="3"/>
        <v>-1</v>
      </c>
    </row>
    <row r="24" spans="1:26" s="24" customFormat="1" hidden="1" outlineLevel="1" x14ac:dyDescent="0.3">
      <c r="A24" s="44"/>
      <c r="B24" s="11" t="str">
        <f>CONCATENATE("          ", "4186", " - ", "NON-TAXABLE SALES-COMPUTER SUP")</f>
        <v xml:space="preserve">          4186 - NON-TAXABLE SALES-COMPUTER SUP</v>
      </c>
      <c r="C24" s="11"/>
      <c r="D24" s="2">
        <f t="shared" si="6"/>
        <v>0</v>
      </c>
      <c r="E24" s="2"/>
      <c r="F24" s="19"/>
      <c r="G24" s="2"/>
      <c r="H24" s="2">
        <f>--44</f>
        <v>44</v>
      </c>
      <c r="I24" s="2"/>
      <c r="J24" s="19"/>
      <c r="K24" s="2"/>
      <c r="L24" s="2">
        <f t="shared" si="0"/>
        <v>-44</v>
      </c>
      <c r="M24" s="2"/>
      <c r="N24" s="19">
        <f t="shared" si="1"/>
        <v>-1</v>
      </c>
      <c r="O24" s="11"/>
      <c r="P24" s="2">
        <f t="shared" si="7"/>
        <v>0</v>
      </c>
      <c r="Q24" s="2"/>
      <c r="R24" s="19"/>
      <c r="S24" s="2"/>
      <c r="T24" s="2">
        <f>--1773.77</f>
        <v>1773.77</v>
      </c>
      <c r="U24" s="2"/>
      <c r="V24" s="19"/>
      <c r="W24" s="2"/>
      <c r="X24" s="2">
        <f t="shared" si="2"/>
        <v>-1773.77</v>
      </c>
      <c r="Y24" s="2"/>
      <c r="Z24" s="19">
        <f t="shared" si="3"/>
        <v>-1</v>
      </c>
    </row>
    <row r="25" spans="1:26" s="24" customFormat="1" hidden="1" outlineLevel="1" x14ac:dyDescent="0.3">
      <c r="A25" s="44"/>
      <c r="B25" s="11" t="str">
        <f>CONCATENATE("          ", "4200", " - ", "TAXABLE RETURNS")</f>
        <v xml:space="preserve">          4200 - TAXABLE RETURNS</v>
      </c>
      <c r="C25" s="11"/>
      <c r="D25" s="2">
        <f>-43602.29</f>
        <v>-43602.29</v>
      </c>
      <c r="E25" s="2"/>
      <c r="F25" s="19"/>
      <c r="G25" s="2"/>
      <c r="H25" s="2">
        <f t="shared" ref="H25:H26" si="8">0</f>
        <v>0</v>
      </c>
      <c r="I25" s="2"/>
      <c r="J25" s="19"/>
      <c r="K25" s="2"/>
      <c r="L25" s="2">
        <f t="shared" si="0"/>
        <v>-43602.29</v>
      </c>
      <c r="M25" s="2"/>
      <c r="N25" s="19">
        <f t="shared" si="1"/>
        <v>0</v>
      </c>
      <c r="O25" s="11"/>
      <c r="P25" s="2">
        <f>-151969.64</f>
        <v>-151969.64000000001</v>
      </c>
      <c r="Q25" s="2"/>
      <c r="R25" s="19"/>
      <c r="S25" s="2"/>
      <c r="T25" s="2">
        <f>0</f>
        <v>0</v>
      </c>
      <c r="U25" s="2"/>
      <c r="V25" s="19"/>
      <c r="W25" s="2"/>
      <c r="X25" s="2">
        <f t="shared" si="2"/>
        <v>-151969.64000000001</v>
      </c>
      <c r="Y25" s="2"/>
      <c r="Z25" s="19">
        <f t="shared" si="3"/>
        <v>0</v>
      </c>
    </row>
    <row r="26" spans="1:26" s="24" customFormat="1" hidden="1" outlineLevel="1" x14ac:dyDescent="0.3">
      <c r="A26" s="44"/>
      <c r="B26" s="11" t="str">
        <f>CONCATENATE("          ", "4281", " - ", "SALES RETURN TAXABLE-ELECTRONI")</f>
        <v xml:space="preserve">          4281 - SALES RETURN TAXABLE-ELECTRONI</v>
      </c>
      <c r="C26" s="11"/>
      <c r="D26" s="2">
        <f t="shared" ref="D26:D30" si="9">0</f>
        <v>0</v>
      </c>
      <c r="E26" s="2"/>
      <c r="F26" s="19"/>
      <c r="G26" s="2"/>
      <c r="H26" s="2">
        <f t="shared" si="8"/>
        <v>0</v>
      </c>
      <c r="I26" s="2"/>
      <c r="J26" s="19"/>
      <c r="K26" s="2"/>
      <c r="L26" s="2">
        <f t="shared" si="0"/>
        <v>0</v>
      </c>
      <c r="M26" s="2"/>
      <c r="N26" s="19">
        <f t="shared" si="1"/>
        <v>0</v>
      </c>
      <c r="O26" s="11"/>
      <c r="P26" s="2">
        <f t="shared" ref="P26:P30" si="10">0</f>
        <v>0</v>
      </c>
      <c r="Q26" s="2"/>
      <c r="R26" s="19"/>
      <c r="S26" s="2"/>
      <c r="T26" s="2">
        <f>-14632.15</f>
        <v>-14632.15</v>
      </c>
      <c r="U26" s="2"/>
      <c r="V26" s="19"/>
      <c r="W26" s="2"/>
      <c r="X26" s="2">
        <f t="shared" si="2"/>
        <v>14632.15</v>
      </c>
      <c r="Y26" s="2"/>
      <c r="Z26" s="19">
        <f t="shared" si="3"/>
        <v>-1</v>
      </c>
    </row>
    <row r="27" spans="1:26" s="24" customFormat="1" hidden="1" outlineLevel="1" x14ac:dyDescent="0.3">
      <c r="A27" s="44"/>
      <c r="B27" s="11" t="str">
        <f>CONCATENATE("          ", "4282", " - ", "SALES RETURN TAXABLE-COMPUTER")</f>
        <v xml:space="preserve">          4282 - SALES RETURN TAXABLE-COMPUTER</v>
      </c>
      <c r="C27" s="11"/>
      <c r="D27" s="2">
        <f t="shared" si="9"/>
        <v>0</v>
      </c>
      <c r="E27" s="2"/>
      <c r="F27" s="19"/>
      <c r="G27" s="2"/>
      <c r="H27" s="2">
        <f>-15761.01</f>
        <v>-15761.01</v>
      </c>
      <c r="I27" s="2"/>
      <c r="J27" s="19"/>
      <c r="K27" s="2"/>
      <c r="L27" s="2">
        <f t="shared" si="0"/>
        <v>15761.01</v>
      </c>
      <c r="M27" s="2"/>
      <c r="N27" s="19">
        <f t="shared" si="1"/>
        <v>-1</v>
      </c>
      <c r="O27" s="11"/>
      <c r="P27" s="2">
        <f t="shared" si="10"/>
        <v>0</v>
      </c>
      <c r="Q27" s="2"/>
      <c r="R27" s="19"/>
      <c r="S27" s="2"/>
      <c r="T27" s="2">
        <f>-84084.01</f>
        <v>-84084.01</v>
      </c>
      <c r="U27" s="2"/>
      <c r="V27" s="19"/>
      <c r="W27" s="2"/>
      <c r="X27" s="2">
        <f t="shared" si="2"/>
        <v>84084.01</v>
      </c>
      <c r="Y27" s="2"/>
      <c r="Z27" s="19">
        <f t="shared" si="3"/>
        <v>-1</v>
      </c>
    </row>
    <row r="28" spans="1:26" s="24" customFormat="1" hidden="1" outlineLevel="1" x14ac:dyDescent="0.3">
      <c r="A28" s="44"/>
      <c r="B28" s="11" t="str">
        <f>CONCATENATE("          ", "4283", " - ", "SALES RETURN TAXABLE-COMPUTER")</f>
        <v xml:space="preserve">          4283 - SALES RETURN TAXABLE-COMPUTER</v>
      </c>
      <c r="C28" s="11"/>
      <c r="D28" s="2">
        <f t="shared" si="9"/>
        <v>0</v>
      </c>
      <c r="E28" s="2"/>
      <c r="F28" s="19"/>
      <c r="G28" s="2"/>
      <c r="H28" s="2">
        <f>-678.96</f>
        <v>-678.96</v>
      </c>
      <c r="I28" s="2"/>
      <c r="J28" s="19"/>
      <c r="K28" s="2"/>
      <c r="L28" s="2">
        <f t="shared" si="0"/>
        <v>678.96</v>
      </c>
      <c r="M28" s="2"/>
      <c r="N28" s="19">
        <f t="shared" si="1"/>
        <v>-1</v>
      </c>
      <c r="O28" s="11"/>
      <c r="P28" s="2">
        <f t="shared" si="10"/>
        <v>0</v>
      </c>
      <c r="Q28" s="2"/>
      <c r="R28" s="19"/>
      <c r="S28" s="2"/>
      <c r="T28" s="2">
        <f>-3311.27</f>
        <v>-3311.27</v>
      </c>
      <c r="U28" s="2"/>
      <c r="V28" s="19"/>
      <c r="W28" s="2"/>
      <c r="X28" s="2">
        <f t="shared" si="2"/>
        <v>3311.27</v>
      </c>
      <c r="Y28" s="2"/>
      <c r="Z28" s="19">
        <f t="shared" si="3"/>
        <v>-1</v>
      </c>
    </row>
    <row r="29" spans="1:26" s="24" customFormat="1" hidden="1" outlineLevel="1" x14ac:dyDescent="0.3">
      <c r="A29" s="44"/>
      <c r="B29" s="11" t="str">
        <f>CONCATENATE("          ", "4285", " - ", "SALES RETURN TAXABLE-SOFTWARE")</f>
        <v xml:space="preserve">          4285 - SALES RETURN TAXABLE-SOFTWARE</v>
      </c>
      <c r="C29" s="11"/>
      <c r="D29" s="2">
        <f t="shared" si="9"/>
        <v>0</v>
      </c>
      <c r="E29" s="2"/>
      <c r="F29" s="19"/>
      <c r="G29" s="2"/>
      <c r="H29" s="2">
        <f>-139</f>
        <v>-139</v>
      </c>
      <c r="I29" s="2"/>
      <c r="J29" s="19"/>
      <c r="K29" s="2"/>
      <c r="L29" s="2">
        <f t="shared" si="0"/>
        <v>139</v>
      </c>
      <c r="M29" s="2"/>
      <c r="N29" s="19">
        <f t="shared" si="1"/>
        <v>-1</v>
      </c>
      <c r="O29" s="11"/>
      <c r="P29" s="2">
        <f t="shared" si="10"/>
        <v>0</v>
      </c>
      <c r="Q29" s="2"/>
      <c r="R29" s="19"/>
      <c r="S29" s="2"/>
      <c r="T29" s="2">
        <f>-691.98</f>
        <v>-691.98</v>
      </c>
      <c r="U29" s="2"/>
      <c r="V29" s="19"/>
      <c r="W29" s="2"/>
      <c r="X29" s="2">
        <f t="shared" si="2"/>
        <v>691.98</v>
      </c>
      <c r="Y29" s="2"/>
      <c r="Z29" s="19">
        <f t="shared" si="3"/>
        <v>-1</v>
      </c>
    </row>
    <row r="30" spans="1:26" s="24" customFormat="1" hidden="1" outlineLevel="1" x14ac:dyDescent="0.3">
      <c r="A30" s="44"/>
      <c r="B30" s="11" t="str">
        <f>CONCATENATE("          ", "4286", " - ", "SALES RETURN TAXABLE-COMPUTER")</f>
        <v xml:space="preserve">          4286 - SALES RETURN TAXABLE-COMPUTER</v>
      </c>
      <c r="C30" s="11"/>
      <c r="D30" s="2">
        <f t="shared" si="9"/>
        <v>0</v>
      </c>
      <c r="E30" s="2"/>
      <c r="F30" s="19"/>
      <c r="G30" s="2"/>
      <c r="H30" s="2">
        <f>-9.99</f>
        <v>-9.99</v>
      </c>
      <c r="I30" s="2"/>
      <c r="J30" s="19"/>
      <c r="K30" s="2"/>
      <c r="L30" s="2">
        <f t="shared" si="0"/>
        <v>9.99</v>
      </c>
      <c r="M30" s="2"/>
      <c r="N30" s="19">
        <f t="shared" si="1"/>
        <v>-1</v>
      </c>
      <c r="O30" s="11"/>
      <c r="P30" s="2">
        <f t="shared" si="10"/>
        <v>0</v>
      </c>
      <c r="Q30" s="2"/>
      <c r="R30" s="19"/>
      <c r="S30" s="2"/>
      <c r="T30" s="2">
        <f>-581.35</f>
        <v>-581.35</v>
      </c>
      <c r="U30" s="2"/>
      <c r="V30" s="19"/>
      <c r="W30" s="2"/>
      <c r="X30" s="2">
        <f t="shared" si="2"/>
        <v>581.35</v>
      </c>
      <c r="Y30" s="2"/>
      <c r="Z30" s="19">
        <f t="shared" si="3"/>
        <v>-1</v>
      </c>
    </row>
    <row r="31" spans="1:26" s="24" customFormat="1" hidden="1" outlineLevel="1" x14ac:dyDescent="0.3">
      <c r="A31" s="44"/>
      <c r="B31" s="11" t="str">
        <f>CONCATENATE("          ", "4300", " - ", "NON-TAX RETURNS")</f>
        <v xml:space="preserve">          4300 - NON-TAX RETURNS</v>
      </c>
      <c r="C31" s="11"/>
      <c r="D31" s="2">
        <f>-14.99</f>
        <v>-14.99</v>
      </c>
      <c r="E31" s="2"/>
      <c r="F31" s="19"/>
      <c r="G31" s="2"/>
      <c r="H31" s="2">
        <f t="shared" ref="H31:H33" si="11">0</f>
        <v>0</v>
      </c>
      <c r="I31" s="2"/>
      <c r="J31" s="19"/>
      <c r="K31" s="2"/>
      <c r="L31" s="2">
        <f t="shared" si="0"/>
        <v>-14.99</v>
      </c>
      <c r="M31" s="2"/>
      <c r="N31" s="19">
        <f t="shared" si="1"/>
        <v>0</v>
      </c>
      <c r="O31" s="11"/>
      <c r="P31" s="2">
        <f>-704.79</f>
        <v>-704.79</v>
      </c>
      <c r="Q31" s="2"/>
      <c r="R31" s="19"/>
      <c r="S31" s="2"/>
      <c r="T31" s="2">
        <f>0</f>
        <v>0</v>
      </c>
      <c r="U31" s="2"/>
      <c r="V31" s="19"/>
      <c r="W31" s="2"/>
      <c r="X31" s="2">
        <f t="shared" si="2"/>
        <v>-704.79</v>
      </c>
      <c r="Y31" s="2"/>
      <c r="Z31" s="19">
        <f t="shared" si="3"/>
        <v>0</v>
      </c>
    </row>
    <row r="32" spans="1:26" s="24" customFormat="1" hidden="1" outlineLevel="1" x14ac:dyDescent="0.3">
      <c r="A32" s="44"/>
      <c r="B32" s="11" t="str">
        <f>CONCATENATE("          ", "4381", " - ", "SALES RETURN NON TAXABLE-ELECT")</f>
        <v xml:space="preserve">          4381 - SALES RETURN NON TAXABLE-ELECT</v>
      </c>
      <c r="C32" s="11"/>
      <c r="D32" s="2">
        <f>0</f>
        <v>0</v>
      </c>
      <c r="E32" s="2"/>
      <c r="F32" s="19"/>
      <c r="G32" s="2"/>
      <c r="H32" s="2">
        <f t="shared" si="11"/>
        <v>0</v>
      </c>
      <c r="I32" s="2"/>
      <c r="J32" s="19"/>
      <c r="K32" s="2"/>
      <c r="L32" s="2">
        <f t="shared" si="0"/>
        <v>0</v>
      </c>
      <c r="M32" s="2"/>
      <c r="N32" s="19">
        <f t="shared" si="1"/>
        <v>0</v>
      </c>
      <c r="O32" s="11"/>
      <c r="P32" s="2">
        <f>0</f>
        <v>0</v>
      </c>
      <c r="Q32" s="2"/>
      <c r="R32" s="19"/>
      <c r="S32" s="2"/>
      <c r="T32" s="2">
        <f>-5624.15</f>
        <v>-5624.15</v>
      </c>
      <c r="U32" s="2"/>
      <c r="V32" s="19"/>
      <c r="W32" s="2"/>
      <c r="X32" s="2">
        <f t="shared" si="2"/>
        <v>5624.15</v>
      </c>
      <c r="Y32" s="2"/>
      <c r="Z32" s="19">
        <f t="shared" si="3"/>
        <v>-1</v>
      </c>
    </row>
    <row r="33" spans="1:26" s="24" customFormat="1" hidden="1" outlineLevel="1" x14ac:dyDescent="0.3">
      <c r="A33" s="44"/>
      <c r="B33" s="11" t="str">
        <f>CONCATENATE("          ", "4500", " - ", "SALES DISCOUNT")</f>
        <v xml:space="preserve">          4500 - SALES DISCOUNT</v>
      </c>
      <c r="C33" s="11"/>
      <c r="D33" s="2">
        <f>-36.4</f>
        <v>-36.4</v>
      </c>
      <c r="E33" s="2"/>
      <c r="F33" s="19"/>
      <c r="G33" s="2"/>
      <c r="H33" s="2">
        <f t="shared" si="11"/>
        <v>0</v>
      </c>
      <c r="I33" s="2"/>
      <c r="J33" s="19"/>
      <c r="K33" s="2"/>
      <c r="L33" s="2">
        <f t="shared" si="0"/>
        <v>-36.4</v>
      </c>
      <c r="M33" s="2"/>
      <c r="N33" s="19">
        <f t="shared" si="1"/>
        <v>0</v>
      </c>
      <c r="O33" s="11"/>
      <c r="P33" s="2">
        <f>-91.94</f>
        <v>-91.94</v>
      </c>
      <c r="Q33" s="2"/>
      <c r="R33" s="19"/>
      <c r="S33" s="2"/>
      <c r="T33" s="2">
        <f>0</f>
        <v>0</v>
      </c>
      <c r="U33" s="2"/>
      <c r="V33" s="19"/>
      <c r="W33" s="2"/>
      <c r="X33" s="2">
        <f t="shared" si="2"/>
        <v>-91.94</v>
      </c>
      <c r="Y33" s="2"/>
      <c r="Z33" s="19">
        <f t="shared" si="3"/>
        <v>0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collapsed="1" x14ac:dyDescent="0.3">
      <c r="A35" s="10"/>
      <c r="B35" s="26" t="s">
        <v>256</v>
      </c>
      <c r="C35" s="10"/>
      <c r="D35" s="4">
        <f>SUM(OSRRefD16x_0)</f>
        <v>82925.39</v>
      </c>
      <c r="E35" s="4"/>
      <c r="F35" s="12">
        <f t="shared" ref="F35:F47" si="12">IF(D$12=0,0,D35/D$12)</f>
        <v>0.89622173929207849</v>
      </c>
      <c r="G35" s="4"/>
      <c r="H35" s="4">
        <f>SUM(OSRRefH16x_0)</f>
        <v>60363.839999999997</v>
      </c>
      <c r="I35" s="4"/>
      <c r="J35" s="12">
        <f t="shared" ref="J35:J47" si="13">IF(H$12=0,0,H35/H$12)</f>
        <v>1.0097433364273851</v>
      </c>
      <c r="K35" s="4"/>
      <c r="L35" s="4">
        <f t="shared" ref="L35:L47" si="14">+D35-H35</f>
        <v>22561.550000000003</v>
      </c>
      <c r="M35" s="4"/>
      <c r="N35" s="12">
        <f t="shared" ref="N35:N47" si="15">IF(H35=0,0,L35/H35)</f>
        <v>0.37375935659494169</v>
      </c>
      <c r="O35" s="10"/>
      <c r="P35" s="4">
        <f>SUM(OSRRefP16x_0)</f>
        <v>702659.7300000001</v>
      </c>
      <c r="Q35" s="4"/>
      <c r="R35" s="12">
        <f t="shared" ref="R35:R47" si="16">IF(P$12=0,0,P35/P$12)</f>
        <v>0.84342027325718272</v>
      </c>
      <c r="S35" s="4"/>
      <c r="T35" s="4">
        <f>SUM(OSRRefT16x_0)</f>
        <v>1141638.8399999999</v>
      </c>
      <c r="U35" s="4"/>
      <c r="V35" s="12">
        <f t="shared" ref="V35:V47" si="17">IF(T$12=0,0,T35/T$12)</f>
        <v>0.9546250285035679</v>
      </c>
      <c r="W35" s="4"/>
      <c r="X35" s="4">
        <f t="shared" ref="X35:X47" si="18">+P35-T35</f>
        <v>-438979.10999999975</v>
      </c>
      <c r="Y35" s="4"/>
      <c r="Z35" s="12">
        <f t="shared" ref="Z35:Z47" si="19">IF(T35=0,0,X35/T35)</f>
        <v>-0.38451662173652029</v>
      </c>
    </row>
    <row r="36" spans="1:26" s="24" customFormat="1" hidden="1" outlineLevel="1" x14ac:dyDescent="0.3">
      <c r="A36" s="44"/>
      <c r="B36" s="11" t="str">
        <f>CONCATENATE("          ", "5000", " - ", "PURCHASES @ COST")</f>
        <v xml:space="preserve">          5000 - PURCHASES @ COST</v>
      </c>
      <c r="C36" s="11"/>
      <c r="D36" s="2">
        <v>56710.32</v>
      </c>
      <c r="E36" s="2"/>
      <c r="F36" s="19">
        <f t="shared" si="12"/>
        <v>0.61290060409978586</v>
      </c>
      <c r="G36" s="2"/>
      <c r="H36" s="2"/>
      <c r="I36" s="2"/>
      <c r="J36" s="19">
        <f t="shared" si="13"/>
        <v>0</v>
      </c>
      <c r="K36" s="2"/>
      <c r="L36" s="2">
        <f t="shared" si="14"/>
        <v>56710.32</v>
      </c>
      <c r="M36" s="2"/>
      <c r="N36" s="19">
        <f t="shared" si="15"/>
        <v>0</v>
      </c>
      <c r="O36" s="11"/>
      <c r="P36" s="2">
        <v>743562.51</v>
      </c>
      <c r="Q36" s="2"/>
      <c r="R36" s="19">
        <f t="shared" si="16"/>
        <v>0.89251691621490326</v>
      </c>
      <c r="S36" s="2"/>
      <c r="T36" s="2">
        <v>0</v>
      </c>
      <c r="U36" s="2"/>
      <c r="V36" s="19">
        <f t="shared" si="17"/>
        <v>0</v>
      </c>
      <c r="W36" s="2"/>
      <c r="X36" s="2">
        <f t="shared" si="18"/>
        <v>743562.51</v>
      </c>
      <c r="Y36" s="2"/>
      <c r="Z36" s="19">
        <f t="shared" si="19"/>
        <v>0</v>
      </c>
    </row>
    <row r="37" spans="1:26" s="24" customFormat="1" hidden="1" outlineLevel="1" x14ac:dyDescent="0.3">
      <c r="A37" s="44"/>
      <c r="B37" s="11" t="str">
        <f>CONCATENATE("          ", "5081", " - ", "PURCHASES @ COST-ELECTRONICS")</f>
        <v xml:space="preserve">          5081 - PURCHASES @ COST-ELECTRONICS</v>
      </c>
      <c r="C37" s="11"/>
      <c r="D37" s="2"/>
      <c r="E37" s="2"/>
      <c r="F37" s="19">
        <f t="shared" si="12"/>
        <v>0</v>
      </c>
      <c r="G37" s="2"/>
      <c r="H37" s="2">
        <v>2367.86</v>
      </c>
      <c r="I37" s="2"/>
      <c r="J37" s="19">
        <f t="shared" si="13"/>
        <v>3.9608660691449527E-2</v>
      </c>
      <c r="K37" s="2"/>
      <c r="L37" s="2">
        <f t="shared" si="14"/>
        <v>-2367.86</v>
      </c>
      <c r="M37" s="2"/>
      <c r="N37" s="19">
        <f t="shared" si="15"/>
        <v>-1</v>
      </c>
      <c r="O37" s="11"/>
      <c r="P37" s="2">
        <v>0</v>
      </c>
      <c r="Q37" s="2"/>
      <c r="R37" s="19">
        <f t="shared" si="16"/>
        <v>0</v>
      </c>
      <c r="S37" s="2"/>
      <c r="T37" s="2">
        <v>24315.07</v>
      </c>
      <c r="U37" s="2"/>
      <c r="V37" s="19">
        <f t="shared" si="17"/>
        <v>2.0331976785071759E-2</v>
      </c>
      <c r="W37" s="2"/>
      <c r="X37" s="2">
        <f t="shared" si="18"/>
        <v>-24315.07</v>
      </c>
      <c r="Y37" s="2"/>
      <c r="Z37" s="19">
        <f t="shared" si="19"/>
        <v>-1</v>
      </c>
    </row>
    <row r="38" spans="1:26" s="24" customFormat="1" hidden="1" outlineLevel="1" x14ac:dyDescent="0.3">
      <c r="A38" s="44"/>
      <c r="B38" s="11" t="str">
        <f>CONCATENATE("          ", "5082", " - ", "PURCHASES @ COST-COMPUTER HARD")</f>
        <v xml:space="preserve">          5082 - PURCHASES @ COST-COMPUTER HARD</v>
      </c>
      <c r="C38" s="11"/>
      <c r="D38" s="2">
        <v>-3384.72</v>
      </c>
      <c r="E38" s="2"/>
      <c r="F38" s="19">
        <f t="shared" si="12"/>
        <v>-3.6580589436078427E-2</v>
      </c>
      <c r="G38" s="2"/>
      <c r="H38" s="2">
        <v>71242.03</v>
      </c>
      <c r="I38" s="2"/>
      <c r="J38" s="19">
        <f t="shared" si="13"/>
        <v>1.1917095576765804</v>
      </c>
      <c r="K38" s="2"/>
      <c r="L38" s="2">
        <f t="shared" si="14"/>
        <v>-74626.75</v>
      </c>
      <c r="M38" s="2"/>
      <c r="N38" s="19">
        <f t="shared" si="15"/>
        <v>-1.0475101565747074</v>
      </c>
      <c r="O38" s="11"/>
      <c r="P38" s="2">
        <v>-80709.45</v>
      </c>
      <c r="Q38" s="2"/>
      <c r="R38" s="19">
        <f t="shared" si="16"/>
        <v>-9.6877597316466266E-2</v>
      </c>
      <c r="S38" s="2"/>
      <c r="T38" s="2">
        <v>960020.11</v>
      </c>
      <c r="U38" s="2"/>
      <c r="V38" s="19">
        <f t="shared" si="17"/>
        <v>0.80275757337823972</v>
      </c>
      <c r="W38" s="2"/>
      <c r="X38" s="2">
        <f t="shared" si="18"/>
        <v>-1040729.5599999999</v>
      </c>
      <c r="Y38" s="2"/>
      <c r="Z38" s="19">
        <f t="shared" si="19"/>
        <v>-1.0840705826464405</v>
      </c>
    </row>
    <row r="39" spans="1:26" s="24" customFormat="1" hidden="1" outlineLevel="1" x14ac:dyDescent="0.3">
      <c r="A39" s="44"/>
      <c r="B39" s="11" t="str">
        <f>CONCATENATE("          ", "5083", " - ", "PURCHASES @ COST-COMPUTER EQUI")</f>
        <v xml:space="preserve">          5083 - PURCHASES @ COST-COMPUTER EQUI</v>
      </c>
      <c r="C39" s="11"/>
      <c r="D39" s="2"/>
      <c r="E39" s="2"/>
      <c r="F39" s="19">
        <f t="shared" si="12"/>
        <v>0</v>
      </c>
      <c r="G39" s="2"/>
      <c r="H39" s="2">
        <v>2620.17</v>
      </c>
      <c r="I39" s="2"/>
      <c r="J39" s="19">
        <f t="shared" si="13"/>
        <v>4.3829206322973192E-2</v>
      </c>
      <c r="K39" s="2"/>
      <c r="L39" s="2">
        <f t="shared" si="14"/>
        <v>-2620.17</v>
      </c>
      <c r="M39" s="2"/>
      <c r="N39" s="19">
        <f t="shared" si="15"/>
        <v>-1</v>
      </c>
      <c r="O39" s="11"/>
      <c r="P39" s="2">
        <v>0</v>
      </c>
      <c r="Q39" s="2"/>
      <c r="R39" s="19">
        <f t="shared" si="16"/>
        <v>0</v>
      </c>
      <c r="S39" s="2"/>
      <c r="T39" s="2">
        <v>75893.119999999995</v>
      </c>
      <c r="U39" s="2"/>
      <c r="V39" s="19">
        <f t="shared" si="17"/>
        <v>6.3460938174830062E-2</v>
      </c>
      <c r="W39" s="2"/>
      <c r="X39" s="2">
        <f t="shared" si="18"/>
        <v>-75893.119999999995</v>
      </c>
      <c r="Y39" s="2"/>
      <c r="Z39" s="19">
        <f t="shared" si="19"/>
        <v>-1</v>
      </c>
    </row>
    <row r="40" spans="1:26" s="24" customFormat="1" hidden="1" outlineLevel="1" x14ac:dyDescent="0.3">
      <c r="A40" s="44"/>
      <c r="B40" s="11" t="str">
        <f>CONCATENATE("          ", "5085", " - ", "PURCHASES @ COST-SOFTWARE")</f>
        <v xml:space="preserve">          5085 - PURCHASES @ COST-SOFTWARE</v>
      </c>
      <c r="C40" s="11"/>
      <c r="D40" s="2"/>
      <c r="E40" s="2"/>
      <c r="F40" s="19">
        <f t="shared" si="12"/>
        <v>0</v>
      </c>
      <c r="G40" s="2"/>
      <c r="H40" s="2">
        <v>3394.72</v>
      </c>
      <c r="I40" s="2"/>
      <c r="J40" s="19">
        <f t="shared" si="13"/>
        <v>5.6785583870025053E-2</v>
      </c>
      <c r="K40" s="2"/>
      <c r="L40" s="2">
        <f t="shared" si="14"/>
        <v>-3394.72</v>
      </c>
      <c r="M40" s="2"/>
      <c r="N40" s="19">
        <f t="shared" si="15"/>
        <v>-1</v>
      </c>
      <c r="O40" s="11"/>
      <c r="P40" s="2">
        <v>0</v>
      </c>
      <c r="Q40" s="2"/>
      <c r="R40" s="19">
        <f t="shared" si="16"/>
        <v>0</v>
      </c>
      <c r="S40" s="2"/>
      <c r="T40" s="2">
        <v>24075.919999999998</v>
      </c>
      <c r="U40" s="2"/>
      <c r="V40" s="19">
        <f t="shared" si="17"/>
        <v>2.0132002355709642E-2</v>
      </c>
      <c r="W40" s="2"/>
      <c r="X40" s="2">
        <f t="shared" si="18"/>
        <v>-24075.919999999998</v>
      </c>
      <c r="Y40" s="2"/>
      <c r="Z40" s="19">
        <f t="shared" si="19"/>
        <v>-1</v>
      </c>
    </row>
    <row r="41" spans="1:26" s="24" customFormat="1" hidden="1" outlineLevel="1" x14ac:dyDescent="0.3">
      <c r="A41" s="44"/>
      <c r="B41" s="11" t="str">
        <f>CONCATENATE("          ", "5086", " - ", "PURCHASES @ COST-COMPUTER SUPP")</f>
        <v xml:space="preserve">          5086 - PURCHASES @ COST-COMPUTER SUPP</v>
      </c>
      <c r="C41" s="11"/>
      <c r="D41" s="2"/>
      <c r="E41" s="2"/>
      <c r="F41" s="19">
        <f t="shared" si="12"/>
        <v>0</v>
      </c>
      <c r="G41" s="2"/>
      <c r="H41" s="2">
        <v>189.17</v>
      </c>
      <c r="I41" s="2"/>
      <c r="J41" s="19">
        <f t="shared" si="13"/>
        <v>3.1643637474350283E-3</v>
      </c>
      <c r="K41" s="2"/>
      <c r="L41" s="2">
        <f t="shared" si="14"/>
        <v>-189.17</v>
      </c>
      <c r="M41" s="2"/>
      <c r="N41" s="19">
        <f t="shared" si="15"/>
        <v>-1</v>
      </c>
      <c r="O41" s="11"/>
      <c r="P41" s="2">
        <v>0</v>
      </c>
      <c r="Q41" s="2"/>
      <c r="R41" s="19">
        <f t="shared" si="16"/>
        <v>0</v>
      </c>
      <c r="S41" s="2"/>
      <c r="T41" s="2">
        <v>22718.61</v>
      </c>
      <c r="U41" s="2"/>
      <c r="V41" s="19">
        <f t="shared" si="17"/>
        <v>1.8997035628895952E-2</v>
      </c>
      <c r="W41" s="2"/>
      <c r="X41" s="2">
        <f t="shared" si="18"/>
        <v>-22718.61</v>
      </c>
      <c r="Y41" s="2"/>
      <c r="Z41" s="19">
        <f t="shared" si="19"/>
        <v>-1</v>
      </c>
    </row>
    <row r="42" spans="1:26" s="24" customFormat="1" hidden="1" outlineLevel="1" x14ac:dyDescent="0.3">
      <c r="A42" s="44"/>
      <c r="B42" s="11" t="str">
        <f>CONCATENATE("          ", "5200", " - ", "PURCHASES OFFSET")</f>
        <v xml:space="preserve">          5200 - PURCHASES OFFSET</v>
      </c>
      <c r="C42" s="11"/>
      <c r="D42" s="2">
        <v>-56710.32</v>
      </c>
      <c r="E42" s="2"/>
      <c r="F42" s="19">
        <f t="shared" si="12"/>
        <v>-0.61290060409978586</v>
      </c>
      <c r="G42" s="2"/>
      <c r="H42" s="2">
        <v>-75868.11</v>
      </c>
      <c r="I42" s="2"/>
      <c r="J42" s="19">
        <f t="shared" si="13"/>
        <v>-1.2690928628768461</v>
      </c>
      <c r="K42" s="2"/>
      <c r="L42" s="2">
        <f t="shared" si="14"/>
        <v>19157.79</v>
      </c>
      <c r="M42" s="2"/>
      <c r="N42" s="19">
        <f t="shared" si="15"/>
        <v>-0.25251439636495493</v>
      </c>
      <c r="O42" s="11"/>
      <c r="P42" s="2">
        <v>-743606.7</v>
      </c>
      <c r="Q42" s="2"/>
      <c r="R42" s="19">
        <f t="shared" si="16"/>
        <v>-0.89256995859129673</v>
      </c>
      <c r="S42" s="2"/>
      <c r="T42" s="2">
        <v>-1103420.28</v>
      </c>
      <c r="U42" s="2"/>
      <c r="V42" s="19">
        <f t="shared" si="17"/>
        <v>-0.92266711620149067</v>
      </c>
      <c r="W42" s="2"/>
      <c r="X42" s="2">
        <f t="shared" si="18"/>
        <v>359813.58000000007</v>
      </c>
      <c r="Y42" s="2"/>
      <c r="Z42" s="19">
        <f t="shared" si="19"/>
        <v>-0.32608933016891811</v>
      </c>
    </row>
    <row r="43" spans="1:26" s="24" customFormat="1" hidden="1" outlineLevel="1" x14ac:dyDescent="0.3">
      <c r="A43" s="44"/>
      <c r="B43" s="11" t="str">
        <f>CONCATENATE("          ", "5300", " - ", "COG$ OFFSET")</f>
        <v xml:space="preserve">          5300 - COG$ OFFSET</v>
      </c>
      <c r="C43" s="11"/>
      <c r="D43" s="2">
        <v>86310.11</v>
      </c>
      <c r="E43" s="2"/>
      <c r="F43" s="19">
        <f t="shared" si="12"/>
        <v>0.93280232872815694</v>
      </c>
      <c r="G43" s="2"/>
      <c r="H43" s="2">
        <v>56418</v>
      </c>
      <c r="I43" s="2"/>
      <c r="J43" s="19">
        <f t="shared" si="13"/>
        <v>0.94373882699576805</v>
      </c>
      <c r="K43" s="2"/>
      <c r="L43" s="2">
        <f t="shared" si="14"/>
        <v>29892.11</v>
      </c>
      <c r="M43" s="2"/>
      <c r="N43" s="19">
        <f t="shared" si="15"/>
        <v>0.5298328547626644</v>
      </c>
      <c r="O43" s="11"/>
      <c r="P43" s="2">
        <v>783369.18</v>
      </c>
      <c r="Q43" s="2"/>
      <c r="R43" s="19">
        <f t="shared" si="16"/>
        <v>0.94029787057364889</v>
      </c>
      <c r="S43" s="2"/>
      <c r="T43" s="2">
        <v>1137693</v>
      </c>
      <c r="U43" s="2"/>
      <c r="V43" s="19">
        <f t="shared" si="17"/>
        <v>0.95132556330451212</v>
      </c>
      <c r="W43" s="2"/>
      <c r="X43" s="2">
        <f t="shared" si="18"/>
        <v>-354323.81999999995</v>
      </c>
      <c r="Y43" s="2"/>
      <c r="Z43" s="19">
        <f t="shared" si="19"/>
        <v>-0.31144062589819921</v>
      </c>
    </row>
    <row r="44" spans="1:26" s="24" customFormat="1" hidden="1" outlineLevel="1" x14ac:dyDescent="0.3">
      <c r="A44" s="44"/>
      <c r="B44" s="11" t="str">
        <f>CONCATENATE("          ", "5500", " - ", "FREIGHT-IN")</f>
        <v xml:space="preserve">          5500 - FREIGHT-IN</v>
      </c>
      <c r="C44" s="11"/>
      <c r="D44" s="2"/>
      <c r="E44" s="2"/>
      <c r="F44" s="19">
        <f t="shared" si="12"/>
        <v>0</v>
      </c>
      <c r="G44" s="2"/>
      <c r="H44" s="2"/>
      <c r="I44" s="2"/>
      <c r="J44" s="19">
        <f t="shared" si="13"/>
        <v>0</v>
      </c>
      <c r="K44" s="2"/>
      <c r="L44" s="2">
        <f t="shared" si="14"/>
        <v>0</v>
      </c>
      <c r="M44" s="2"/>
      <c r="N44" s="19">
        <f t="shared" si="15"/>
        <v>0</v>
      </c>
      <c r="O44" s="11"/>
      <c r="P44" s="2">
        <v>44.19</v>
      </c>
      <c r="Q44" s="2"/>
      <c r="R44" s="19">
        <f t="shared" si="16"/>
        <v>5.3042376393528194E-5</v>
      </c>
      <c r="S44" s="2"/>
      <c r="T44" s="2">
        <v>0</v>
      </c>
      <c r="U44" s="2"/>
      <c r="V44" s="19">
        <f t="shared" si="17"/>
        <v>0</v>
      </c>
      <c r="W44" s="2"/>
      <c r="X44" s="2">
        <f t="shared" si="18"/>
        <v>44.19</v>
      </c>
      <c r="Y44" s="2"/>
      <c r="Z44" s="19">
        <f t="shared" si="19"/>
        <v>0</v>
      </c>
    </row>
    <row r="45" spans="1:26" s="24" customFormat="1" hidden="1" outlineLevel="1" x14ac:dyDescent="0.3">
      <c r="A45" s="44"/>
      <c r="B45" s="11" t="str">
        <f>CONCATENATE("          ", "5582", " - ", "FREIGHT-IN-COMPUTER HARDWARE")</f>
        <v xml:space="preserve">          5582 - FREIGHT-IN-COMPUTER HARDWARE</v>
      </c>
      <c r="C45" s="11"/>
      <c r="D45" s="2"/>
      <c r="E45" s="2"/>
      <c r="F45" s="19">
        <f t="shared" si="12"/>
        <v>0</v>
      </c>
      <c r="G45" s="2"/>
      <c r="H45" s="2"/>
      <c r="I45" s="2"/>
      <c r="J45" s="19">
        <f t="shared" si="13"/>
        <v>0</v>
      </c>
      <c r="K45" s="2"/>
      <c r="L45" s="2">
        <f t="shared" si="14"/>
        <v>0</v>
      </c>
      <c r="M45" s="2"/>
      <c r="N45" s="19">
        <f t="shared" si="15"/>
        <v>0</v>
      </c>
      <c r="O45" s="11"/>
      <c r="P45" s="2"/>
      <c r="Q45" s="2"/>
      <c r="R45" s="19">
        <f t="shared" si="16"/>
        <v>0</v>
      </c>
      <c r="S45" s="2"/>
      <c r="T45" s="2">
        <v>94</v>
      </c>
      <c r="U45" s="2"/>
      <c r="V45" s="19">
        <f t="shared" si="17"/>
        <v>7.8601699184774925E-5</v>
      </c>
      <c r="W45" s="2"/>
      <c r="X45" s="2">
        <f t="shared" si="18"/>
        <v>-94</v>
      </c>
      <c r="Y45" s="2"/>
      <c r="Z45" s="19">
        <f t="shared" si="19"/>
        <v>-1</v>
      </c>
    </row>
    <row r="46" spans="1:26" s="24" customFormat="1" hidden="1" outlineLevel="1" x14ac:dyDescent="0.3">
      <c r="A46" s="44"/>
      <c r="B46" s="11" t="str">
        <f>CONCATENATE("          ", "5583", " - ", "FREIGHT-IN-COMPUTER EQUIPMENT")</f>
        <v xml:space="preserve">          5583 - FREIGHT-IN-COMPUTER EQUIPMENT</v>
      </c>
      <c r="C46" s="11"/>
      <c r="D46" s="2"/>
      <c r="E46" s="2"/>
      <c r="F46" s="19">
        <f t="shared" si="12"/>
        <v>0</v>
      </c>
      <c r="G46" s="2"/>
      <c r="H46" s="2"/>
      <c r="I46" s="2"/>
      <c r="J46" s="19">
        <f t="shared" si="13"/>
        <v>0</v>
      </c>
      <c r="K46" s="2"/>
      <c r="L46" s="2">
        <f t="shared" si="14"/>
        <v>0</v>
      </c>
      <c r="M46" s="2"/>
      <c r="N46" s="19">
        <f t="shared" si="15"/>
        <v>0</v>
      </c>
      <c r="O46" s="11"/>
      <c r="P46" s="2">
        <v>0</v>
      </c>
      <c r="Q46" s="2"/>
      <c r="R46" s="19">
        <f t="shared" si="16"/>
        <v>0</v>
      </c>
      <c r="S46" s="2"/>
      <c r="T46" s="2">
        <v>225.17</v>
      </c>
      <c r="U46" s="2"/>
      <c r="V46" s="19">
        <f t="shared" si="17"/>
        <v>1.8828451707910392E-4</v>
      </c>
      <c r="W46" s="2"/>
      <c r="X46" s="2">
        <f t="shared" si="18"/>
        <v>-225.17</v>
      </c>
      <c r="Y46" s="2"/>
      <c r="Z46" s="19">
        <f t="shared" si="19"/>
        <v>-1</v>
      </c>
    </row>
    <row r="47" spans="1:26" s="24" customFormat="1" hidden="1" outlineLevel="1" x14ac:dyDescent="0.3">
      <c r="A47" s="44"/>
      <c r="B47" s="11" t="str">
        <f>CONCATENATE("          ", "5586", " - ", "FREIGHT-IN-COMPUTER SUPPLIES")</f>
        <v xml:space="preserve">          5586 - FREIGHT-IN-COMPUTER SUPPLIES</v>
      </c>
      <c r="C47" s="11"/>
      <c r="D47" s="2"/>
      <c r="E47" s="2"/>
      <c r="F47" s="19">
        <f t="shared" si="12"/>
        <v>0</v>
      </c>
      <c r="G47" s="2"/>
      <c r="H47" s="2"/>
      <c r="I47" s="2"/>
      <c r="J47" s="19">
        <f t="shared" si="13"/>
        <v>0</v>
      </c>
      <c r="K47" s="2"/>
      <c r="L47" s="2">
        <f t="shared" si="14"/>
        <v>0</v>
      </c>
      <c r="M47" s="2"/>
      <c r="N47" s="19">
        <f t="shared" si="15"/>
        <v>0</v>
      </c>
      <c r="O47" s="11"/>
      <c r="P47" s="2"/>
      <c r="Q47" s="2"/>
      <c r="R47" s="19">
        <f t="shared" si="16"/>
        <v>0</v>
      </c>
      <c r="S47" s="2"/>
      <c r="T47" s="2">
        <v>24.12</v>
      </c>
      <c r="U47" s="2"/>
      <c r="V47" s="19">
        <f t="shared" si="17"/>
        <v>2.0168861535497566E-5</v>
      </c>
      <c r="W47" s="2"/>
      <c r="X47" s="2">
        <f t="shared" si="18"/>
        <v>-24.12</v>
      </c>
      <c r="Y47" s="2"/>
      <c r="Z47" s="19">
        <f t="shared" si="19"/>
        <v>-1</v>
      </c>
    </row>
    <row r="48" spans="1:26" x14ac:dyDescent="0.3">
      <c r="A48" s="9"/>
      <c r="B48" s="10"/>
      <c r="C48" s="10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O48" s="10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10"/>
      <c r="B49" s="25" t="s">
        <v>107</v>
      </c>
      <c r="C49" s="25"/>
      <c r="D49" s="21">
        <f>D12-D35</f>
        <v>9602.3699999999953</v>
      </c>
      <c r="E49" s="13"/>
      <c r="F49" s="22">
        <f>IF(D$12=0,0,D49/D$12)</f>
        <v>0.10377826070792155</v>
      </c>
      <c r="G49" s="13"/>
      <c r="H49" s="21">
        <f>H12-H35</f>
        <v>-582.46999999999389</v>
      </c>
      <c r="I49" s="13"/>
      <c r="J49" s="22">
        <f>IF(H$12=0,0,H49/H$12)</f>
        <v>-9.7433364273852175E-3</v>
      </c>
      <c r="K49" s="16"/>
      <c r="L49" s="21">
        <f>+D49-H49</f>
        <v>10184.839999999989</v>
      </c>
      <c r="M49" s="16"/>
      <c r="N49" s="22">
        <f>IF(H49=0,0,L49/H49)</f>
        <v>-17.485604408810918</v>
      </c>
      <c r="O49" s="26"/>
      <c r="P49" s="21">
        <f>P12-P35</f>
        <v>130447.73999999987</v>
      </c>
      <c r="Q49" s="13"/>
      <c r="R49" s="22">
        <f>IF(P$12=0,0,P49/P$12)</f>
        <v>0.15657972674281731</v>
      </c>
      <c r="S49" s="13"/>
      <c r="T49" s="21">
        <f>T12-T35</f>
        <v>54264.060000000522</v>
      </c>
      <c r="U49" s="13"/>
      <c r="V49" s="22">
        <f>IF(T$12=0,0,T49/T$12)</f>
        <v>4.5374971496432111E-2</v>
      </c>
      <c r="W49" s="16"/>
      <c r="X49" s="21">
        <f>+P49-T49</f>
        <v>76183.679999999353</v>
      </c>
      <c r="Y49" s="16"/>
      <c r="Z49" s="22">
        <f>IF(T49=0,0,X49/T49)</f>
        <v>1.4039436046620659</v>
      </c>
    </row>
    <row r="50" spans="1:26" x14ac:dyDescent="0.3">
      <c r="A50" s="9"/>
      <c r="B50" s="10"/>
      <c r="C50" s="9"/>
      <c r="D50" s="1"/>
      <c r="E50" s="1"/>
      <c r="F50" s="5"/>
      <c r="G50" s="1"/>
      <c r="H50" s="1"/>
      <c r="I50" s="1"/>
      <c r="J50" s="5"/>
      <c r="K50" s="1"/>
      <c r="L50" s="1"/>
      <c r="M50" s="1"/>
      <c r="N50" s="5"/>
      <c r="O50" s="37"/>
      <c r="P50" s="1"/>
      <c r="Q50" s="1"/>
      <c r="R50" s="5"/>
      <c r="S50" s="1"/>
      <c r="T50" s="1"/>
      <c r="U50" s="1"/>
      <c r="V50" s="5"/>
      <c r="W50" s="1"/>
      <c r="X50" s="1"/>
      <c r="Y50" s="1"/>
      <c r="Z50" s="5"/>
    </row>
    <row r="51" spans="1:26" s="23" customFormat="1" x14ac:dyDescent="0.3">
      <c r="A51" s="10"/>
      <c r="B51" s="26" t="s">
        <v>294</v>
      </c>
      <c r="C51" s="10"/>
      <c r="D51" s="20">
        <f>SUM(OSRRefD22x_0)</f>
        <v>12756.37</v>
      </c>
      <c r="E51" s="20"/>
      <c r="F51" s="32">
        <f t="shared" ref="F51:F61" si="20">IF(D$12=0,0,D51/D$12)</f>
        <v>0.13786532819988295</v>
      </c>
      <c r="G51" s="20"/>
      <c r="H51" s="20">
        <f>SUM(OSRRefH22x_0)</f>
        <v>12478.91</v>
      </c>
      <c r="I51" s="20"/>
      <c r="J51" s="32">
        <f t="shared" ref="J51:J61" si="21">IF(H$12=0,0,H51/H$12)</f>
        <v>0.2087424560527803</v>
      </c>
      <c r="K51" s="4"/>
      <c r="L51" s="20">
        <f t="shared" ref="L51:L61" si="22">+D51-H51</f>
        <v>277.46000000000095</v>
      </c>
      <c r="M51" s="4"/>
      <c r="N51" s="32">
        <f t="shared" ref="N51:N61" si="23">IF(H51=0,0,L51/H51)</f>
        <v>2.2234313734132306E-2</v>
      </c>
      <c r="O51" s="10"/>
      <c r="P51" s="20">
        <f>SUM(OSRRefP22x_0)</f>
        <v>71781.51999999999</v>
      </c>
      <c r="Q51" s="20"/>
      <c r="R51" s="32">
        <f t="shared" ref="R51:R61" si="24">IF(P$12=0,0,P51/P$12)</f>
        <v>8.6161176780709933E-2</v>
      </c>
      <c r="S51" s="20"/>
      <c r="T51" s="20">
        <f>SUM(OSRRefT22x_0)</f>
        <v>66383.699999999983</v>
      </c>
      <c r="U51" s="20"/>
      <c r="V51" s="32">
        <f t="shared" ref="V51:V61" si="25">IF(T$12=0,0,T51/T$12)</f>
        <v>5.5509272533748322E-2</v>
      </c>
      <c r="W51" s="4"/>
      <c r="X51" s="20">
        <f t="shared" ref="X51:X61" si="26">+P51-T51</f>
        <v>5397.820000000007</v>
      </c>
      <c r="Y51" s="4"/>
      <c r="Z51" s="32">
        <f t="shared" ref="Z51:Z61" si="27">IF(T51=0,0,X51/T51)</f>
        <v>8.1312430611731615E-2</v>
      </c>
    </row>
    <row r="52" spans="1:26" s="29" customFormat="1" outlineLevel="1" collapsed="1" x14ac:dyDescent="0.3">
      <c r="A52" s="28"/>
      <c r="B52" s="14" t="str">
        <f>CONCATENATE("     ","*Benefits                                         ")</f>
        <v xml:space="preserve">     *Benefits                                         </v>
      </c>
      <c r="C52" s="14"/>
      <c r="D52" s="1">
        <f>SUM(OSRRefD22_0x_0)</f>
        <v>2357.9199999999996</v>
      </c>
      <c r="E52" s="1"/>
      <c r="F52" s="5">
        <f t="shared" si="20"/>
        <v>2.5483379258289619E-2</v>
      </c>
      <c r="G52" s="1"/>
      <c r="H52" s="1">
        <f>SUM(OSRRefH22_0x_0)</f>
        <v>2874.4300000000003</v>
      </c>
      <c r="I52" s="1"/>
      <c r="J52" s="5">
        <f t="shared" si="21"/>
        <v>4.8082370812177776E-2</v>
      </c>
      <c r="K52" s="1"/>
      <c r="L52" s="1">
        <f t="shared" si="22"/>
        <v>-516.51000000000067</v>
      </c>
      <c r="M52" s="1"/>
      <c r="N52" s="5">
        <f t="shared" si="23"/>
        <v>-0.17969127792292755</v>
      </c>
      <c r="O52" s="14"/>
      <c r="P52" s="1">
        <f>SUM(OSRRefP22_0x_0)</f>
        <v>8923.5300000000007</v>
      </c>
      <c r="Q52" s="1"/>
      <c r="R52" s="5">
        <f t="shared" si="24"/>
        <v>1.0711139104298273E-2</v>
      </c>
      <c r="S52" s="1"/>
      <c r="T52" s="1">
        <f>SUM(OSRRefT22_0x_0)</f>
        <v>14834.34</v>
      </c>
      <c r="U52" s="1"/>
      <c r="V52" s="5">
        <f t="shared" si="25"/>
        <v>1.2404301386007172E-2</v>
      </c>
      <c r="W52" s="1"/>
      <c r="X52" s="1">
        <f t="shared" si="26"/>
        <v>-5910.8099999999995</v>
      </c>
      <c r="Y52" s="1"/>
      <c r="Z52" s="5">
        <f t="shared" si="27"/>
        <v>-0.39845453184974861</v>
      </c>
    </row>
    <row r="53" spans="1:26" s="24" customFormat="1" hidden="1" outlineLevel="2" x14ac:dyDescent="0.3">
      <c r="A53" s="27"/>
      <c r="B53" s="11" t="str">
        <f>CONCATENATE("          ", "6111", " - ", "F.I.C.A.")</f>
        <v xml:space="preserve">          6111 - F.I.C.A.</v>
      </c>
      <c r="C53" s="11"/>
      <c r="D53" s="6">
        <v>475.62</v>
      </c>
      <c r="E53" s="2"/>
      <c r="F53" s="7">
        <f t="shared" si="20"/>
        <v>5.1402951935721778E-3</v>
      </c>
      <c r="G53" s="2"/>
      <c r="H53" s="6">
        <v>448.03</v>
      </c>
      <c r="I53" s="2"/>
      <c r="J53" s="7">
        <f t="shared" si="21"/>
        <v>7.4944752855279151E-3</v>
      </c>
      <c r="K53" s="2"/>
      <c r="L53" s="6">
        <f t="shared" si="22"/>
        <v>27.590000000000032</v>
      </c>
      <c r="M53" s="2"/>
      <c r="N53" s="7">
        <f t="shared" si="23"/>
        <v>6.1580697721134822E-2</v>
      </c>
      <c r="O53" s="11"/>
      <c r="P53" s="6">
        <v>2809.64</v>
      </c>
      <c r="Q53" s="2"/>
      <c r="R53" s="7">
        <f t="shared" si="24"/>
        <v>3.3724820640487116E-3</v>
      </c>
      <c r="S53" s="2"/>
      <c r="T53" s="6">
        <v>2947.04</v>
      </c>
      <c r="U53" s="2"/>
      <c r="V53" s="7">
        <f t="shared" si="25"/>
        <v>2.4642803358031818E-3</v>
      </c>
      <c r="W53" s="2"/>
      <c r="X53" s="6">
        <f t="shared" si="26"/>
        <v>-137.40000000000009</v>
      </c>
      <c r="Y53" s="2"/>
      <c r="Z53" s="7">
        <f t="shared" si="27"/>
        <v>-4.6623052282968702E-2</v>
      </c>
    </row>
    <row r="54" spans="1:26" s="24" customFormat="1" hidden="1" outlineLevel="2" x14ac:dyDescent="0.3">
      <c r="A54" s="27"/>
      <c r="B54" s="11" t="str">
        <f>CONCATENATE("          ", "6112", " - ", "COMPENSATION INSURANCE")</f>
        <v xml:space="preserve">          6112 - COMPENSATION INSURANCE</v>
      </c>
      <c r="C54" s="11"/>
      <c r="D54" s="6">
        <v>124.44</v>
      </c>
      <c r="E54" s="2"/>
      <c r="F54" s="7">
        <f t="shared" si="20"/>
        <v>1.3448936837982461E-3</v>
      </c>
      <c r="G54" s="2"/>
      <c r="H54" s="6">
        <v>256.8</v>
      </c>
      <c r="I54" s="2"/>
      <c r="J54" s="7">
        <f t="shared" si="21"/>
        <v>4.2956526422863843E-3</v>
      </c>
      <c r="K54" s="2"/>
      <c r="L54" s="6">
        <f t="shared" si="22"/>
        <v>-132.36000000000001</v>
      </c>
      <c r="M54" s="2"/>
      <c r="N54" s="7">
        <f t="shared" si="23"/>
        <v>-0.51542056074766363</v>
      </c>
      <c r="O54" s="11"/>
      <c r="P54" s="6">
        <v>734.4</v>
      </c>
      <c r="Q54" s="2"/>
      <c r="R54" s="7">
        <f t="shared" si="24"/>
        <v>8.8151892336291258E-4</v>
      </c>
      <c r="S54" s="2"/>
      <c r="T54" s="6">
        <v>725.73</v>
      </c>
      <c r="U54" s="2"/>
      <c r="V54" s="7">
        <f t="shared" si="25"/>
        <v>6.0684692712092243E-4</v>
      </c>
      <c r="W54" s="2"/>
      <c r="X54" s="6">
        <f t="shared" si="26"/>
        <v>8.6699999999999591</v>
      </c>
      <c r="Y54" s="2"/>
      <c r="Z54" s="7">
        <f t="shared" si="27"/>
        <v>1.1946591707659817E-2</v>
      </c>
    </row>
    <row r="55" spans="1:26" s="24" customFormat="1" hidden="1" outlineLevel="2" x14ac:dyDescent="0.3">
      <c r="A55" s="27"/>
      <c r="B55" s="11" t="str">
        <f>CONCATENATE("          ", "6113", " - ", "GROUP INSURANCE")</f>
        <v xml:space="preserve">          6113 - GROUP INSURANCE</v>
      </c>
      <c r="C55" s="11"/>
      <c r="D55" s="6">
        <v>853.84</v>
      </c>
      <c r="E55" s="2"/>
      <c r="F55" s="7">
        <f t="shared" si="20"/>
        <v>9.2279333250907623E-3</v>
      </c>
      <c r="G55" s="2"/>
      <c r="H55" s="6">
        <v>1035.69</v>
      </c>
      <c r="I55" s="2"/>
      <c r="J55" s="7">
        <f t="shared" si="21"/>
        <v>1.7324628057202435E-2</v>
      </c>
      <c r="K55" s="2"/>
      <c r="L55" s="6">
        <f t="shared" si="22"/>
        <v>-181.85000000000002</v>
      </c>
      <c r="M55" s="2"/>
      <c r="N55" s="7">
        <f t="shared" si="23"/>
        <v>-0.1755834274734718</v>
      </c>
      <c r="O55" s="11"/>
      <c r="P55" s="6">
        <v>2896.57</v>
      </c>
      <c r="Q55" s="2"/>
      <c r="R55" s="7">
        <f t="shared" si="24"/>
        <v>3.4768263451052722E-3</v>
      </c>
      <c r="S55" s="2"/>
      <c r="T55" s="6">
        <v>5178.45</v>
      </c>
      <c r="U55" s="2"/>
      <c r="V55" s="7">
        <f t="shared" si="25"/>
        <v>4.3301592462063583E-3</v>
      </c>
      <c r="W55" s="2"/>
      <c r="X55" s="6">
        <f t="shared" si="26"/>
        <v>-2281.8799999999997</v>
      </c>
      <c r="Y55" s="2"/>
      <c r="Z55" s="7">
        <f t="shared" si="27"/>
        <v>-0.44064922901640446</v>
      </c>
    </row>
    <row r="56" spans="1:26" s="24" customFormat="1" hidden="1" outlineLevel="2" x14ac:dyDescent="0.3">
      <c r="A56" s="27"/>
      <c r="B56" s="11" t="str">
        <f>CONCATENATE("          ", "6114", " - ", "STATE UNEMPLOYMENT INSURANCE")</f>
        <v xml:space="preserve">          6114 - STATE UNEMPLOYMENT INSURANCE</v>
      </c>
      <c r="C56" s="11"/>
      <c r="D56" s="6">
        <v>21.86</v>
      </c>
      <c r="E56" s="2"/>
      <c r="F56" s="7">
        <f t="shared" si="20"/>
        <v>2.3625342275658678E-4</v>
      </c>
      <c r="G56" s="2"/>
      <c r="H56" s="6">
        <v>36.090000000000003</v>
      </c>
      <c r="I56" s="2"/>
      <c r="J56" s="7">
        <f t="shared" si="21"/>
        <v>6.0369978138674304E-4</v>
      </c>
      <c r="K56" s="2"/>
      <c r="L56" s="6">
        <f t="shared" si="22"/>
        <v>-14.230000000000004</v>
      </c>
      <c r="M56" s="2"/>
      <c r="N56" s="7">
        <f t="shared" si="23"/>
        <v>-0.3942920476586313</v>
      </c>
      <c r="O56" s="11"/>
      <c r="P56" s="6">
        <v>129.02000000000001</v>
      </c>
      <c r="Q56" s="2"/>
      <c r="R56" s="7">
        <f t="shared" si="24"/>
        <v>1.5486597425419798E-4</v>
      </c>
      <c r="S56" s="2"/>
      <c r="T56" s="6">
        <v>116.69</v>
      </c>
      <c r="U56" s="2"/>
      <c r="V56" s="7">
        <f t="shared" si="25"/>
        <v>9.7574811466716871E-5</v>
      </c>
      <c r="W56" s="2"/>
      <c r="X56" s="6">
        <f t="shared" si="26"/>
        <v>12.330000000000013</v>
      </c>
      <c r="Y56" s="2"/>
      <c r="Z56" s="7">
        <f t="shared" si="27"/>
        <v>0.10566458136944051</v>
      </c>
    </row>
    <row r="57" spans="1:26" s="24" customFormat="1" hidden="1" outlineLevel="2" x14ac:dyDescent="0.3">
      <c r="A57" s="27"/>
      <c r="B57" s="11" t="str">
        <f>CONCATENATE("          ", "6115", " - ", "P.E.R.S.")</f>
        <v xml:space="preserve">          6115 - P.E.R.S.</v>
      </c>
      <c r="C57" s="11"/>
      <c r="D57" s="6">
        <v>103.22</v>
      </c>
      <c r="E57" s="2"/>
      <c r="F57" s="7">
        <f t="shared" si="20"/>
        <v>1.1155571041598759E-3</v>
      </c>
      <c r="G57" s="2"/>
      <c r="H57" s="6">
        <v>176.42</v>
      </c>
      <c r="I57" s="2"/>
      <c r="J57" s="7">
        <f t="shared" si="21"/>
        <v>2.9510866010598281E-3</v>
      </c>
      <c r="K57" s="2"/>
      <c r="L57" s="6">
        <f t="shared" si="22"/>
        <v>-73.199999999999989</v>
      </c>
      <c r="M57" s="2"/>
      <c r="N57" s="7">
        <f t="shared" si="23"/>
        <v>-0.41491894343045005</v>
      </c>
      <c r="O57" s="11"/>
      <c r="P57" s="6">
        <v>584.5</v>
      </c>
      <c r="Q57" s="2"/>
      <c r="R57" s="7">
        <f t="shared" si="24"/>
        <v>7.0159015618957298E-4</v>
      </c>
      <c r="S57" s="2"/>
      <c r="T57" s="6">
        <v>970.31</v>
      </c>
      <c r="U57" s="2"/>
      <c r="V57" s="7">
        <f t="shared" si="25"/>
        <v>8.1136185889339317E-4</v>
      </c>
      <c r="W57" s="2"/>
      <c r="X57" s="6">
        <f t="shared" si="26"/>
        <v>-385.80999999999995</v>
      </c>
      <c r="Y57" s="2"/>
      <c r="Z57" s="7">
        <f t="shared" si="27"/>
        <v>-0.39761519514381999</v>
      </c>
    </row>
    <row r="58" spans="1:26" s="24" customFormat="1" hidden="1" outlineLevel="2" x14ac:dyDescent="0.3">
      <c r="A58" s="27"/>
      <c r="B58" s="11" t="str">
        <f>CONCATENATE("          ", "6117", " - ", "RETIREMENT STAFF HOURLY")</f>
        <v xml:space="preserve">          6117 - RETIREMENT STAFF HOURLY</v>
      </c>
      <c r="C58" s="11"/>
      <c r="D58" s="6">
        <v>120</v>
      </c>
      <c r="E58" s="2"/>
      <c r="F58" s="7">
        <f t="shared" si="20"/>
        <v>1.2969080846656183E-3</v>
      </c>
      <c r="G58" s="2"/>
      <c r="H58" s="6">
        <v>154.52000000000001</v>
      </c>
      <c r="I58" s="2"/>
      <c r="J58" s="7">
        <f t="shared" si="21"/>
        <v>2.5847517378741907E-3</v>
      </c>
      <c r="K58" s="2"/>
      <c r="L58" s="6">
        <f t="shared" si="22"/>
        <v>-34.52000000000001</v>
      </c>
      <c r="M58" s="2"/>
      <c r="N58" s="7">
        <f t="shared" si="23"/>
        <v>-0.22340150142376397</v>
      </c>
      <c r="O58" s="11"/>
      <c r="P58" s="6">
        <v>-537.34</v>
      </c>
      <c r="Q58" s="2"/>
      <c r="R58" s="7">
        <f t="shared" si="24"/>
        <v>-6.4498281356185666E-4</v>
      </c>
      <c r="S58" s="2"/>
      <c r="T58" s="6">
        <v>934.08</v>
      </c>
      <c r="U58" s="2"/>
      <c r="V58" s="7">
        <f t="shared" si="25"/>
        <v>7.8106675717568692E-4</v>
      </c>
      <c r="W58" s="2"/>
      <c r="X58" s="6">
        <f t="shared" si="26"/>
        <v>-1471.42</v>
      </c>
      <c r="Y58" s="2"/>
      <c r="Z58" s="7">
        <f t="shared" si="27"/>
        <v>-1.575261219595752</v>
      </c>
    </row>
    <row r="59" spans="1:26" s="24" customFormat="1" hidden="1" outlineLevel="2" x14ac:dyDescent="0.3">
      <c r="A59" s="27"/>
      <c r="B59" s="11" t="str">
        <f>CONCATENATE("          ", "6118", " - ", "VACATION")</f>
        <v xml:space="preserve">          6118 - VACATION</v>
      </c>
      <c r="C59" s="11"/>
      <c r="D59" s="6">
        <v>222.3</v>
      </c>
      <c r="E59" s="2"/>
      <c r="F59" s="7">
        <f t="shared" si="20"/>
        <v>2.402522226843058E-3</v>
      </c>
      <c r="G59" s="2"/>
      <c r="H59" s="6">
        <v>262.39999999999998</v>
      </c>
      <c r="I59" s="2"/>
      <c r="J59" s="7">
        <f t="shared" si="21"/>
        <v>4.3893273104982367E-3</v>
      </c>
      <c r="K59" s="2"/>
      <c r="L59" s="6">
        <f t="shared" si="22"/>
        <v>-40.099999999999966</v>
      </c>
      <c r="M59" s="2"/>
      <c r="N59" s="7">
        <f t="shared" si="23"/>
        <v>-0.15282012195121938</v>
      </c>
      <c r="O59" s="11"/>
      <c r="P59" s="6">
        <v>787.9</v>
      </c>
      <c r="Q59" s="2"/>
      <c r="R59" s="7">
        <f t="shared" si="24"/>
        <v>9.4573632859155617E-4</v>
      </c>
      <c r="S59" s="2"/>
      <c r="T59" s="6">
        <v>1422.5</v>
      </c>
      <c r="U59" s="2"/>
      <c r="V59" s="7">
        <f t="shared" si="25"/>
        <v>1.1894778413866205E-3</v>
      </c>
      <c r="W59" s="2"/>
      <c r="X59" s="6">
        <f t="shared" si="26"/>
        <v>-634.6</v>
      </c>
      <c r="Y59" s="2"/>
      <c r="Z59" s="7">
        <f t="shared" si="27"/>
        <v>-0.44611599297012305</v>
      </c>
    </row>
    <row r="60" spans="1:26" s="24" customFormat="1" hidden="1" outlineLevel="2" x14ac:dyDescent="0.3">
      <c r="A60" s="27"/>
      <c r="B60" s="11" t="str">
        <f>CONCATENATE("          ", "6119", " - ", "SICK LEAVE")</f>
        <v xml:space="preserve">          6119 - SICK LEAVE</v>
      </c>
      <c r="C60" s="11"/>
      <c r="D60" s="6">
        <v>216.23</v>
      </c>
      <c r="E60" s="2"/>
      <c r="F60" s="7">
        <f t="shared" si="20"/>
        <v>2.336920292893722E-3</v>
      </c>
      <c r="G60" s="2"/>
      <c r="H60" s="6">
        <v>262.10000000000002</v>
      </c>
      <c r="I60" s="2"/>
      <c r="J60" s="7">
        <f t="shared" si="21"/>
        <v>4.3843090247011737E-3</v>
      </c>
      <c r="K60" s="2"/>
      <c r="L60" s="6">
        <f t="shared" si="22"/>
        <v>-45.870000000000033</v>
      </c>
      <c r="M60" s="2"/>
      <c r="N60" s="7">
        <f t="shared" si="23"/>
        <v>-0.17500953834414357</v>
      </c>
      <c r="O60" s="11"/>
      <c r="P60" s="6">
        <v>830.68</v>
      </c>
      <c r="Q60" s="2"/>
      <c r="R60" s="7">
        <f t="shared" si="24"/>
        <v>9.9708624626784347E-4</v>
      </c>
      <c r="S60" s="2"/>
      <c r="T60" s="6">
        <v>1416.66</v>
      </c>
      <c r="U60" s="2"/>
      <c r="V60" s="7">
        <f t="shared" si="25"/>
        <v>1.1845945017776942E-3</v>
      </c>
      <c r="W60" s="2"/>
      <c r="X60" s="6">
        <f t="shared" si="26"/>
        <v>-585.98000000000013</v>
      </c>
      <c r="Y60" s="2"/>
      <c r="Z60" s="7">
        <f t="shared" si="27"/>
        <v>-0.41363488769358919</v>
      </c>
    </row>
    <row r="61" spans="1:26" s="24" customFormat="1" hidden="1" outlineLevel="2" x14ac:dyDescent="0.3">
      <c r="A61" s="27"/>
      <c r="B61" s="11" t="str">
        <f>CONCATENATE("          ", "6156", " - ", "EMPLOYEE MEALS")</f>
        <v xml:space="preserve">          6156 - EMPLOYEE MEALS</v>
      </c>
      <c r="C61" s="11"/>
      <c r="D61" s="6">
        <v>220.41</v>
      </c>
      <c r="E61" s="2"/>
      <c r="F61" s="7">
        <f t="shared" si="20"/>
        <v>2.3820959245095742E-3</v>
      </c>
      <c r="G61" s="2"/>
      <c r="H61" s="6">
        <v>242.38</v>
      </c>
      <c r="I61" s="2"/>
      <c r="J61" s="7">
        <f t="shared" si="21"/>
        <v>4.0544403716408633E-3</v>
      </c>
      <c r="K61" s="2"/>
      <c r="L61" s="6">
        <f t="shared" si="22"/>
        <v>-21.97</v>
      </c>
      <c r="M61" s="2"/>
      <c r="N61" s="7">
        <f t="shared" si="23"/>
        <v>-9.0642792309596501E-2</v>
      </c>
      <c r="O61" s="11"/>
      <c r="P61" s="6">
        <v>688.16</v>
      </c>
      <c r="Q61" s="2"/>
      <c r="R61" s="7">
        <f t="shared" si="24"/>
        <v>8.2601588004006256E-4</v>
      </c>
      <c r="S61" s="2"/>
      <c r="T61" s="6">
        <v>1122.8800000000001</v>
      </c>
      <c r="U61" s="2"/>
      <c r="V61" s="7">
        <f t="shared" si="25"/>
        <v>9.3893910617659656E-4</v>
      </c>
      <c r="W61" s="2"/>
      <c r="X61" s="6">
        <f t="shared" si="26"/>
        <v>-434.72000000000014</v>
      </c>
      <c r="Y61" s="2"/>
      <c r="Z61" s="7">
        <f t="shared" si="27"/>
        <v>-0.38714733542319757</v>
      </c>
    </row>
    <row r="62" spans="1:26" s="29" customFormat="1" outlineLevel="1" collapsed="1" x14ac:dyDescent="0.3">
      <c r="A62" s="28"/>
      <c r="B62" s="14" t="str">
        <f>CONCATENATE("     ","*Payroll                                          ")</f>
        <v xml:space="preserve">     *Payroll                                          </v>
      </c>
      <c r="C62" s="14"/>
      <c r="D62" s="1">
        <f>SUM(OSRRefD22_1x_0)</f>
        <v>9218.130000000001</v>
      </c>
      <c r="E62" s="1"/>
      <c r="F62" s="5">
        <f t="shared" ref="F62:F67" si="28">IF(D$12=0,0,D62/D$12)</f>
        <v>9.9625561020822304E-2</v>
      </c>
      <c r="G62" s="1"/>
      <c r="H62" s="1">
        <f>SUM(OSRRefH22_1x_0)</f>
        <v>7316.2099999999991</v>
      </c>
      <c r="I62" s="1"/>
      <c r="J62" s="5">
        <f t="shared" ref="J62:J67" si="29">IF(H$12=0,0,H62/H$12)</f>
        <v>0.12238277577111396</v>
      </c>
      <c r="K62" s="1"/>
      <c r="L62" s="1">
        <f t="shared" ref="L62:L67" si="30">+D62-H62</f>
        <v>1901.9200000000019</v>
      </c>
      <c r="M62" s="1"/>
      <c r="N62" s="5">
        <f t="shared" ref="N62:N67" si="31">IF(H62=0,0,L62/H62)</f>
        <v>0.25995973324986599</v>
      </c>
      <c r="O62" s="14"/>
      <c r="P62" s="1">
        <f>SUM(OSRRefP22_1x_0)</f>
        <v>51584.020000000004</v>
      </c>
      <c r="Q62" s="1"/>
      <c r="R62" s="5">
        <f t="shared" ref="R62:R67" si="32">IF(P$12=0,0,P62/P$12)</f>
        <v>6.1917605900232785E-2</v>
      </c>
      <c r="S62" s="1"/>
      <c r="T62" s="1">
        <f>SUM(OSRRefT22_1x_0)</f>
        <v>39479.78</v>
      </c>
      <c r="U62" s="1"/>
      <c r="V62" s="5">
        <f t="shared" ref="V62:V67" si="33">IF(T$12=0,0,T62/T$12)</f>
        <v>3.3012529696181847E-2</v>
      </c>
      <c r="W62" s="1"/>
      <c r="X62" s="1">
        <f t="shared" ref="X62:X67" si="34">+P62-T62</f>
        <v>12104.240000000005</v>
      </c>
      <c r="Y62" s="1"/>
      <c r="Z62" s="5">
        <f t="shared" ref="Z62:Z67" si="35">IF(T62=0,0,X62/T62)</f>
        <v>0.30659340046981026</v>
      </c>
    </row>
    <row r="63" spans="1:26" s="24" customFormat="1" hidden="1" outlineLevel="2" x14ac:dyDescent="0.3">
      <c r="A63" s="27"/>
      <c r="B63" s="11" t="str">
        <f>CONCATENATE("          ", "6002", " - ", "STAFF SALARIES")</f>
        <v xml:space="preserve">          6002 - STAFF SALARIES</v>
      </c>
      <c r="C63" s="11"/>
      <c r="D63" s="6">
        <v>1156</v>
      </c>
      <c r="E63" s="2"/>
      <c r="F63" s="7">
        <f t="shared" si="28"/>
        <v>1.2493547882278789E-2</v>
      </c>
      <c r="G63" s="2"/>
      <c r="H63" s="6">
        <v>1939.96</v>
      </c>
      <c r="I63" s="2"/>
      <c r="J63" s="7">
        <f t="shared" si="29"/>
        <v>3.2450912382904575E-2</v>
      </c>
      <c r="K63" s="2"/>
      <c r="L63" s="6">
        <f t="shared" si="30"/>
        <v>-783.96</v>
      </c>
      <c r="M63" s="2"/>
      <c r="N63" s="7">
        <f t="shared" si="31"/>
        <v>-0.40411142497783459</v>
      </c>
      <c r="O63" s="11"/>
      <c r="P63" s="6">
        <v>10192.94</v>
      </c>
      <c r="Q63" s="2"/>
      <c r="R63" s="7">
        <f t="shared" si="32"/>
        <v>1.2234844083200936E-2</v>
      </c>
      <c r="S63" s="2"/>
      <c r="T63" s="6">
        <v>11297.39</v>
      </c>
      <c r="U63" s="2"/>
      <c r="V63" s="7">
        <f t="shared" si="33"/>
        <v>9.4467452165221746E-3</v>
      </c>
      <c r="W63" s="2"/>
      <c r="X63" s="6">
        <f t="shared" si="34"/>
        <v>-1104.4499999999989</v>
      </c>
      <c r="Y63" s="2"/>
      <c r="Z63" s="7">
        <f t="shared" si="35"/>
        <v>-9.7761518368401815E-2</v>
      </c>
    </row>
    <row r="64" spans="1:26" s="24" customFormat="1" hidden="1" outlineLevel="2" x14ac:dyDescent="0.3">
      <c r="A64" s="27"/>
      <c r="B64" s="11" t="str">
        <f>CONCATENATE("          ", "6004", " - ", "STAFF HOURLY")</f>
        <v xml:space="preserve">          6004 - STAFF HOURLY</v>
      </c>
      <c r="C64" s="11"/>
      <c r="D64" s="6">
        <v>3988.37</v>
      </c>
      <c r="E64" s="2"/>
      <c r="F64" s="7">
        <f t="shared" si="28"/>
        <v>4.3104577480315098E-2</v>
      </c>
      <c r="G64" s="2"/>
      <c r="H64" s="6">
        <v>3395.52</v>
      </c>
      <c r="I64" s="2"/>
      <c r="J64" s="7">
        <f t="shared" si="29"/>
        <v>5.6798965965483894E-2</v>
      </c>
      <c r="K64" s="2"/>
      <c r="L64" s="6">
        <f t="shared" si="30"/>
        <v>592.84999999999991</v>
      </c>
      <c r="M64" s="2"/>
      <c r="N64" s="7">
        <f t="shared" si="31"/>
        <v>0.17459770521157286</v>
      </c>
      <c r="O64" s="11"/>
      <c r="P64" s="6">
        <v>14750.48</v>
      </c>
      <c r="Q64" s="2"/>
      <c r="R64" s="7">
        <f t="shared" si="32"/>
        <v>1.7705374793962655E-2</v>
      </c>
      <c r="S64" s="2"/>
      <c r="T64" s="6">
        <v>17816.16</v>
      </c>
      <c r="U64" s="2"/>
      <c r="V64" s="7">
        <f t="shared" si="33"/>
        <v>1.4897664350508719E-2</v>
      </c>
      <c r="W64" s="2"/>
      <c r="X64" s="6">
        <f t="shared" si="34"/>
        <v>-3065.6800000000003</v>
      </c>
      <c r="Y64" s="2"/>
      <c r="Z64" s="7">
        <f t="shared" si="35"/>
        <v>-0.17207299440507945</v>
      </c>
    </row>
    <row r="65" spans="1:26" s="24" customFormat="1" hidden="1" outlineLevel="2" x14ac:dyDescent="0.3">
      <c r="A65" s="27"/>
      <c r="B65" s="11" t="str">
        <f>CONCATENATE("          ", "6005", " - ", "TEMPORARY WAGES-HOURLY")</f>
        <v xml:space="preserve">          6005 - TEMPORARY WAGES-HOURLY</v>
      </c>
      <c r="C65" s="11"/>
      <c r="D65" s="6">
        <v>1088.5899999999999</v>
      </c>
      <c r="E65" s="2"/>
      <c r="F65" s="7">
        <f t="shared" si="28"/>
        <v>1.1765009765717878E-2</v>
      </c>
      <c r="G65" s="2"/>
      <c r="H65" s="6"/>
      <c r="I65" s="2"/>
      <c r="J65" s="7">
        <f t="shared" si="29"/>
        <v>0</v>
      </c>
      <c r="K65" s="2"/>
      <c r="L65" s="6">
        <f t="shared" si="30"/>
        <v>1088.5899999999999</v>
      </c>
      <c r="M65" s="2"/>
      <c r="N65" s="7">
        <f t="shared" si="31"/>
        <v>0</v>
      </c>
      <c r="O65" s="11"/>
      <c r="P65" s="6">
        <v>5007.47</v>
      </c>
      <c r="Q65" s="2"/>
      <c r="R65" s="7">
        <f t="shared" si="32"/>
        <v>6.0105930871079578E-3</v>
      </c>
      <c r="S65" s="2"/>
      <c r="T65" s="6"/>
      <c r="U65" s="2"/>
      <c r="V65" s="7">
        <f t="shared" si="33"/>
        <v>0</v>
      </c>
      <c r="W65" s="2"/>
      <c r="X65" s="6">
        <f t="shared" si="34"/>
        <v>5007.47</v>
      </c>
      <c r="Y65" s="2"/>
      <c r="Z65" s="7">
        <f t="shared" si="35"/>
        <v>0</v>
      </c>
    </row>
    <row r="66" spans="1:26" s="24" customFormat="1" hidden="1" outlineLevel="2" x14ac:dyDescent="0.3">
      <c r="A66" s="27"/>
      <c r="B66" s="11" t="str">
        <f>CONCATENATE("          ", "6007", " - ", "STUDENT HOURLY")</f>
        <v xml:space="preserve">          6007 - STUDENT HOURLY</v>
      </c>
      <c r="C66" s="11"/>
      <c r="D66" s="6">
        <v>1970.89</v>
      </c>
      <c r="E66" s="2"/>
      <c r="F66" s="7">
        <f t="shared" si="28"/>
        <v>2.1300526458221839E-2</v>
      </c>
      <c r="G66" s="2"/>
      <c r="H66" s="6">
        <v>1980.73</v>
      </c>
      <c r="I66" s="2"/>
      <c r="J66" s="7">
        <f t="shared" si="29"/>
        <v>3.3132897422725509E-2</v>
      </c>
      <c r="K66" s="2"/>
      <c r="L66" s="6">
        <f t="shared" si="30"/>
        <v>-9.8399999999999181</v>
      </c>
      <c r="M66" s="2"/>
      <c r="N66" s="7">
        <f t="shared" si="31"/>
        <v>-4.9678653829648249E-3</v>
      </c>
      <c r="O66" s="11"/>
      <c r="P66" s="6">
        <v>16601.150000000001</v>
      </c>
      <c r="Q66" s="2"/>
      <c r="R66" s="7">
        <f t="shared" si="32"/>
        <v>1.9926780874981235E-2</v>
      </c>
      <c r="S66" s="2"/>
      <c r="T66" s="6">
        <v>10366.23</v>
      </c>
      <c r="U66" s="2"/>
      <c r="V66" s="7">
        <f t="shared" si="33"/>
        <v>8.66812012915095E-3</v>
      </c>
      <c r="W66" s="2"/>
      <c r="X66" s="6">
        <f t="shared" si="34"/>
        <v>6234.9200000000019</v>
      </c>
      <c r="Y66" s="2"/>
      <c r="Z66" s="7">
        <f t="shared" si="35"/>
        <v>0.60146456329832565</v>
      </c>
    </row>
    <row r="67" spans="1:26" s="24" customFormat="1" hidden="1" outlineLevel="2" x14ac:dyDescent="0.3">
      <c r="A67" s="27"/>
      <c r="B67" s="11" t="str">
        <f>CONCATENATE("          ", "6008", " - ", "STUDENT HOURLY-FICA EXEMPT")</f>
        <v xml:space="preserve">          6008 - STUDENT HOURLY-FICA EXEMPT</v>
      </c>
      <c r="C67" s="11"/>
      <c r="D67" s="6">
        <v>1014.28</v>
      </c>
      <c r="E67" s="2"/>
      <c r="F67" s="7">
        <f t="shared" si="28"/>
        <v>1.0961899434288694E-2</v>
      </c>
      <c r="G67" s="2"/>
      <c r="H67" s="6"/>
      <c r="I67" s="2"/>
      <c r="J67" s="7">
        <f t="shared" si="29"/>
        <v>0</v>
      </c>
      <c r="K67" s="2"/>
      <c r="L67" s="6">
        <f t="shared" si="30"/>
        <v>1014.28</v>
      </c>
      <c r="M67" s="2"/>
      <c r="N67" s="7">
        <f t="shared" si="31"/>
        <v>0</v>
      </c>
      <c r="O67" s="11"/>
      <c r="P67" s="6">
        <v>5031.9799999999996</v>
      </c>
      <c r="Q67" s="2"/>
      <c r="R67" s="7">
        <f t="shared" si="32"/>
        <v>6.0400130609799957E-3</v>
      </c>
      <c r="S67" s="2"/>
      <c r="T67" s="6"/>
      <c r="U67" s="2"/>
      <c r="V67" s="7">
        <f t="shared" si="33"/>
        <v>0</v>
      </c>
      <c r="W67" s="2"/>
      <c r="X67" s="6">
        <f t="shared" si="34"/>
        <v>5031.9799999999996</v>
      </c>
      <c r="Y67" s="2"/>
      <c r="Z67" s="7">
        <f t="shared" si="35"/>
        <v>0</v>
      </c>
    </row>
    <row r="68" spans="1:26" s="29" customFormat="1" outlineLevel="1" collapsed="1" x14ac:dyDescent="0.3">
      <c r="A68" s="28"/>
      <c r="B68" s="14" t="str">
        <f>CONCATENATE("     ","Advertising/Promo                                 ")</f>
        <v xml:space="preserve">     Advertising/Promo                                 </v>
      </c>
      <c r="C68" s="14"/>
      <c r="D68" s="1">
        <f>SUM(OSRRefD22_2x_0)</f>
        <v>6.62</v>
      </c>
      <c r="E68" s="1"/>
      <c r="F68" s="5">
        <f t="shared" ref="F68:F76" si="36">IF(D$12=0,0,D68/D$12)</f>
        <v>7.1546096004053281E-5</v>
      </c>
      <c r="G68" s="1"/>
      <c r="H68" s="1">
        <f>SUM(OSRRefH22_2x_0)</f>
        <v>0</v>
      </c>
      <c r="I68" s="1"/>
      <c r="J68" s="5">
        <f t="shared" ref="J68:J76" si="37">IF(H$12=0,0,H68/H$12)</f>
        <v>0</v>
      </c>
      <c r="K68" s="1"/>
      <c r="L68" s="1">
        <f t="shared" ref="L68:L76" si="38">+D68-H68</f>
        <v>6.62</v>
      </c>
      <c r="M68" s="1"/>
      <c r="N68" s="5">
        <f t="shared" ref="N68:N76" si="39">IF(H68=0,0,L68/H68)</f>
        <v>0</v>
      </c>
      <c r="O68" s="14"/>
      <c r="P68" s="1">
        <f>SUM(OSRRefP22_2x_0)</f>
        <v>118.13</v>
      </c>
      <c r="Q68" s="1"/>
      <c r="R68" s="5">
        <f t="shared" ref="R68:R76" si="40">IF(P$12=0,0,P68/P$12)</f>
        <v>1.4179443139550771E-4</v>
      </c>
      <c r="S68" s="1"/>
      <c r="T68" s="1">
        <f>SUM(OSRRefT22_2x_0)</f>
        <v>248.88</v>
      </c>
      <c r="U68" s="1"/>
      <c r="V68" s="5">
        <f t="shared" ref="V68:V76" si="41">IF(T$12=0,0,T68/T$12)</f>
        <v>2.0811054141602962E-4</v>
      </c>
      <c r="W68" s="1"/>
      <c r="X68" s="1">
        <f t="shared" ref="X68:X76" si="42">+P68-T68</f>
        <v>-130.75</v>
      </c>
      <c r="Y68" s="1"/>
      <c r="Z68" s="5">
        <f t="shared" ref="Z68:Z76" si="43">IF(T68=0,0,X68/T68)</f>
        <v>-0.52535358405657351</v>
      </c>
    </row>
    <row r="69" spans="1:26" s="24" customFormat="1" hidden="1" outlineLevel="2" x14ac:dyDescent="0.3">
      <c r="A69" s="27"/>
      <c r="B69" s="11" t="str">
        <f>CONCATENATE("          ", "6362", " - ", "ADVERTISING EXPENSE")</f>
        <v xml:space="preserve">          6362 - ADVERTISING EXPENSE</v>
      </c>
      <c r="C69" s="11"/>
      <c r="D69" s="6">
        <v>6.62</v>
      </c>
      <c r="E69" s="2"/>
      <c r="F69" s="7">
        <f t="shared" si="36"/>
        <v>7.1546096004053281E-5</v>
      </c>
      <c r="G69" s="2"/>
      <c r="H69" s="6"/>
      <c r="I69" s="2"/>
      <c r="J69" s="7">
        <f t="shared" si="37"/>
        <v>0</v>
      </c>
      <c r="K69" s="2"/>
      <c r="L69" s="6">
        <f t="shared" si="38"/>
        <v>6.62</v>
      </c>
      <c r="M69" s="2"/>
      <c r="N69" s="7">
        <f t="shared" si="39"/>
        <v>0</v>
      </c>
      <c r="O69" s="11"/>
      <c r="P69" s="6">
        <v>118.13</v>
      </c>
      <c r="Q69" s="2"/>
      <c r="R69" s="7">
        <f t="shared" si="40"/>
        <v>1.4179443139550771E-4</v>
      </c>
      <c r="S69" s="2"/>
      <c r="T69" s="6">
        <v>248.88</v>
      </c>
      <c r="U69" s="2"/>
      <c r="V69" s="7">
        <f t="shared" si="41"/>
        <v>2.0811054141602962E-4</v>
      </c>
      <c r="W69" s="2"/>
      <c r="X69" s="6">
        <f t="shared" si="42"/>
        <v>-130.75</v>
      </c>
      <c r="Y69" s="2"/>
      <c r="Z69" s="7">
        <f t="shared" si="43"/>
        <v>-0.52535358405657351</v>
      </c>
    </row>
    <row r="70" spans="1:26" s="29" customFormat="1" outlineLevel="1" collapsed="1" x14ac:dyDescent="0.3">
      <c r="A70" s="28"/>
      <c r="B70" s="14" t="str">
        <f>CONCATENATE("     ","Depreciation                                      ")</f>
        <v xml:space="preserve">     Depreciation                                      </v>
      </c>
      <c r="C70" s="14"/>
      <c r="D70" s="1">
        <f>SUM(OSRRefD22_3x_0)</f>
        <v>280.44</v>
      </c>
      <c r="E70" s="1"/>
      <c r="F70" s="5">
        <f t="shared" si="36"/>
        <v>3.03087419386355E-3</v>
      </c>
      <c r="G70" s="1"/>
      <c r="H70" s="1">
        <f>SUM(OSRRefH22_3x_0)</f>
        <v>280.44</v>
      </c>
      <c r="I70" s="1"/>
      <c r="J70" s="5">
        <f t="shared" si="37"/>
        <v>4.6910935630949911E-3</v>
      </c>
      <c r="K70" s="1"/>
      <c r="L70" s="1">
        <f t="shared" si="38"/>
        <v>0</v>
      </c>
      <c r="M70" s="1"/>
      <c r="N70" s="5">
        <f t="shared" si="39"/>
        <v>0</v>
      </c>
      <c r="O70" s="14"/>
      <c r="P70" s="1">
        <f>SUM(OSRRefP22_3x_0)</f>
        <v>1402.2</v>
      </c>
      <c r="Q70" s="1"/>
      <c r="R70" s="5">
        <f t="shared" si="40"/>
        <v>1.6830961796561494E-3</v>
      </c>
      <c r="S70" s="1"/>
      <c r="T70" s="1">
        <f>SUM(OSRRefT22_3x_0)</f>
        <v>1402.2</v>
      </c>
      <c r="U70" s="1"/>
      <c r="V70" s="5">
        <f t="shared" si="41"/>
        <v>1.1725032191158659E-3</v>
      </c>
      <c r="W70" s="1"/>
      <c r="X70" s="1">
        <f t="shared" si="42"/>
        <v>0</v>
      </c>
      <c r="Y70" s="1"/>
      <c r="Z70" s="5">
        <f t="shared" si="43"/>
        <v>0</v>
      </c>
    </row>
    <row r="71" spans="1:26" s="24" customFormat="1" hidden="1" outlineLevel="2" x14ac:dyDescent="0.3">
      <c r="A71" s="27"/>
      <c r="B71" s="11" t="str">
        <f>CONCATENATE("          ", "6322", " - ", "EQUIPMENT DEPRECIATION EXPENSE")</f>
        <v xml:space="preserve">          6322 - EQUIPMENT DEPRECIATION EXPENSE</v>
      </c>
      <c r="C71" s="11"/>
      <c r="D71" s="6">
        <v>280.44</v>
      </c>
      <c r="E71" s="2"/>
      <c r="F71" s="7">
        <f t="shared" si="36"/>
        <v>3.03087419386355E-3</v>
      </c>
      <c r="G71" s="2"/>
      <c r="H71" s="6">
        <v>280.44</v>
      </c>
      <c r="I71" s="2"/>
      <c r="J71" s="7">
        <f t="shared" si="37"/>
        <v>4.6910935630949911E-3</v>
      </c>
      <c r="K71" s="2"/>
      <c r="L71" s="6">
        <f t="shared" si="38"/>
        <v>0</v>
      </c>
      <c r="M71" s="2"/>
      <c r="N71" s="7">
        <f t="shared" si="39"/>
        <v>0</v>
      </c>
      <c r="O71" s="11"/>
      <c r="P71" s="6">
        <v>1402.2</v>
      </c>
      <c r="Q71" s="2"/>
      <c r="R71" s="7">
        <f t="shared" si="40"/>
        <v>1.6830961796561494E-3</v>
      </c>
      <c r="S71" s="2"/>
      <c r="T71" s="6">
        <v>1402.2</v>
      </c>
      <c r="U71" s="2"/>
      <c r="V71" s="7">
        <f t="shared" si="41"/>
        <v>1.1725032191158659E-3</v>
      </c>
      <c r="W71" s="2"/>
      <c r="X71" s="6">
        <f t="shared" si="42"/>
        <v>0</v>
      </c>
      <c r="Y71" s="2"/>
      <c r="Z71" s="7">
        <f t="shared" si="43"/>
        <v>0</v>
      </c>
    </row>
    <row r="72" spans="1:26" s="29" customFormat="1" outlineLevel="1" collapsed="1" x14ac:dyDescent="0.3">
      <c r="A72" s="28"/>
      <c r="B72" s="14" t="str">
        <f>CONCATENATE("     ","Discounts and Markdowns                           ")</f>
        <v xml:space="preserve">     Discounts and Markdowns                           </v>
      </c>
      <c r="C72" s="14"/>
      <c r="D72" s="1">
        <f>SUM(OSRRefD22_4x_0)</f>
        <v>0</v>
      </c>
      <c r="E72" s="1"/>
      <c r="F72" s="5">
        <f t="shared" si="36"/>
        <v>0</v>
      </c>
      <c r="G72" s="1"/>
      <c r="H72" s="1">
        <f>SUM(OSRRefH22_4x_0)</f>
        <v>0</v>
      </c>
      <c r="I72" s="1"/>
      <c r="J72" s="5">
        <f t="shared" si="37"/>
        <v>0</v>
      </c>
      <c r="K72" s="1"/>
      <c r="L72" s="1">
        <f t="shared" si="38"/>
        <v>0</v>
      </c>
      <c r="M72" s="1"/>
      <c r="N72" s="5">
        <f t="shared" si="39"/>
        <v>0</v>
      </c>
      <c r="O72" s="14"/>
      <c r="P72" s="1">
        <f>SUM(OSRRefP22_4x_0)</f>
        <v>0</v>
      </c>
      <c r="Q72" s="1"/>
      <c r="R72" s="5">
        <f t="shared" si="40"/>
        <v>0</v>
      </c>
      <c r="S72" s="1"/>
      <c r="T72" s="1">
        <f>SUM(OSRRefT22_4x_0)</f>
        <v>0</v>
      </c>
      <c r="U72" s="1"/>
      <c r="V72" s="5">
        <f t="shared" si="41"/>
        <v>0</v>
      </c>
      <c r="W72" s="1"/>
      <c r="X72" s="1">
        <f t="shared" si="42"/>
        <v>0</v>
      </c>
      <c r="Y72" s="1"/>
      <c r="Z72" s="5">
        <f t="shared" si="43"/>
        <v>0</v>
      </c>
    </row>
    <row r="73" spans="1:26" s="24" customFormat="1" hidden="1" outlineLevel="2" x14ac:dyDescent="0.3">
      <c r="A73" s="27"/>
      <c r="B73" s="11" t="str">
        <f>CONCATENATE("          ", "6382", " - ", "DISCOUNTS/MARK DOWNS")</f>
        <v xml:space="preserve">          6382 - DISCOUNTS/MARK DOWNS</v>
      </c>
      <c r="C73" s="11"/>
      <c r="D73" s="6"/>
      <c r="E73" s="2"/>
      <c r="F73" s="7">
        <f t="shared" si="36"/>
        <v>0</v>
      </c>
      <c r="G73" s="2"/>
      <c r="H73" s="6">
        <v>0</v>
      </c>
      <c r="I73" s="2"/>
      <c r="J73" s="7">
        <f t="shared" si="37"/>
        <v>0</v>
      </c>
      <c r="K73" s="2"/>
      <c r="L73" s="6">
        <f t="shared" si="38"/>
        <v>0</v>
      </c>
      <c r="M73" s="2"/>
      <c r="N73" s="7">
        <f t="shared" si="39"/>
        <v>0</v>
      </c>
      <c r="O73" s="11"/>
      <c r="P73" s="6"/>
      <c r="Q73" s="2"/>
      <c r="R73" s="7">
        <f t="shared" si="40"/>
        <v>0</v>
      </c>
      <c r="S73" s="2"/>
      <c r="T73" s="6">
        <v>0</v>
      </c>
      <c r="U73" s="2"/>
      <c r="V73" s="7">
        <f t="shared" si="41"/>
        <v>0</v>
      </c>
      <c r="W73" s="2"/>
      <c r="X73" s="6">
        <f t="shared" si="42"/>
        <v>0</v>
      </c>
      <c r="Y73" s="2"/>
      <c r="Z73" s="7">
        <f t="shared" si="43"/>
        <v>0</v>
      </c>
    </row>
    <row r="74" spans="1:26" s="29" customFormat="1" outlineLevel="1" collapsed="1" x14ac:dyDescent="0.3">
      <c r="A74" s="28"/>
      <c r="B74" s="14" t="str">
        <f>CONCATENATE("     ","Freight out/Postage                               ")</f>
        <v xml:space="preserve">     Freight out/Postage                               </v>
      </c>
      <c r="C74" s="14"/>
      <c r="D74" s="1">
        <f>SUM(OSRRefD22_5x_0)</f>
        <v>0.34</v>
      </c>
      <c r="E74" s="1"/>
      <c r="F74" s="5">
        <f t="shared" si="36"/>
        <v>3.6745729065525854E-6</v>
      </c>
      <c r="G74" s="1"/>
      <c r="H74" s="1">
        <f>SUM(OSRRefH22_5x_0)</f>
        <v>277.12</v>
      </c>
      <c r="I74" s="1"/>
      <c r="J74" s="5">
        <f t="shared" si="37"/>
        <v>4.6355578669408214E-3</v>
      </c>
      <c r="K74" s="1"/>
      <c r="L74" s="1">
        <f t="shared" si="38"/>
        <v>-276.78000000000003</v>
      </c>
      <c r="M74" s="1"/>
      <c r="N74" s="5">
        <f t="shared" si="39"/>
        <v>-0.99877309468822184</v>
      </c>
      <c r="O74" s="14"/>
      <c r="P74" s="1">
        <f>SUM(OSRRefP22_5x_0)</f>
        <v>122.13</v>
      </c>
      <c r="Q74" s="1"/>
      <c r="R74" s="5">
        <f t="shared" si="40"/>
        <v>1.4659573272101376E-4</v>
      </c>
      <c r="S74" s="1"/>
      <c r="T74" s="1">
        <f>SUM(OSRRefT22_5x_0)</f>
        <v>827.59</v>
      </c>
      <c r="U74" s="1"/>
      <c r="V74" s="5">
        <f t="shared" si="41"/>
        <v>6.9202106625880727E-4</v>
      </c>
      <c r="W74" s="1"/>
      <c r="X74" s="1">
        <f t="shared" si="42"/>
        <v>-705.46</v>
      </c>
      <c r="Y74" s="1"/>
      <c r="Z74" s="5">
        <f t="shared" si="43"/>
        <v>-0.85242692637658746</v>
      </c>
    </row>
    <row r="75" spans="1:26" s="24" customFormat="1" hidden="1" outlineLevel="2" x14ac:dyDescent="0.3">
      <c r="A75" s="27"/>
      <c r="B75" s="11" t="str">
        <f>CONCATENATE("          ", "6305", " - ", "FREIGHT OUT")</f>
        <v xml:space="preserve">          6305 - FREIGHT OUT</v>
      </c>
      <c r="C75" s="11"/>
      <c r="D75" s="6">
        <v>0.34</v>
      </c>
      <c r="E75" s="2"/>
      <c r="F75" s="7">
        <f t="shared" si="36"/>
        <v>3.6745729065525854E-6</v>
      </c>
      <c r="G75" s="2"/>
      <c r="H75" s="6">
        <v>277.12</v>
      </c>
      <c r="I75" s="2"/>
      <c r="J75" s="7">
        <f t="shared" si="37"/>
        <v>4.6355578669408214E-3</v>
      </c>
      <c r="K75" s="2"/>
      <c r="L75" s="6">
        <f t="shared" si="38"/>
        <v>-276.78000000000003</v>
      </c>
      <c r="M75" s="2"/>
      <c r="N75" s="7">
        <f t="shared" si="39"/>
        <v>-0.99877309468822184</v>
      </c>
      <c r="O75" s="11"/>
      <c r="P75" s="6">
        <v>122.13</v>
      </c>
      <c r="Q75" s="2"/>
      <c r="R75" s="7">
        <f t="shared" si="40"/>
        <v>1.4659573272101376E-4</v>
      </c>
      <c r="S75" s="2"/>
      <c r="T75" s="6">
        <v>814.99</v>
      </c>
      <c r="U75" s="2"/>
      <c r="V75" s="7">
        <f t="shared" si="41"/>
        <v>6.8148509381489066E-4</v>
      </c>
      <c r="W75" s="2"/>
      <c r="X75" s="6">
        <f t="shared" si="42"/>
        <v>-692.86</v>
      </c>
      <c r="Y75" s="2"/>
      <c r="Z75" s="7">
        <f t="shared" si="43"/>
        <v>-0.850145400557062</v>
      </c>
    </row>
    <row r="76" spans="1:26" s="24" customFormat="1" hidden="1" outlineLevel="2" x14ac:dyDescent="0.3">
      <c r="A76" s="27"/>
      <c r="B76" s="11" t="str">
        <f>CONCATENATE("          ", "6307", " - ", "POSTAGE")</f>
        <v xml:space="preserve">          6307 - POSTAGE</v>
      </c>
      <c r="C76" s="11"/>
      <c r="D76" s="6"/>
      <c r="E76" s="2"/>
      <c r="F76" s="7">
        <f t="shared" si="36"/>
        <v>0</v>
      </c>
      <c r="G76" s="2"/>
      <c r="H76" s="6"/>
      <c r="I76" s="2"/>
      <c r="J76" s="7">
        <f t="shared" si="37"/>
        <v>0</v>
      </c>
      <c r="K76" s="2"/>
      <c r="L76" s="6">
        <f t="shared" si="38"/>
        <v>0</v>
      </c>
      <c r="M76" s="2"/>
      <c r="N76" s="7">
        <f t="shared" si="39"/>
        <v>0</v>
      </c>
      <c r="O76" s="11"/>
      <c r="P76" s="6"/>
      <c r="Q76" s="2"/>
      <c r="R76" s="7">
        <f t="shared" si="40"/>
        <v>0</v>
      </c>
      <c r="S76" s="2"/>
      <c r="T76" s="6">
        <v>12.6</v>
      </c>
      <c r="U76" s="2"/>
      <c r="V76" s="7">
        <f t="shared" si="41"/>
        <v>1.0535972443916639E-5</v>
      </c>
      <c r="W76" s="2"/>
      <c r="X76" s="6">
        <f t="shared" si="42"/>
        <v>-12.6</v>
      </c>
      <c r="Y76" s="2"/>
      <c r="Z76" s="7">
        <f t="shared" si="43"/>
        <v>-1</v>
      </c>
    </row>
    <row r="77" spans="1:26" s="29" customFormat="1" outlineLevel="1" collapsed="1" x14ac:dyDescent="0.3">
      <c r="A77" s="28"/>
      <c r="B77" s="14" t="str">
        <f>CONCATENATE("     ","General                                           ")</f>
        <v xml:space="preserve">     General                                           </v>
      </c>
      <c r="C77" s="14"/>
      <c r="D77" s="1">
        <f>SUM(OSRRefD22_6x_0)</f>
        <v>0</v>
      </c>
      <c r="E77" s="1"/>
      <c r="F77" s="5">
        <f t="shared" ref="F77:F84" si="44">IF(D$12=0,0,D77/D$12)</f>
        <v>0</v>
      </c>
      <c r="G77" s="1"/>
      <c r="H77" s="1">
        <f>SUM(OSRRefH22_6x_0)</f>
        <v>0</v>
      </c>
      <c r="I77" s="1"/>
      <c r="J77" s="5">
        <f t="shared" ref="J77:J84" si="45">IF(H$12=0,0,H77/H$12)</f>
        <v>0</v>
      </c>
      <c r="K77" s="1"/>
      <c r="L77" s="1">
        <f t="shared" ref="L77:L84" si="46">+D77-H77</f>
        <v>0</v>
      </c>
      <c r="M77" s="1"/>
      <c r="N77" s="5">
        <f t="shared" ref="N77:N84" si="47">IF(H77=0,0,L77/H77)</f>
        <v>0</v>
      </c>
      <c r="O77" s="14"/>
      <c r="P77" s="1">
        <f>SUM(OSRRefP22_6x_0)</f>
        <v>0</v>
      </c>
      <c r="Q77" s="1"/>
      <c r="R77" s="5">
        <f t="shared" ref="R77:R84" si="48">IF(P$12=0,0,P77/P$12)</f>
        <v>0</v>
      </c>
      <c r="S77" s="1"/>
      <c r="T77" s="1">
        <f>SUM(OSRRefT22_6x_0)</f>
        <v>-30.15</v>
      </c>
      <c r="U77" s="1"/>
      <c r="V77" s="5">
        <f t="shared" ref="V77:V84" si="49">IF(T$12=0,0,T77/T$12)</f>
        <v>-2.5211076919371957E-5</v>
      </c>
      <c r="W77" s="1"/>
      <c r="X77" s="1">
        <f t="shared" ref="X77:X84" si="50">+P77-T77</f>
        <v>30.15</v>
      </c>
      <c r="Y77" s="1"/>
      <c r="Z77" s="5">
        <f t="shared" ref="Z77:Z84" si="51">IF(T77=0,0,X77/T77)</f>
        <v>-1</v>
      </c>
    </row>
    <row r="78" spans="1:26" s="24" customFormat="1" hidden="1" outlineLevel="2" x14ac:dyDescent="0.3">
      <c r="A78" s="27"/>
      <c r="B78" s="11" t="str">
        <f>CONCATENATE("          ", "6279", " - ", "GENERAL EXPENSE")</f>
        <v xml:space="preserve">          6279 - GENERAL EXPENSE</v>
      </c>
      <c r="C78" s="11"/>
      <c r="D78" s="6"/>
      <c r="E78" s="2"/>
      <c r="F78" s="7">
        <f t="shared" si="44"/>
        <v>0</v>
      </c>
      <c r="G78" s="2"/>
      <c r="H78" s="6"/>
      <c r="I78" s="2"/>
      <c r="J78" s="7">
        <f t="shared" si="45"/>
        <v>0</v>
      </c>
      <c r="K78" s="2"/>
      <c r="L78" s="6">
        <f t="shared" si="46"/>
        <v>0</v>
      </c>
      <c r="M78" s="2"/>
      <c r="N78" s="7">
        <f t="shared" si="47"/>
        <v>0</v>
      </c>
      <c r="O78" s="11"/>
      <c r="P78" s="6"/>
      <c r="Q78" s="2"/>
      <c r="R78" s="7">
        <f t="shared" si="48"/>
        <v>0</v>
      </c>
      <c r="S78" s="2"/>
      <c r="T78" s="6">
        <v>-30.15</v>
      </c>
      <c r="U78" s="2"/>
      <c r="V78" s="7">
        <f t="shared" si="49"/>
        <v>-2.5211076919371957E-5</v>
      </c>
      <c r="W78" s="2"/>
      <c r="X78" s="6">
        <f t="shared" si="50"/>
        <v>30.15</v>
      </c>
      <c r="Y78" s="2"/>
      <c r="Z78" s="7">
        <f t="shared" si="51"/>
        <v>-1</v>
      </c>
    </row>
    <row r="79" spans="1:26" s="29" customFormat="1" outlineLevel="1" collapsed="1" x14ac:dyDescent="0.3">
      <c r="A79" s="28"/>
      <c r="B79" s="14" t="str">
        <f>CONCATENATE("     ","Inventory Adjustment                              ")</f>
        <v xml:space="preserve">     Inventory Adjustment                              </v>
      </c>
      <c r="C79" s="14"/>
      <c r="D79" s="1">
        <f>SUM(OSRRefD22_7x_0)</f>
        <v>630</v>
      </c>
      <c r="E79" s="1"/>
      <c r="F79" s="5">
        <f t="shared" si="44"/>
        <v>6.8087674444944962E-3</v>
      </c>
      <c r="G79" s="1"/>
      <c r="H79" s="1">
        <f>SUM(OSRRefH22_7x_0)</f>
        <v>1250</v>
      </c>
      <c r="I79" s="1"/>
      <c r="J79" s="5">
        <f t="shared" si="45"/>
        <v>2.0909524154431387E-2</v>
      </c>
      <c r="K79" s="1"/>
      <c r="L79" s="1">
        <f t="shared" si="46"/>
        <v>-620</v>
      </c>
      <c r="M79" s="1"/>
      <c r="N79" s="5">
        <f t="shared" si="47"/>
        <v>-0.496</v>
      </c>
      <c r="O79" s="14"/>
      <c r="P79" s="1">
        <f>SUM(OSRRefP22_7x_0)</f>
        <v>5300</v>
      </c>
      <c r="Q79" s="1"/>
      <c r="R79" s="5">
        <f t="shared" si="48"/>
        <v>6.3617242562955291E-3</v>
      </c>
      <c r="S79" s="1"/>
      <c r="T79" s="1">
        <f>SUM(OSRRefT22_7x_0)</f>
        <v>6250</v>
      </c>
      <c r="U79" s="1"/>
      <c r="V79" s="5">
        <f t="shared" si="49"/>
        <v>5.2261768074983329E-3</v>
      </c>
      <c r="W79" s="1"/>
      <c r="X79" s="1">
        <f t="shared" si="50"/>
        <v>-950</v>
      </c>
      <c r="Y79" s="1"/>
      <c r="Z79" s="5">
        <f t="shared" si="51"/>
        <v>-0.152</v>
      </c>
    </row>
    <row r="80" spans="1:26" s="24" customFormat="1" hidden="1" outlineLevel="2" x14ac:dyDescent="0.3">
      <c r="A80" s="27"/>
      <c r="B80" s="11" t="str">
        <f>CONCATENATE("          ", "6408", " - ", "INVENTORY ADJUSTMENT")</f>
        <v xml:space="preserve">          6408 - INVENTORY ADJUSTMENT</v>
      </c>
      <c r="C80" s="11"/>
      <c r="D80" s="6">
        <v>630</v>
      </c>
      <c r="E80" s="2"/>
      <c r="F80" s="7">
        <f t="shared" si="44"/>
        <v>6.8087674444944962E-3</v>
      </c>
      <c r="G80" s="2"/>
      <c r="H80" s="6">
        <v>1250</v>
      </c>
      <c r="I80" s="2"/>
      <c r="J80" s="7">
        <f t="shared" si="45"/>
        <v>2.0909524154431387E-2</v>
      </c>
      <c r="K80" s="2"/>
      <c r="L80" s="6">
        <f t="shared" si="46"/>
        <v>-620</v>
      </c>
      <c r="M80" s="2"/>
      <c r="N80" s="7">
        <f t="shared" si="47"/>
        <v>-0.496</v>
      </c>
      <c r="O80" s="11"/>
      <c r="P80" s="6">
        <v>5300</v>
      </c>
      <c r="Q80" s="2"/>
      <c r="R80" s="7">
        <f t="shared" si="48"/>
        <v>6.3617242562955291E-3</v>
      </c>
      <c r="S80" s="2"/>
      <c r="T80" s="6">
        <v>6250</v>
      </c>
      <c r="U80" s="2"/>
      <c r="V80" s="7">
        <f t="shared" si="49"/>
        <v>5.2261768074983329E-3</v>
      </c>
      <c r="W80" s="2"/>
      <c r="X80" s="6">
        <f t="shared" si="50"/>
        <v>-950</v>
      </c>
      <c r="Y80" s="2"/>
      <c r="Z80" s="7">
        <f t="shared" si="51"/>
        <v>-0.152</v>
      </c>
    </row>
    <row r="81" spans="1:26" s="29" customFormat="1" outlineLevel="1" collapsed="1" x14ac:dyDescent="0.3">
      <c r="A81" s="28"/>
      <c r="B81" s="14" t="str">
        <f>CONCATENATE("     ","Supplies                                          ")</f>
        <v xml:space="preserve">     Supplies                                          </v>
      </c>
      <c r="C81" s="14"/>
      <c r="D81" s="1">
        <f>SUM(OSRRefD22_8x_0)</f>
        <v>57.42</v>
      </c>
      <c r="E81" s="1"/>
      <c r="F81" s="5">
        <f t="shared" si="44"/>
        <v>6.2057051851249832E-4</v>
      </c>
      <c r="G81" s="1"/>
      <c r="H81" s="1">
        <f>SUM(OSRRefH22_8x_0)</f>
        <v>176.21</v>
      </c>
      <c r="I81" s="1"/>
      <c r="J81" s="5">
        <f t="shared" si="45"/>
        <v>2.947573801001884E-3</v>
      </c>
      <c r="K81" s="1"/>
      <c r="L81" s="1">
        <f t="shared" si="46"/>
        <v>-118.79</v>
      </c>
      <c r="M81" s="1"/>
      <c r="N81" s="5">
        <f t="shared" si="47"/>
        <v>-0.67413881164519607</v>
      </c>
      <c r="O81" s="14"/>
      <c r="P81" s="1">
        <f>SUM(OSRRefP22_8x_0)</f>
        <v>3276.11</v>
      </c>
      <c r="Q81" s="1"/>
      <c r="R81" s="5">
        <f t="shared" si="48"/>
        <v>3.932397821375915E-3</v>
      </c>
      <c r="S81" s="1"/>
      <c r="T81" s="1">
        <f>SUM(OSRRefT22_8x_0)</f>
        <v>1700.71</v>
      </c>
      <c r="U81" s="1"/>
      <c r="V81" s="5">
        <f t="shared" si="49"/>
        <v>1.4221137853248783E-3</v>
      </c>
      <c r="W81" s="1"/>
      <c r="X81" s="1">
        <f t="shared" si="50"/>
        <v>1575.4</v>
      </c>
      <c r="Y81" s="1"/>
      <c r="Z81" s="5">
        <f t="shared" si="51"/>
        <v>0.92631900794374122</v>
      </c>
    </row>
    <row r="82" spans="1:26" s="24" customFormat="1" hidden="1" outlineLevel="2" x14ac:dyDescent="0.3">
      <c r="A82" s="27"/>
      <c r="B82" s="11" t="str">
        <f>CONCATENATE("          ", "6235", " - ", "COVID-19 EXPENSES")</f>
        <v xml:space="preserve">          6235 - COVID-19 EXPENSES</v>
      </c>
      <c r="C82" s="11"/>
      <c r="D82" s="6"/>
      <c r="E82" s="2"/>
      <c r="F82" s="7">
        <f t="shared" si="44"/>
        <v>0</v>
      </c>
      <c r="G82" s="2"/>
      <c r="H82" s="6"/>
      <c r="I82" s="2"/>
      <c r="J82" s="7">
        <f t="shared" si="45"/>
        <v>0</v>
      </c>
      <c r="K82" s="2"/>
      <c r="L82" s="6">
        <f t="shared" si="46"/>
        <v>0</v>
      </c>
      <c r="M82" s="2"/>
      <c r="N82" s="7">
        <f t="shared" si="47"/>
        <v>0</v>
      </c>
      <c r="O82" s="11"/>
      <c r="P82" s="6"/>
      <c r="Q82" s="2"/>
      <c r="R82" s="7">
        <f t="shared" si="48"/>
        <v>0</v>
      </c>
      <c r="S82" s="2"/>
      <c r="T82" s="6">
        <v>668.12</v>
      </c>
      <c r="U82" s="2"/>
      <c r="V82" s="7">
        <f t="shared" si="49"/>
        <v>5.5867411978012581E-4</v>
      </c>
      <c r="W82" s="2"/>
      <c r="X82" s="6">
        <f t="shared" si="50"/>
        <v>-668.12</v>
      </c>
      <c r="Y82" s="2"/>
      <c r="Z82" s="7">
        <f t="shared" si="51"/>
        <v>-1</v>
      </c>
    </row>
    <row r="83" spans="1:26" s="24" customFormat="1" hidden="1" outlineLevel="2" x14ac:dyDescent="0.3">
      <c r="A83" s="27"/>
      <c r="B83" s="11" t="str">
        <f>CONCATENATE("          ", "6241", " - ", "OFFICE EXPENSE")</f>
        <v xml:space="preserve">          6241 - OFFICE EXPENSE</v>
      </c>
      <c r="C83" s="11"/>
      <c r="D83" s="6">
        <v>57.42</v>
      </c>
      <c r="E83" s="2"/>
      <c r="F83" s="7">
        <f t="shared" si="44"/>
        <v>6.2057051851249832E-4</v>
      </c>
      <c r="G83" s="2"/>
      <c r="H83" s="6">
        <v>176.21</v>
      </c>
      <c r="I83" s="2"/>
      <c r="J83" s="7">
        <f t="shared" si="45"/>
        <v>2.947573801001884E-3</v>
      </c>
      <c r="K83" s="2"/>
      <c r="L83" s="6">
        <f t="shared" si="46"/>
        <v>-118.79</v>
      </c>
      <c r="M83" s="2"/>
      <c r="N83" s="7">
        <f t="shared" si="47"/>
        <v>-0.67413881164519607</v>
      </c>
      <c r="O83" s="11"/>
      <c r="P83" s="6">
        <v>364.11</v>
      </c>
      <c r="Q83" s="2"/>
      <c r="R83" s="7">
        <f t="shared" si="48"/>
        <v>4.3705045640750291E-4</v>
      </c>
      <c r="S83" s="2"/>
      <c r="T83" s="6">
        <v>1032.5899999999999</v>
      </c>
      <c r="U83" s="2"/>
      <c r="V83" s="7">
        <f t="shared" si="49"/>
        <v>8.6343966554475247E-4</v>
      </c>
      <c r="W83" s="2"/>
      <c r="X83" s="6">
        <f t="shared" si="50"/>
        <v>-668.4799999999999</v>
      </c>
      <c r="Y83" s="2"/>
      <c r="Z83" s="7">
        <f t="shared" si="51"/>
        <v>-0.64738182628148633</v>
      </c>
    </row>
    <row r="84" spans="1:26" s="24" customFormat="1" hidden="1" outlineLevel="2" x14ac:dyDescent="0.3">
      <c r="A84" s="27"/>
      <c r="B84" s="11" t="str">
        <f>CONCATENATE("          ", "6247", " - ", "STORE SUPPLIES")</f>
        <v xml:space="preserve">          6247 - STORE SUPPLIES</v>
      </c>
      <c r="C84" s="11"/>
      <c r="D84" s="6"/>
      <c r="E84" s="2"/>
      <c r="F84" s="7">
        <f t="shared" si="44"/>
        <v>0</v>
      </c>
      <c r="G84" s="2"/>
      <c r="H84" s="6"/>
      <c r="I84" s="2"/>
      <c r="J84" s="7">
        <f t="shared" si="45"/>
        <v>0</v>
      </c>
      <c r="K84" s="2"/>
      <c r="L84" s="6">
        <f t="shared" si="46"/>
        <v>0</v>
      </c>
      <c r="M84" s="2"/>
      <c r="N84" s="7">
        <f t="shared" si="47"/>
        <v>0</v>
      </c>
      <c r="O84" s="11"/>
      <c r="P84" s="6">
        <v>2912</v>
      </c>
      <c r="Q84" s="2"/>
      <c r="R84" s="7">
        <f t="shared" si="48"/>
        <v>3.4953473649684116E-3</v>
      </c>
      <c r="S84" s="2"/>
      <c r="T84" s="6"/>
      <c r="U84" s="2"/>
      <c r="V84" s="7">
        <f t="shared" si="49"/>
        <v>0</v>
      </c>
      <c r="W84" s="2"/>
      <c r="X84" s="6">
        <f t="shared" si="50"/>
        <v>2912</v>
      </c>
      <c r="Y84" s="2"/>
      <c r="Z84" s="7">
        <f t="shared" si="51"/>
        <v>0</v>
      </c>
    </row>
    <row r="85" spans="1:26" s="29" customFormat="1" outlineLevel="1" collapsed="1" x14ac:dyDescent="0.3">
      <c r="A85" s="28"/>
      <c r="B85" s="14" t="str">
        <f>CONCATENATE("     ","Telephone/Data Lines                              ")</f>
        <v xml:space="preserve">     Telephone/Data Lines                              </v>
      </c>
      <c r="C85" s="14"/>
      <c r="D85" s="1">
        <f>SUM(OSRRefD22_9x_0)</f>
        <v>205.5</v>
      </c>
      <c r="E85" s="1"/>
      <c r="F85" s="5">
        <f t="shared" ref="F85:F88" si="52">IF(D$12=0,0,D85/D$12)</f>
        <v>2.2209550949898712E-3</v>
      </c>
      <c r="G85" s="1"/>
      <c r="H85" s="1">
        <f>SUM(OSRRefH22_9x_0)</f>
        <v>304.5</v>
      </c>
      <c r="I85" s="1"/>
      <c r="J85" s="5">
        <f t="shared" ref="J85:J88" si="53">IF(H$12=0,0,H85/H$12)</f>
        <v>5.0935600840194863E-3</v>
      </c>
      <c r="K85" s="1"/>
      <c r="L85" s="1">
        <f t="shared" ref="L85:L88" si="54">+D85-H85</f>
        <v>-99</v>
      </c>
      <c r="M85" s="1"/>
      <c r="N85" s="5">
        <f t="shared" ref="N85:N88" si="55">IF(H85=0,0,L85/H85)</f>
        <v>-0.3251231527093596</v>
      </c>
      <c r="O85" s="14"/>
      <c r="P85" s="1">
        <f>SUM(OSRRefP22_9x_0)</f>
        <v>1055.4000000000001</v>
      </c>
      <c r="Q85" s="1"/>
      <c r="R85" s="5">
        <f t="shared" ref="R85:R88" si="56">IF(P$12=0,0,P85/P$12)</f>
        <v>1.2668233547347741E-3</v>
      </c>
      <c r="S85" s="1"/>
      <c r="T85" s="1">
        <f>SUM(OSRRefT22_9x_0)</f>
        <v>1570.35</v>
      </c>
      <c r="U85" s="1"/>
      <c r="V85" s="5">
        <f t="shared" ref="V85:V88" si="57">IF(T$12=0,0,T85/T$12)</f>
        <v>1.313108279944801E-3</v>
      </c>
      <c r="W85" s="1"/>
      <c r="X85" s="1">
        <f t="shared" ref="X85:X88" si="58">+P85-T85</f>
        <v>-514.94999999999982</v>
      </c>
      <c r="Y85" s="1"/>
      <c r="Z85" s="5">
        <f t="shared" ref="Z85:Z88" si="59">IF(T85=0,0,X85/T85)</f>
        <v>-0.32792052727099047</v>
      </c>
    </row>
    <row r="86" spans="1:26" s="24" customFormat="1" hidden="1" outlineLevel="2" x14ac:dyDescent="0.3">
      <c r="A86" s="27"/>
      <c r="B86" s="11" t="str">
        <f>CONCATENATE("          ", "6309", " - ", "TELEPHONE")</f>
        <v xml:space="preserve">          6309 - TELEPHONE</v>
      </c>
      <c r="C86" s="11"/>
      <c r="D86" s="6">
        <v>205.5</v>
      </c>
      <c r="E86" s="2"/>
      <c r="F86" s="7">
        <f t="shared" si="52"/>
        <v>2.2209550949898712E-3</v>
      </c>
      <c r="G86" s="2"/>
      <c r="H86" s="6">
        <v>304.5</v>
      </c>
      <c r="I86" s="2"/>
      <c r="J86" s="7">
        <f t="shared" si="53"/>
        <v>5.0935600840194863E-3</v>
      </c>
      <c r="K86" s="2"/>
      <c r="L86" s="6">
        <f t="shared" si="54"/>
        <v>-99</v>
      </c>
      <c r="M86" s="2"/>
      <c r="N86" s="7">
        <f t="shared" si="55"/>
        <v>-0.3251231527093596</v>
      </c>
      <c r="O86" s="11"/>
      <c r="P86" s="6">
        <v>1055.4000000000001</v>
      </c>
      <c r="Q86" s="2"/>
      <c r="R86" s="7">
        <f t="shared" si="56"/>
        <v>1.2668233547347741E-3</v>
      </c>
      <c r="S86" s="2"/>
      <c r="T86" s="6">
        <v>1570.35</v>
      </c>
      <c r="U86" s="2"/>
      <c r="V86" s="7">
        <f t="shared" si="57"/>
        <v>1.313108279944801E-3</v>
      </c>
      <c r="W86" s="2"/>
      <c r="X86" s="6">
        <f t="shared" si="58"/>
        <v>-514.94999999999982</v>
      </c>
      <c r="Y86" s="2"/>
      <c r="Z86" s="7">
        <f t="shared" si="59"/>
        <v>-0.32792052727099047</v>
      </c>
    </row>
    <row r="87" spans="1:26" s="29" customFormat="1" outlineLevel="1" collapsed="1" x14ac:dyDescent="0.3">
      <c r="A87" s="28"/>
      <c r="B87" s="14" t="str">
        <f>CONCATENATE("     ","Training                                          ")</f>
        <v xml:space="preserve">     Training                                          </v>
      </c>
      <c r="C87" s="14"/>
      <c r="D87" s="1">
        <f>SUM(OSRRefD22_10x_0)</f>
        <v>0</v>
      </c>
      <c r="E87" s="1"/>
      <c r="F87" s="5">
        <f t="shared" si="52"/>
        <v>0</v>
      </c>
      <c r="G87" s="1"/>
      <c r="H87" s="1">
        <f>SUM(OSRRefH22_10x_0)</f>
        <v>0</v>
      </c>
      <c r="I87" s="1"/>
      <c r="J87" s="5">
        <f t="shared" si="53"/>
        <v>0</v>
      </c>
      <c r="K87" s="1"/>
      <c r="L87" s="1">
        <f t="shared" si="54"/>
        <v>0</v>
      </c>
      <c r="M87" s="1"/>
      <c r="N87" s="5">
        <f t="shared" si="55"/>
        <v>0</v>
      </c>
      <c r="O87" s="14"/>
      <c r="P87" s="1">
        <f>SUM(OSRRefP22_10x_0)</f>
        <v>0</v>
      </c>
      <c r="Q87" s="1"/>
      <c r="R87" s="5">
        <f t="shared" si="56"/>
        <v>0</v>
      </c>
      <c r="S87" s="1"/>
      <c r="T87" s="1">
        <f>SUM(OSRRefT22_10x_0)</f>
        <v>100</v>
      </c>
      <c r="U87" s="1"/>
      <c r="V87" s="5">
        <f t="shared" si="57"/>
        <v>8.3618828919973322E-5</v>
      </c>
      <c r="W87" s="1"/>
      <c r="X87" s="1">
        <f t="shared" si="58"/>
        <v>-100</v>
      </c>
      <c r="Y87" s="1"/>
      <c r="Z87" s="5">
        <f t="shared" si="59"/>
        <v>-1</v>
      </c>
    </row>
    <row r="88" spans="1:26" s="24" customFormat="1" hidden="1" outlineLevel="2" x14ac:dyDescent="0.3">
      <c r="A88" s="27"/>
      <c r="B88" s="11" t="str">
        <f>CONCATENATE("          ", "6376", " - ", "TRAINING")</f>
        <v xml:space="preserve">          6376 - TRAINING</v>
      </c>
      <c r="C88" s="11"/>
      <c r="D88" s="6"/>
      <c r="E88" s="2"/>
      <c r="F88" s="7">
        <f t="shared" si="52"/>
        <v>0</v>
      </c>
      <c r="G88" s="2"/>
      <c r="H88" s="6"/>
      <c r="I88" s="2"/>
      <c r="J88" s="7">
        <f t="shared" si="53"/>
        <v>0</v>
      </c>
      <c r="K88" s="2"/>
      <c r="L88" s="6">
        <f t="shared" si="54"/>
        <v>0</v>
      </c>
      <c r="M88" s="2"/>
      <c r="N88" s="7">
        <f t="shared" si="55"/>
        <v>0</v>
      </c>
      <c r="O88" s="11"/>
      <c r="P88" s="6"/>
      <c r="Q88" s="2"/>
      <c r="R88" s="7">
        <f t="shared" si="56"/>
        <v>0</v>
      </c>
      <c r="S88" s="2"/>
      <c r="T88" s="6">
        <v>100</v>
      </c>
      <c r="U88" s="2"/>
      <c r="V88" s="7">
        <f t="shared" si="57"/>
        <v>8.3618828919973322E-5</v>
      </c>
      <c r="W88" s="2"/>
      <c r="X88" s="6">
        <f t="shared" si="58"/>
        <v>-100</v>
      </c>
      <c r="Y88" s="2"/>
      <c r="Z88" s="7">
        <f t="shared" si="59"/>
        <v>-1</v>
      </c>
    </row>
    <row r="89" spans="1:26" s="62" customFormat="1" x14ac:dyDescent="0.3">
      <c r="A89" s="37"/>
      <c r="B89" s="37"/>
      <c r="C89" s="37"/>
      <c r="D89" s="1"/>
      <c r="E89" s="1"/>
      <c r="F89" s="5"/>
      <c r="G89" s="1"/>
      <c r="H89" s="1"/>
      <c r="I89" s="1"/>
      <c r="J89" s="5"/>
      <c r="K89" s="1"/>
      <c r="L89" s="1"/>
      <c r="M89" s="1"/>
      <c r="N89" s="5"/>
      <c r="O89" s="37"/>
      <c r="P89" s="1"/>
      <c r="Q89" s="1"/>
      <c r="R89" s="5"/>
      <c r="S89" s="1"/>
      <c r="T89" s="1"/>
      <c r="U89" s="1"/>
      <c r="V89" s="5"/>
      <c r="W89" s="1"/>
      <c r="X89" s="1"/>
      <c r="Y89" s="1"/>
      <c r="Z89" s="5"/>
    </row>
    <row r="90" spans="1:26" s="23" customFormat="1" collapsed="1" x14ac:dyDescent="0.3">
      <c r="A90" s="10"/>
      <c r="B90" s="26" t="s">
        <v>292</v>
      </c>
      <c r="C90" s="10"/>
      <c r="D90" s="4">
        <f>SUM(OSRRefD25x_0)</f>
        <v>-88.839999999999989</v>
      </c>
      <c r="E90" s="4"/>
      <c r="F90" s="12">
        <f t="shared" ref="F90:F93" si="60">IF(D$12=0,0,D90/D$12)</f>
        <v>-9.6014428534744599E-4</v>
      </c>
      <c r="G90" s="4"/>
      <c r="H90" s="4">
        <f>SUM(OSRRefH25x_0)</f>
        <v>-368.13</v>
      </c>
      <c r="I90" s="4"/>
      <c r="J90" s="12">
        <f t="shared" ref="J90:J93" si="61">IF(H$12=0,0,H90/H$12)</f>
        <v>-6.1579385015766612E-3</v>
      </c>
      <c r="K90" s="4"/>
      <c r="L90" s="4">
        <f t="shared" ref="L90:L93" si="62">+D90-H90</f>
        <v>279.29000000000002</v>
      </c>
      <c r="M90" s="4"/>
      <c r="N90" s="12">
        <f t="shared" ref="N90:N93" si="63">IF(H90=0,0,L90/H90)</f>
        <v>-0.75867220818732517</v>
      </c>
      <c r="O90" s="10"/>
      <c r="P90" s="4">
        <f>SUM(OSRRefP25x_0)</f>
        <v>1718.4099999999999</v>
      </c>
      <c r="Q90" s="4"/>
      <c r="R90" s="12">
        <f t="shared" ref="R90:R93" si="64">IF(P$12=0,0,P90/P$12)</f>
        <v>2.0626510526907168E-3</v>
      </c>
      <c r="S90" s="4"/>
      <c r="T90" s="4">
        <f>SUM(OSRRefT25x_0)</f>
        <v>755.11</v>
      </c>
      <c r="U90" s="4"/>
      <c r="V90" s="12">
        <f t="shared" ref="V90:V93" si="65">IF(T$12=0,0,T90/T$12)</f>
        <v>6.3141413905761054E-4</v>
      </c>
      <c r="W90" s="4"/>
      <c r="X90" s="4">
        <f t="shared" ref="X90:X93" si="66">+P90-T90</f>
        <v>963.29999999999984</v>
      </c>
      <c r="Y90" s="4"/>
      <c r="Z90" s="12">
        <f t="shared" ref="Z90:Z93" si="67">IF(T90=0,0,X90/T90)</f>
        <v>1.2757081749678851</v>
      </c>
    </row>
    <row r="91" spans="1:26" s="24" customFormat="1" hidden="1" outlineLevel="1" x14ac:dyDescent="0.3">
      <c r="A91" s="44"/>
      <c r="B91" s="11" t="str">
        <f>CONCATENATE("          ", "4187", " - ", "NON-TAXABLE SALES-COMPUTER REP")</f>
        <v xml:space="preserve">          4187 - NON-TAXABLE SALES-COMPUTER REP</v>
      </c>
      <c r="C91" s="11"/>
      <c r="D91" s="2">
        <f>0</f>
        <v>0</v>
      </c>
      <c r="E91" s="2"/>
      <c r="F91" s="19">
        <f t="shared" si="60"/>
        <v>0</v>
      </c>
      <c r="G91" s="2"/>
      <c r="H91" s="2">
        <f>-374.75</f>
        <v>-374.75</v>
      </c>
      <c r="I91" s="2"/>
      <c r="J91" s="19">
        <f t="shared" si="61"/>
        <v>-6.2686753414985304E-3</v>
      </c>
      <c r="K91" s="2"/>
      <c r="L91" s="2">
        <f t="shared" si="62"/>
        <v>374.75</v>
      </c>
      <c r="M91" s="2"/>
      <c r="N91" s="19">
        <f t="shared" si="63"/>
        <v>-1</v>
      </c>
      <c r="O91" s="11"/>
      <c r="P91" s="2">
        <f>0</f>
        <v>0</v>
      </c>
      <c r="Q91" s="2"/>
      <c r="R91" s="19">
        <f t="shared" si="64"/>
        <v>0</v>
      </c>
      <c r="S91" s="2"/>
      <c r="T91" s="2">
        <f>--563.21</f>
        <v>563.21</v>
      </c>
      <c r="U91" s="2"/>
      <c r="V91" s="19">
        <f t="shared" si="65"/>
        <v>4.7094960636018181E-4</v>
      </c>
      <c r="W91" s="2"/>
      <c r="X91" s="2">
        <f t="shared" si="66"/>
        <v>-563.21</v>
      </c>
      <c r="Y91" s="2"/>
      <c r="Z91" s="19">
        <f t="shared" si="67"/>
        <v>-1</v>
      </c>
    </row>
    <row r="92" spans="1:26" s="24" customFormat="1" hidden="1" outlineLevel="1" x14ac:dyDescent="0.3">
      <c r="A92" s="44"/>
      <c r="B92" s="11" t="str">
        <f>CONCATENATE("          ", "9087", " - ", "")</f>
        <v xml:space="preserve">          9087 - </v>
      </c>
      <c r="C92" s="11"/>
      <c r="D92" s="2">
        <f>--74.01</f>
        <v>74.010000000000005</v>
      </c>
      <c r="E92" s="2"/>
      <c r="F92" s="19">
        <f t="shared" si="60"/>
        <v>7.9986806121752011E-4</v>
      </c>
      <c r="G92" s="2"/>
      <c r="H92" s="2">
        <f>0</f>
        <v>0</v>
      </c>
      <c r="I92" s="2"/>
      <c r="J92" s="19">
        <f t="shared" si="61"/>
        <v>0</v>
      </c>
      <c r="K92" s="2"/>
      <c r="L92" s="2">
        <f t="shared" si="62"/>
        <v>74.010000000000005</v>
      </c>
      <c r="M92" s="2"/>
      <c r="N92" s="19">
        <f t="shared" si="63"/>
        <v>0</v>
      </c>
      <c r="O92" s="11"/>
      <c r="P92" s="2">
        <f>-392.38</f>
        <v>-392.38</v>
      </c>
      <c r="Q92" s="2"/>
      <c r="R92" s="19">
        <f t="shared" si="64"/>
        <v>-4.7098365352551697E-4</v>
      </c>
      <c r="S92" s="2"/>
      <c r="T92" s="2">
        <f>0</f>
        <v>0</v>
      </c>
      <c r="U92" s="2"/>
      <c r="V92" s="19">
        <f t="shared" si="65"/>
        <v>0</v>
      </c>
      <c r="W92" s="2"/>
      <c r="X92" s="2">
        <f t="shared" si="66"/>
        <v>-392.38</v>
      </c>
      <c r="Y92" s="2"/>
      <c r="Z92" s="19">
        <f t="shared" si="67"/>
        <v>0</v>
      </c>
    </row>
    <row r="93" spans="1:26" s="24" customFormat="1" hidden="1" outlineLevel="1" x14ac:dyDescent="0.3">
      <c r="A93" s="44"/>
      <c r="B93" s="11" t="str">
        <f>CONCATENATE("          ", "9150", " - ", "MISC. INCOME")</f>
        <v xml:space="preserve">          9150 - MISC. INCOME</v>
      </c>
      <c r="C93" s="11"/>
      <c r="D93" s="2">
        <f>-162.85</f>
        <v>-162.85</v>
      </c>
      <c r="E93" s="2"/>
      <c r="F93" s="19">
        <f t="shared" si="60"/>
        <v>-1.760012346564966E-3</v>
      </c>
      <c r="G93" s="2"/>
      <c r="H93" s="2">
        <f>--6.62</f>
        <v>6.62</v>
      </c>
      <c r="I93" s="2"/>
      <c r="J93" s="19">
        <f t="shared" si="61"/>
        <v>1.1073683992186863E-4</v>
      </c>
      <c r="K93" s="2"/>
      <c r="L93" s="2">
        <f t="shared" si="62"/>
        <v>-169.47</v>
      </c>
      <c r="M93" s="2"/>
      <c r="N93" s="19">
        <f t="shared" si="63"/>
        <v>-25.599697885196374</v>
      </c>
      <c r="O93" s="11"/>
      <c r="P93" s="2">
        <f>--2110.79</f>
        <v>2110.79</v>
      </c>
      <c r="Q93" s="2"/>
      <c r="R93" s="19">
        <f t="shared" si="64"/>
        <v>2.5336347062162342E-3</v>
      </c>
      <c r="S93" s="2"/>
      <c r="T93" s="2">
        <f>--191.9</f>
        <v>191.9</v>
      </c>
      <c r="U93" s="2"/>
      <c r="V93" s="19">
        <f t="shared" si="65"/>
        <v>1.6046453269742881E-4</v>
      </c>
      <c r="W93" s="2"/>
      <c r="X93" s="2">
        <f t="shared" si="66"/>
        <v>1918.8899999999999</v>
      </c>
      <c r="Y93" s="2"/>
      <c r="Z93" s="19">
        <f t="shared" si="67"/>
        <v>9.9994267847837399</v>
      </c>
    </row>
    <row r="94" spans="1:26" x14ac:dyDescent="0.3">
      <c r="A94" s="9"/>
      <c r="B94" s="10"/>
      <c r="C94" s="10"/>
      <c r="D94" s="3"/>
      <c r="E94" s="3"/>
      <c r="F94" s="8"/>
      <c r="G94" s="3"/>
      <c r="H94" s="3"/>
      <c r="I94" s="3"/>
      <c r="J94" s="8"/>
      <c r="K94" s="3"/>
      <c r="L94" s="3"/>
      <c r="M94" s="3"/>
      <c r="N94" s="8"/>
      <c r="O94" s="10"/>
      <c r="P94" s="3"/>
      <c r="Q94" s="3"/>
      <c r="R94" s="8"/>
      <c r="S94" s="3"/>
      <c r="T94" s="3"/>
      <c r="U94" s="3"/>
      <c r="V94" s="8"/>
      <c r="W94" s="3"/>
      <c r="X94" s="3"/>
      <c r="Y94" s="3"/>
      <c r="Z94" s="8"/>
    </row>
    <row r="95" spans="1:26" s="23" customFormat="1" x14ac:dyDescent="0.3">
      <c r="A95" s="10"/>
      <c r="B95" s="25" t="s">
        <v>276</v>
      </c>
      <c r="C95" s="25"/>
      <c r="D95" s="21">
        <f>+D49-D51+D90</f>
        <v>-3242.8400000000056</v>
      </c>
      <c r="E95" s="13"/>
      <c r="F95" s="22">
        <f>IF(D$12=0,0,D95/D$12)</f>
        <v>-3.5047211777308837E-2</v>
      </c>
      <c r="G95" s="13"/>
      <c r="H95" s="21">
        <f>+H49-H51+H90</f>
        <v>-13429.509999999993</v>
      </c>
      <c r="I95" s="13"/>
      <c r="J95" s="22">
        <f>IF(H$12=0,0,H95/H$12)</f>
        <v>-0.22464373098174217</v>
      </c>
      <c r="K95" s="16"/>
      <c r="L95" s="21">
        <f>+D95-H95</f>
        <v>10186.669999999987</v>
      </c>
      <c r="M95" s="16"/>
      <c r="N95" s="22">
        <f>IF(H95=0,0,L95/H95)</f>
        <v>-0.75852879218973679</v>
      </c>
      <c r="O95" s="26"/>
      <c r="P95" s="21">
        <f>+P49-P51+P90</f>
        <v>60384.629999999888</v>
      </c>
      <c r="Q95" s="13"/>
      <c r="R95" s="22">
        <f>IF(P$12=0,0,P95/P$12)</f>
        <v>7.2481201014798116E-2</v>
      </c>
      <c r="S95" s="13"/>
      <c r="T95" s="21">
        <f>+T49-T51+T90</f>
        <v>-11364.52999999946</v>
      </c>
      <c r="U95" s="13"/>
      <c r="V95" s="22">
        <f>IF(T$12=0,0,T95/T$12)</f>
        <v>-9.5028868982585928E-3</v>
      </c>
      <c r="W95" s="16"/>
      <c r="X95" s="21">
        <f>+P95-T95</f>
        <v>71749.159999999349</v>
      </c>
      <c r="Y95" s="16"/>
      <c r="Z95" s="22">
        <f>IF(T95=0,0,X95/T95)</f>
        <v>-6.3134295918971359</v>
      </c>
    </row>
    <row r="96" spans="1:26" x14ac:dyDescent="0.3">
      <c r="A96" s="9"/>
      <c r="B96" s="10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x14ac:dyDescent="0.3">
      <c r="A97" s="51"/>
      <c r="B97" s="10" t="s">
        <v>127</v>
      </c>
      <c r="C97" s="10"/>
      <c r="D97" s="4">
        <v>13627.98</v>
      </c>
      <c r="E97" s="4"/>
      <c r="F97" s="12">
        <f>IF(D$12=0,0,D97/D$12)</f>
        <v>0.14728531199717793</v>
      </c>
      <c r="G97" s="4"/>
      <c r="H97" s="4">
        <v>-56079.39</v>
      </c>
      <c r="I97" s="4"/>
      <c r="J97" s="12">
        <f>IF(H$12=0,0,H97/H$12)</f>
        <v>-0.9380746878166224</v>
      </c>
      <c r="K97" s="4"/>
      <c r="L97" s="4">
        <f>+D97-H97</f>
        <v>69707.37</v>
      </c>
      <c r="M97" s="4"/>
      <c r="N97" s="12">
        <f>IF(H97=0,0,L97/H97)</f>
        <v>-1.2430122724230772</v>
      </c>
      <c r="O97" s="10"/>
      <c r="P97" s="4">
        <v>99232.88</v>
      </c>
      <c r="Q97" s="4"/>
      <c r="R97" s="12">
        <f>IF(P$12=0,0,P97/P$12)</f>
        <v>0.11911173956944596</v>
      </c>
      <c r="S97" s="4"/>
      <c r="T97" s="4">
        <v>190029</v>
      </c>
      <c r="U97" s="4"/>
      <c r="V97" s="12">
        <f>IF(T$12=0,0,T97/T$12)</f>
        <v>0.15890002440833612</v>
      </c>
      <c r="W97" s="4"/>
      <c r="X97" s="4">
        <f>+P97-T97</f>
        <v>-90796.12</v>
      </c>
      <c r="Y97" s="4"/>
      <c r="Z97" s="12">
        <f>IF(T97=0,0,X97/T97)</f>
        <v>-0.47780138820916807</v>
      </c>
    </row>
    <row r="98" spans="1:26" x14ac:dyDescent="0.3">
      <c r="A98" s="9"/>
      <c r="B98" s="10"/>
      <c r="C98" s="10"/>
      <c r="D98" s="3"/>
      <c r="E98" s="3"/>
      <c r="F98" s="8"/>
      <c r="G98" s="3"/>
      <c r="H98" s="3"/>
      <c r="I98" s="3"/>
      <c r="J98" s="8"/>
      <c r="K98" s="3"/>
      <c r="L98" s="3"/>
      <c r="M98" s="3"/>
      <c r="N98" s="8"/>
      <c r="O98" s="10"/>
      <c r="P98" s="3"/>
      <c r="Q98" s="3"/>
      <c r="R98" s="8"/>
      <c r="S98" s="3"/>
      <c r="T98" s="3"/>
      <c r="U98" s="3"/>
      <c r="V98" s="8"/>
      <c r="W98" s="3"/>
      <c r="X98" s="3"/>
      <c r="Y98" s="3"/>
      <c r="Z98" s="8"/>
    </row>
    <row r="99" spans="1:26" s="23" customFormat="1" ht="15" thickBot="1" x14ac:dyDescent="0.35">
      <c r="A99" s="10"/>
      <c r="B99" s="25" t="s">
        <v>125</v>
      </c>
      <c r="C99" s="25"/>
      <c r="D99" s="35">
        <f>+D95-D97</f>
        <v>-16870.820000000007</v>
      </c>
      <c r="E99" s="13"/>
      <c r="F99" s="31">
        <f>IF(D$12=0,0,D99/D$12)</f>
        <v>-0.1823325237744868</v>
      </c>
      <c r="G99" s="13"/>
      <c r="H99" s="35">
        <f>+H95-H97</f>
        <v>42649.880000000005</v>
      </c>
      <c r="I99" s="13"/>
      <c r="J99" s="31">
        <f>IF(H$12=0,0,H99/H$12)</f>
        <v>0.71343095683488023</v>
      </c>
      <c r="K99" s="16"/>
      <c r="L99" s="35">
        <f>D99-H99</f>
        <v>-59520.700000000012</v>
      </c>
      <c r="M99" s="16"/>
      <c r="N99" s="31">
        <f>IF(H99=0,0,L99/H99)</f>
        <v>-1.3955654740411931</v>
      </c>
      <c r="O99" s="26"/>
      <c r="P99" s="35">
        <f>+P95-P97</f>
        <v>-38848.250000000116</v>
      </c>
      <c r="Q99" s="13"/>
      <c r="R99" s="31">
        <f>IF(P$12=0,0,P99/P$12)</f>
        <v>-4.6630538554647841E-2</v>
      </c>
      <c r="S99" s="13"/>
      <c r="T99" s="35">
        <f>+T95-T97</f>
        <v>-201393.52999999945</v>
      </c>
      <c r="U99" s="13"/>
      <c r="V99" s="31">
        <f>IF(T$12=0,0,T99/T$12)</f>
        <v>-0.16840291130659468</v>
      </c>
      <c r="W99" s="16"/>
      <c r="X99" s="35">
        <f>P99-T99</f>
        <v>162545.27999999933</v>
      </c>
      <c r="Y99" s="16"/>
      <c r="Z99" s="31">
        <f>IF(T99=0,0,X99/T99)</f>
        <v>-0.80710279024355835</v>
      </c>
    </row>
    <row r="100" spans="1:26" ht="15" thickTop="1" x14ac:dyDescent="0.3">
      <c r="A100" s="9"/>
      <c r="B100" s="9"/>
      <c r="C100" s="9"/>
      <c r="D100" s="3"/>
      <c r="E100" s="3"/>
      <c r="F100" s="8"/>
      <c r="G100" s="3"/>
      <c r="H100" s="3"/>
      <c r="I100" s="3"/>
      <c r="J100" s="8"/>
      <c r="K100" s="3"/>
      <c r="L100" s="3"/>
      <c r="M100" s="3"/>
      <c r="N100" s="8"/>
      <c r="P100" s="3"/>
      <c r="Q100" s="3"/>
      <c r="R100" s="8"/>
      <c r="S100" s="3"/>
      <c r="T100" s="3"/>
      <c r="U100" s="3"/>
      <c r="V100" s="8"/>
      <c r="W100" s="3"/>
      <c r="X100" s="3"/>
      <c r="Y100" s="3"/>
      <c r="Z100" s="8"/>
    </row>
    <row r="101" spans="1:26" x14ac:dyDescent="0.3">
      <c r="A101" s="9"/>
      <c r="B101" s="9"/>
      <c r="C101" s="9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ht="15" thickBot="1" x14ac:dyDescent="0.35">
      <c r="A102" s="10"/>
      <c r="B102" s="25" t="s">
        <v>293</v>
      </c>
      <c r="C102" s="25"/>
      <c r="D102" s="36">
        <f>SUM(D99:D101)</f>
        <v>-16870.820000000007</v>
      </c>
      <c r="E102" s="13"/>
      <c r="F102" s="33">
        <f>IF(D$12=0,0,D102/D$12)</f>
        <v>-0.1823325237744868</v>
      </c>
      <c r="G102" s="13"/>
      <c r="H102" s="36">
        <f>SUM(H99:H101)</f>
        <v>42649.880000000005</v>
      </c>
      <c r="I102" s="13"/>
      <c r="J102" s="33">
        <f>IF(H$12=0,0,H102/H$12)</f>
        <v>0.71343095683488023</v>
      </c>
      <c r="K102" s="16"/>
      <c r="L102" s="36">
        <f>+D102-H102</f>
        <v>-59520.700000000012</v>
      </c>
      <c r="M102" s="16"/>
      <c r="N102" s="33">
        <f>IF(H102=0,0,L102/H102)</f>
        <v>-1.3955654740411931</v>
      </c>
      <c r="O102" s="26"/>
      <c r="P102" s="36">
        <f>SUM(P99:P101)</f>
        <v>-38848.250000000116</v>
      </c>
      <c r="Q102" s="13"/>
      <c r="R102" s="33">
        <f>IF(P$12=0,0,P102/P$12)</f>
        <v>-4.6630538554647841E-2</v>
      </c>
      <c r="S102" s="13"/>
      <c r="T102" s="36">
        <f>SUM(T99:T101)</f>
        <v>-201393.52999999945</v>
      </c>
      <c r="U102" s="13"/>
      <c r="V102" s="33">
        <f>IF(T$12=0,0,T102/T$12)</f>
        <v>-0.16840291130659468</v>
      </c>
      <c r="W102" s="16"/>
      <c r="X102" s="36">
        <f>+P102-T102</f>
        <v>162545.27999999933</v>
      </c>
      <c r="Y102" s="16"/>
      <c r="Z102" s="33">
        <f>IF(T102=0,0,X102/T102)</f>
        <v>-0.80710279024355835</v>
      </c>
    </row>
    <row r="103" spans="1:26" ht="15" thickTop="1" x14ac:dyDescent="0.3">
      <c r="A103" s="9"/>
      <c r="C103" s="9"/>
      <c r="D103" s="17"/>
      <c r="E103" s="17"/>
      <c r="G103" s="17"/>
      <c r="H103" s="17"/>
      <c r="I103" s="17"/>
      <c r="J103" s="42"/>
      <c r="K103" s="17"/>
      <c r="L103" s="17"/>
      <c r="M103" s="17"/>
      <c r="P103" s="17"/>
      <c r="Q103" s="17"/>
      <c r="R103" s="42"/>
      <c r="S103" s="17"/>
      <c r="T103" s="17"/>
      <c r="U103" s="17"/>
      <c r="V103" s="42"/>
      <c r="W103" s="17"/>
      <c r="X103" s="17"/>
    </row>
    <row r="104" spans="1:26" x14ac:dyDescent="0.3">
      <c r="A104" s="9"/>
      <c r="B104" s="52">
        <v>44543.765594675926</v>
      </c>
      <c r="D104" s="17"/>
      <c r="E104" s="17"/>
      <c r="G104" s="17"/>
      <c r="H104" s="17"/>
      <c r="I104" s="17"/>
      <c r="J104" s="42"/>
      <c r="K104" s="17"/>
      <c r="L104" s="17"/>
      <c r="M104" s="17"/>
      <c r="P104" s="17"/>
      <c r="Q104" s="17"/>
      <c r="R104" s="42"/>
      <c r="S104" s="17"/>
      <c r="T104" s="17"/>
      <c r="U104" s="17"/>
      <c r="V104" s="42"/>
      <c r="W104" s="17"/>
      <c r="X104" s="17"/>
    </row>
    <row r="105" spans="1:26" x14ac:dyDescent="0.3">
      <c r="A105" s="9"/>
      <c r="B105" s="59" t="s">
        <v>56</v>
      </c>
      <c r="D105" s="17"/>
      <c r="E105" s="17"/>
      <c r="G105" s="17"/>
      <c r="H105" s="17"/>
      <c r="I105" s="17"/>
      <c r="J105" s="42"/>
      <c r="K105" s="17"/>
      <c r="L105" s="17"/>
      <c r="M105" s="17"/>
      <c r="P105" s="17"/>
      <c r="Q105" s="17"/>
      <c r="R105" s="42"/>
      <c r="S105" s="17"/>
      <c r="T105" s="17"/>
      <c r="U105" s="17"/>
      <c r="V105" s="42"/>
      <c r="W105" s="17"/>
      <c r="X105" s="17"/>
    </row>
    <row r="106" spans="1:26" x14ac:dyDescent="0.3">
      <c r="A106" s="9"/>
      <c r="B106" s="61"/>
      <c r="D106" s="17"/>
      <c r="E106" s="17"/>
      <c r="G106" s="17"/>
      <c r="H106" s="17"/>
      <c r="I106" s="17"/>
      <c r="J106" s="42"/>
      <c r="K106" s="17"/>
      <c r="L106" s="17"/>
      <c r="M106" s="17"/>
      <c r="P106" s="17"/>
      <c r="Q106" s="17"/>
      <c r="R106" s="42"/>
      <c r="S106" s="17"/>
      <c r="T106" s="17"/>
      <c r="U106" s="17"/>
      <c r="V106" s="42"/>
      <c r="W106" s="17"/>
      <c r="X106" s="17"/>
    </row>
    <row r="107" spans="1:26" x14ac:dyDescent="0.3">
      <c r="D107" s="17"/>
      <c r="E107" s="17"/>
      <c r="G107" s="17"/>
      <c r="H107" s="17"/>
      <c r="I107" s="17"/>
      <c r="J107" s="42"/>
      <c r="K107" s="17"/>
      <c r="L107" s="17"/>
      <c r="M107" s="17"/>
      <c r="P107" s="17"/>
      <c r="Q107" s="17"/>
      <c r="R107" s="42"/>
      <c r="S107" s="17"/>
      <c r="T107" s="17"/>
      <c r="U107" s="17"/>
      <c r="V107" s="42"/>
      <c r="W107" s="17"/>
      <c r="X107" s="17"/>
    </row>
  </sheetData>
  <pageMargins left="0.25" right="0.25" top="0.75" bottom="0.75" header="0.3" footer="0.3"/>
  <pageSetup scale="55" fitToWidth="2" orientation="landscape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FF00"/>
    <outlinePr summaryBelow="0" summaryRight="0"/>
  </sheetPr>
  <dimension ref="A2:Z96"/>
  <sheetViews>
    <sheetView zoomScale="80" workbookViewId="0">
      <pane xSplit="3" ySplit="10" topLeftCell="D64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15321.189999999999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21" si="0">+D12-H12</f>
        <v>15321.189999999999</v>
      </c>
      <c r="M12" s="4"/>
      <c r="N12" s="12">
        <f t="shared" ref="N12:N21" si="1">IF(H12=0,0,L12/H12)</f>
        <v>0</v>
      </c>
      <c r="O12" s="10"/>
      <c r="P12" s="4">
        <f>SUM(OSRRefP13x_0)</f>
        <v>63929.279999999999</v>
      </c>
      <c r="Q12" s="4"/>
      <c r="R12" s="12"/>
      <c r="S12" s="4"/>
      <c r="T12" s="4">
        <f>SUM(OSRRefT13x_0)</f>
        <v>2586.4700000000003</v>
      </c>
      <c r="U12" s="4"/>
      <c r="V12" s="12"/>
      <c r="W12" s="4"/>
      <c r="X12" s="4">
        <f t="shared" ref="X12:X21" si="2">+P12-T12</f>
        <v>61342.81</v>
      </c>
      <c r="Y12" s="4"/>
      <c r="Z12" s="12">
        <f t="shared" ref="Z12:Z21" si="3">IF(T12=0,0,X12/T12)</f>
        <v>23.716807076826715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f t="shared" ref="H13:H21" si="4">0</f>
        <v>0</v>
      </c>
      <c r="I13" s="2"/>
      <c r="J13" s="19"/>
      <c r="K13" s="2"/>
      <c r="L13" s="2">
        <f t="shared" si="0"/>
        <v>2305.85</v>
      </c>
      <c r="M13" s="2"/>
      <c r="N13" s="19">
        <f t="shared" si="1"/>
        <v>0</v>
      </c>
      <c r="O13" s="11"/>
      <c r="P13" s="2">
        <f>--10622.35</f>
        <v>10622.35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10622.35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ref="T15:T17" si="7"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"4053", " - ", "TAXABLE SALES-FOOD")</f>
        <v xml:space="preserve">          4053 - TAXABLE SALES-FOOD</v>
      </c>
      <c r="C16" s="11"/>
      <c r="D16" s="2">
        <f>--84.35</f>
        <v>84.35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84.35</v>
      </c>
      <c r="M16" s="2"/>
      <c r="N16" s="19">
        <f t="shared" si="1"/>
        <v>0</v>
      </c>
      <c r="O16" s="11"/>
      <c r="P16" s="2">
        <f>--627.97</f>
        <v>627.97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627.97</v>
      </c>
      <c r="Y16" s="2"/>
      <c r="Z16" s="19">
        <f t="shared" si="3"/>
        <v>0</v>
      </c>
    </row>
    <row r="17" spans="1:26" s="24" customFormat="1" hidden="1" outlineLevel="1" x14ac:dyDescent="0.3">
      <c r="A17" s="44"/>
      <c r="B17" s="11" t="str">
        <f>CONCATENATE("          ", "4100", " - ", "NON-TAXABLE SALES")</f>
        <v xml:space="preserve">          4100 - NON-TAXABLE SALES</v>
      </c>
      <c r="C17" s="11"/>
      <c r="D17" s="2">
        <f>--12930.99</f>
        <v>12930.99</v>
      </c>
      <c r="E17" s="2"/>
      <c r="F17" s="19"/>
      <c r="G17" s="2"/>
      <c r="H17" s="2">
        <f t="shared" si="4"/>
        <v>0</v>
      </c>
      <c r="I17" s="2"/>
      <c r="J17" s="19"/>
      <c r="K17" s="2"/>
      <c r="L17" s="2">
        <f t="shared" si="0"/>
        <v>12930.99</v>
      </c>
      <c r="M17" s="2"/>
      <c r="N17" s="19">
        <f t="shared" si="1"/>
        <v>0</v>
      </c>
      <c r="O17" s="11"/>
      <c r="P17" s="2">
        <f>--52678.96</f>
        <v>52678.96</v>
      </c>
      <c r="Q17" s="2"/>
      <c r="R17" s="19"/>
      <c r="S17" s="2"/>
      <c r="T17" s="2">
        <f t="shared" si="7"/>
        <v>0</v>
      </c>
      <c r="U17" s="2"/>
      <c r="V17" s="19"/>
      <c r="W17" s="2"/>
      <c r="X17" s="2">
        <f t="shared" si="2"/>
        <v>52678.96</v>
      </c>
      <c r="Y17" s="2"/>
      <c r="Z17" s="19">
        <f t="shared" si="3"/>
        <v>0</v>
      </c>
    </row>
    <row r="18" spans="1:26" s="24" customFormat="1" hidden="1" outlineLevel="1" x14ac:dyDescent="0.3">
      <c r="A18" s="44"/>
      <c r="B18" s="11" t="str">
        <f>CONCATENATE("          ", "4132", " - ", "NON-TAXABLE SALES-JUICE")</f>
        <v xml:space="preserve">          4132 - NON-TAXABLE SALES-JUICE</v>
      </c>
      <c r="C18" s="11"/>
      <c r="D18" s="2">
        <f t="shared" ref="D18:D21" si="8">0</f>
        <v>0</v>
      </c>
      <c r="E18" s="2"/>
      <c r="F18" s="19"/>
      <c r="G18" s="2"/>
      <c r="H18" s="2">
        <f t="shared" si="4"/>
        <v>0</v>
      </c>
      <c r="I18" s="2"/>
      <c r="J18" s="19"/>
      <c r="K18" s="2"/>
      <c r="L18" s="2">
        <f t="shared" si="0"/>
        <v>0</v>
      </c>
      <c r="M18" s="2"/>
      <c r="N18" s="19">
        <f t="shared" si="1"/>
        <v>0</v>
      </c>
      <c r="O18" s="11"/>
      <c r="P18" s="2">
        <f t="shared" ref="P18:P21" si="9">0</f>
        <v>0</v>
      </c>
      <c r="Q18" s="2"/>
      <c r="R18" s="19"/>
      <c r="S18" s="2"/>
      <c r="T18" s="2">
        <f>--2031.88</f>
        <v>2031.88</v>
      </c>
      <c r="U18" s="2"/>
      <c r="V18" s="19"/>
      <c r="W18" s="2"/>
      <c r="X18" s="2">
        <f t="shared" si="2"/>
        <v>-2031.88</v>
      </c>
      <c r="Y18" s="2"/>
      <c r="Z18" s="19">
        <f t="shared" si="3"/>
        <v>-1</v>
      </c>
    </row>
    <row r="19" spans="1:26" s="24" customFormat="1" hidden="1" outlineLevel="1" x14ac:dyDescent="0.3">
      <c r="A19" s="44"/>
      <c r="B19" s="11" t="str">
        <f>CONCATENATE("          ", "4134", " - ", "NON-TAXABLE SALES-SODA")</f>
        <v xml:space="preserve">          4134 - NON-TAXABLE SALES-SODA</v>
      </c>
      <c r="C19" s="11"/>
      <c r="D19" s="2">
        <f t="shared" si="8"/>
        <v>0</v>
      </c>
      <c r="E19" s="2"/>
      <c r="F19" s="19"/>
      <c r="G19" s="2"/>
      <c r="H19" s="2">
        <f t="shared" si="4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 t="shared" si="9"/>
        <v>0</v>
      </c>
      <c r="Q19" s="2"/>
      <c r="R19" s="19"/>
      <c r="S19" s="2"/>
      <c r="T19" s="2">
        <f t="shared" ref="T19:T20" si="10">0</f>
        <v>0</v>
      </c>
      <c r="U19" s="2"/>
      <c r="V19" s="19"/>
      <c r="W19" s="2"/>
      <c r="X19" s="2">
        <f t="shared" si="2"/>
        <v>0</v>
      </c>
      <c r="Y19" s="2"/>
      <c r="Z19" s="19">
        <f t="shared" si="3"/>
        <v>0</v>
      </c>
    </row>
    <row r="20" spans="1:26" s="24" customFormat="1" hidden="1" outlineLevel="1" x14ac:dyDescent="0.3">
      <c r="A20" s="44"/>
      <c r="B20" s="11" t="str">
        <f>CONCATENATE("          ", "4137", " - ", "NON-TAXABLE SALES-WATER")</f>
        <v xml:space="preserve">          4137 - NON-TAXABLE SALES-WATER</v>
      </c>
      <c r="C20" s="11"/>
      <c r="D20" s="2">
        <f t="shared" si="8"/>
        <v>0</v>
      </c>
      <c r="E20" s="2"/>
      <c r="F20" s="19"/>
      <c r="G20" s="2"/>
      <c r="H20" s="2">
        <f t="shared" si="4"/>
        <v>0</v>
      </c>
      <c r="I20" s="2"/>
      <c r="J20" s="19"/>
      <c r="K20" s="2"/>
      <c r="L20" s="2">
        <f t="shared" si="0"/>
        <v>0</v>
      </c>
      <c r="M20" s="2"/>
      <c r="N20" s="19">
        <f t="shared" si="1"/>
        <v>0</v>
      </c>
      <c r="O20" s="11"/>
      <c r="P20" s="2">
        <f t="shared" si="9"/>
        <v>0</v>
      </c>
      <c r="Q20" s="2"/>
      <c r="R20" s="19"/>
      <c r="S20" s="2"/>
      <c r="T20" s="2">
        <f t="shared" si="10"/>
        <v>0</v>
      </c>
      <c r="U20" s="2"/>
      <c r="V20" s="19"/>
      <c r="W20" s="2"/>
      <c r="X20" s="2">
        <f t="shared" si="2"/>
        <v>0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"4153", " - ", "NON-TAXABLE SALES-FOOD")</f>
        <v xml:space="preserve">          4153 - NON-TAXABLE SALES-FOOD</v>
      </c>
      <c r="C21" s="11"/>
      <c r="D21" s="2">
        <f t="shared" si="8"/>
        <v>0</v>
      </c>
      <c r="E21" s="2"/>
      <c r="F21" s="19"/>
      <c r="G21" s="2"/>
      <c r="H21" s="2">
        <f t="shared" si="4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si="9"/>
        <v>0</v>
      </c>
      <c r="Q21" s="2"/>
      <c r="R21" s="19"/>
      <c r="S21" s="2"/>
      <c r="T21" s="2">
        <f>--110</f>
        <v>110</v>
      </c>
      <c r="U21" s="2"/>
      <c r="V21" s="19"/>
      <c r="W21" s="2"/>
      <c r="X21" s="2">
        <f t="shared" si="2"/>
        <v>-110</v>
      </c>
      <c r="Y21" s="2"/>
      <c r="Z21" s="19">
        <f t="shared" si="3"/>
        <v>-1</v>
      </c>
    </row>
    <row r="22" spans="1:26" x14ac:dyDescent="0.3">
      <c r="A22" s="9"/>
      <c r="B22" s="10"/>
      <c r="C22" s="9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collapsed="1" x14ac:dyDescent="0.3">
      <c r="A23" s="10"/>
      <c r="B23" s="26" t="s">
        <v>256</v>
      </c>
      <c r="C23" s="10"/>
      <c r="D23" s="4">
        <f>SUM(OSRRefD16x_0)</f>
        <v>15367.18</v>
      </c>
      <c r="E23" s="4"/>
      <c r="F23" s="12">
        <f t="shared" ref="F23:F25" si="11">IF(D$12=0,0,D23/D$12)</f>
        <v>1.0030017250618262</v>
      </c>
      <c r="G23" s="4"/>
      <c r="H23" s="4">
        <f>SUM(OSRRefH16x_0)</f>
        <v>0</v>
      </c>
      <c r="I23" s="4"/>
      <c r="J23" s="12">
        <f t="shared" ref="J23:J25" si="12">IF(H$12=0,0,H23/H$12)</f>
        <v>0</v>
      </c>
      <c r="K23" s="4"/>
      <c r="L23" s="4">
        <f t="shared" ref="L23:L25" si="13">+D23-H23</f>
        <v>15367.18</v>
      </c>
      <c r="M23" s="4"/>
      <c r="N23" s="12">
        <f t="shared" ref="N23:N25" si="14">IF(H23=0,0,L23/H23)</f>
        <v>0</v>
      </c>
      <c r="O23" s="10"/>
      <c r="P23" s="4">
        <f>SUM(OSRRefP16x_0)</f>
        <v>38733.019999999997</v>
      </c>
      <c r="Q23" s="4"/>
      <c r="R23" s="12">
        <f t="shared" ref="R23:R25" si="15">IF(P$12=0,0,P23/P$12)</f>
        <v>0.6058729270844283</v>
      </c>
      <c r="S23" s="4"/>
      <c r="T23" s="4">
        <f>SUM(OSRRefT16x_0)</f>
        <v>8842.34</v>
      </c>
      <c r="U23" s="4"/>
      <c r="V23" s="12">
        <f t="shared" ref="V23:V25" si="16">IF(T$12=0,0,T23/T$12)</f>
        <v>3.4186903385695557</v>
      </c>
      <c r="W23" s="4"/>
      <c r="X23" s="4">
        <f t="shared" ref="X23:X25" si="17">+P23-T23</f>
        <v>29890.679999999997</v>
      </c>
      <c r="Y23" s="4"/>
      <c r="Z23" s="12">
        <f t="shared" ref="Z23:Z25" si="18">IF(T23=0,0,X23/T23)</f>
        <v>3.3804038297554717</v>
      </c>
    </row>
    <row r="24" spans="1:26" s="24" customFormat="1" hidden="1" outlineLevel="1" x14ac:dyDescent="0.3">
      <c r="A24" s="44"/>
      <c r="B24" s="11" t="str">
        <f>CONCATENATE("          ", "5053", " - ", "PURCHASES @ COST-FOOD")</f>
        <v xml:space="preserve">          5053 - PURCHASES @ COST-FOOD</v>
      </c>
      <c r="C24" s="11"/>
      <c r="D24" s="2">
        <v>3858.46</v>
      </c>
      <c r="E24" s="2"/>
      <c r="F24" s="19">
        <f t="shared" si="11"/>
        <v>0.25183814050997344</v>
      </c>
      <c r="G24" s="2"/>
      <c r="H24" s="2"/>
      <c r="I24" s="2"/>
      <c r="J24" s="19">
        <f t="shared" si="12"/>
        <v>0</v>
      </c>
      <c r="K24" s="2"/>
      <c r="L24" s="2">
        <f t="shared" si="13"/>
        <v>3858.46</v>
      </c>
      <c r="M24" s="2"/>
      <c r="N24" s="19">
        <f t="shared" si="14"/>
        <v>0</v>
      </c>
      <c r="O24" s="11"/>
      <c r="P24" s="2">
        <v>39941.46</v>
      </c>
      <c r="Q24" s="2"/>
      <c r="R24" s="19">
        <f t="shared" si="15"/>
        <v>0.62477568963704899</v>
      </c>
      <c r="S24" s="2"/>
      <c r="T24" s="2">
        <v>-2855.57</v>
      </c>
      <c r="U24" s="2"/>
      <c r="V24" s="19">
        <f t="shared" si="16"/>
        <v>-1.1040414155199945</v>
      </c>
      <c r="W24" s="2"/>
      <c r="X24" s="2">
        <f t="shared" si="17"/>
        <v>42797.03</v>
      </c>
      <c r="Y24" s="2"/>
      <c r="Z24" s="19">
        <f t="shared" si="18"/>
        <v>-14.987210959633277</v>
      </c>
    </row>
    <row r="25" spans="1:26" s="24" customFormat="1" hidden="1" outlineLevel="1" x14ac:dyDescent="0.3">
      <c r="A25" s="44"/>
      <c r="B25" s="11" t="str">
        <f>CONCATENATE("          ", "5059", " - ", "PURCHASES @ COST-FOOD")</f>
        <v xml:space="preserve">          5059 - PURCHASES @ COST-FOOD</v>
      </c>
      <c r="C25" s="11"/>
      <c r="D25" s="2">
        <v>11508.72</v>
      </c>
      <c r="E25" s="2"/>
      <c r="F25" s="19">
        <f t="shared" si="11"/>
        <v>0.75116358455185273</v>
      </c>
      <c r="G25" s="2"/>
      <c r="H25" s="2"/>
      <c r="I25" s="2"/>
      <c r="J25" s="19">
        <f t="shared" si="12"/>
        <v>0</v>
      </c>
      <c r="K25" s="2"/>
      <c r="L25" s="2">
        <f t="shared" si="13"/>
        <v>11508.72</v>
      </c>
      <c r="M25" s="2"/>
      <c r="N25" s="19">
        <f t="shared" si="14"/>
        <v>0</v>
      </c>
      <c r="O25" s="11"/>
      <c r="P25" s="2">
        <v>-1208.44</v>
      </c>
      <c r="Q25" s="2"/>
      <c r="R25" s="19">
        <f t="shared" si="15"/>
        <v>-1.8902762552620647E-2</v>
      </c>
      <c r="S25" s="2"/>
      <c r="T25" s="2">
        <v>11697.91</v>
      </c>
      <c r="U25" s="2"/>
      <c r="V25" s="19">
        <f t="shared" si="16"/>
        <v>4.5227317540895502</v>
      </c>
      <c r="W25" s="2"/>
      <c r="X25" s="2">
        <f t="shared" si="17"/>
        <v>-12906.35</v>
      </c>
      <c r="Y25" s="2"/>
      <c r="Z25" s="19">
        <f t="shared" si="18"/>
        <v>-1.1033039235213813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107</v>
      </c>
      <c r="C27" s="25"/>
      <c r="D27" s="21">
        <f>D12-D23</f>
        <v>-45.990000000001601</v>
      </c>
      <c r="E27" s="13"/>
      <c r="F27" s="22">
        <f>IF(D$12=0,0,D27/D$12)</f>
        <v>-3.0017250618262423E-3</v>
      </c>
      <c r="G27" s="13"/>
      <c r="H27" s="21">
        <f>H12-H23</f>
        <v>0</v>
      </c>
      <c r="I27" s="13"/>
      <c r="J27" s="22">
        <f>IF(H$12=0,0,H27/H$12)</f>
        <v>0</v>
      </c>
      <c r="K27" s="16"/>
      <c r="L27" s="21">
        <f>+D27-H27</f>
        <v>-45.990000000001601</v>
      </c>
      <c r="M27" s="16"/>
      <c r="N27" s="22">
        <f>IF(H27=0,0,L27/H27)</f>
        <v>0</v>
      </c>
      <c r="O27" s="26"/>
      <c r="P27" s="21">
        <f>P12-P23</f>
        <v>25196.260000000002</v>
      </c>
      <c r="Q27" s="13"/>
      <c r="R27" s="22">
        <f>IF(P$12=0,0,P27/P$12)</f>
        <v>0.39412707291557175</v>
      </c>
      <c r="S27" s="13"/>
      <c r="T27" s="21">
        <f>T12-T23</f>
        <v>-6255.87</v>
      </c>
      <c r="U27" s="13"/>
      <c r="V27" s="22">
        <f>IF(T$12=0,0,T27/T$12)</f>
        <v>-2.4186903385695557</v>
      </c>
      <c r="W27" s="16"/>
      <c r="X27" s="21">
        <f>+P27-T27</f>
        <v>31452.13</v>
      </c>
      <c r="Y27" s="16"/>
      <c r="Z27" s="22">
        <f>IF(T27=0,0,X27/T27)</f>
        <v>-5.0276188603663439</v>
      </c>
    </row>
    <row r="28" spans="1:26" x14ac:dyDescent="0.3">
      <c r="A28" s="9"/>
      <c r="B28" s="10"/>
      <c r="C28" s="9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x14ac:dyDescent="0.3">
      <c r="A29" s="10"/>
      <c r="B29" s="26" t="s">
        <v>294</v>
      </c>
      <c r="C29" s="10"/>
      <c r="D29" s="20">
        <f>SUM(OSRRefD22x_0)</f>
        <v>17210.640000000003</v>
      </c>
      <c r="E29" s="20"/>
      <c r="F29" s="32">
        <f t="shared" ref="F29:F38" si="19">IF(D$12=0,0,D29/D$12)</f>
        <v>1.1233226661897675</v>
      </c>
      <c r="G29" s="20"/>
      <c r="H29" s="20">
        <f>SUM(OSRRefH22x_0)</f>
        <v>25744.79</v>
      </c>
      <c r="I29" s="20"/>
      <c r="J29" s="32">
        <f t="shared" ref="J29:J38" si="20">IF(H$12=0,0,H29/H$12)</f>
        <v>0</v>
      </c>
      <c r="K29" s="4"/>
      <c r="L29" s="20">
        <f t="shared" ref="L29:L38" si="21">+D29-H29</f>
        <v>-8534.1499999999978</v>
      </c>
      <c r="M29" s="4"/>
      <c r="N29" s="32">
        <f t="shared" ref="N29:N38" si="22">IF(H29=0,0,L29/H29)</f>
        <v>-0.33149037144991267</v>
      </c>
      <c r="O29" s="10"/>
      <c r="P29" s="20">
        <f>SUM(OSRRefP22x_0)</f>
        <v>96096.93</v>
      </c>
      <c r="Q29" s="20"/>
      <c r="R29" s="32">
        <f t="shared" ref="R29:R38" si="23">IF(P$12=0,0,P29/P$12)</f>
        <v>1.5031755402219451</v>
      </c>
      <c r="S29" s="20"/>
      <c r="T29" s="20">
        <f>SUM(OSRRefT22x_0)</f>
        <v>151579.76999999999</v>
      </c>
      <c r="U29" s="20"/>
      <c r="V29" s="32">
        <f t="shared" ref="V29:V38" si="24">IF(T$12=0,0,T29/T$12)</f>
        <v>58.604882329970955</v>
      </c>
      <c r="W29" s="4"/>
      <c r="X29" s="20">
        <f t="shared" ref="X29:X38" si="25">+P29-T29</f>
        <v>-55482.84</v>
      </c>
      <c r="Y29" s="4"/>
      <c r="Z29" s="32">
        <f t="shared" ref="Z29:Z38" si="26">IF(T29=0,0,X29/T29)</f>
        <v>-0.3660306385212222</v>
      </c>
    </row>
    <row r="30" spans="1:26" s="29" customFormat="1" outlineLevel="1" collapsed="1" x14ac:dyDescent="0.3">
      <c r="A30" s="28"/>
      <c r="B30" s="14" t="str">
        <f>CONCATENATE("     ","*Benefits                                         ")</f>
        <v xml:space="preserve">     *Benefits                                         </v>
      </c>
      <c r="C30" s="14"/>
      <c r="D30" s="1">
        <f>SUM(OSRRefD22_0x_0)</f>
        <v>494.53000000000003</v>
      </c>
      <c r="E30" s="1"/>
      <c r="F30" s="5">
        <f t="shared" si="19"/>
        <v>3.2277518913348117E-2</v>
      </c>
      <c r="G30" s="1"/>
      <c r="H30" s="1">
        <f>SUM(OSRRefH22_0x_0)</f>
        <v>5031</v>
      </c>
      <c r="I30" s="1"/>
      <c r="J30" s="5">
        <f t="shared" si="20"/>
        <v>0</v>
      </c>
      <c r="K30" s="1"/>
      <c r="L30" s="1">
        <f t="shared" si="21"/>
        <v>-4536.47</v>
      </c>
      <c r="M30" s="1"/>
      <c r="N30" s="5">
        <f t="shared" si="22"/>
        <v>-0.90170343868018288</v>
      </c>
      <c r="O30" s="14"/>
      <c r="P30" s="1">
        <f>SUM(OSRRefP22_0x_0)</f>
        <v>1579.4299999999998</v>
      </c>
      <c r="Q30" s="1"/>
      <c r="R30" s="5">
        <f t="shared" si="23"/>
        <v>2.4705893762607678E-2</v>
      </c>
      <c r="S30" s="1"/>
      <c r="T30" s="1">
        <f>SUM(OSRRefT22_0x_0)</f>
        <v>32397.87</v>
      </c>
      <c r="U30" s="1"/>
      <c r="V30" s="5">
        <f t="shared" si="24"/>
        <v>12.525902098226538</v>
      </c>
      <c r="W30" s="1"/>
      <c r="X30" s="1">
        <f t="shared" si="25"/>
        <v>-30818.44</v>
      </c>
      <c r="Y30" s="1"/>
      <c r="Z30" s="5">
        <f t="shared" si="26"/>
        <v>-0.95124895556405409</v>
      </c>
    </row>
    <row r="31" spans="1:26" s="24" customFormat="1" hidden="1" outlineLevel="2" x14ac:dyDescent="0.3">
      <c r="A31" s="27"/>
      <c r="B31" s="11" t="str">
        <f>CONCATENATE("          ", "6111", " - ", "F.I.C.A.")</f>
        <v xml:space="preserve">          6111 - F.I.C.A.</v>
      </c>
      <c r="C31" s="11"/>
      <c r="D31" s="6">
        <v>210.4</v>
      </c>
      <c r="E31" s="2"/>
      <c r="F31" s="7">
        <f t="shared" si="19"/>
        <v>1.3732614764257869E-2</v>
      </c>
      <c r="G31" s="2"/>
      <c r="H31" s="6">
        <v>337.96</v>
      </c>
      <c r="I31" s="2"/>
      <c r="J31" s="7">
        <f t="shared" si="20"/>
        <v>0</v>
      </c>
      <c r="K31" s="2"/>
      <c r="L31" s="6">
        <f t="shared" si="21"/>
        <v>-127.55999999999997</v>
      </c>
      <c r="M31" s="2"/>
      <c r="N31" s="7">
        <f t="shared" si="22"/>
        <v>-0.37744111729198715</v>
      </c>
      <c r="O31" s="11"/>
      <c r="P31" s="6">
        <v>901.12</v>
      </c>
      <c r="Q31" s="2"/>
      <c r="R31" s="7">
        <f t="shared" si="23"/>
        <v>1.4095575611050211E-2</v>
      </c>
      <c r="S31" s="2"/>
      <c r="T31" s="6">
        <v>3909.68</v>
      </c>
      <c r="U31" s="2"/>
      <c r="V31" s="7">
        <f t="shared" si="24"/>
        <v>1.5115891543300326</v>
      </c>
      <c r="W31" s="2"/>
      <c r="X31" s="6">
        <f t="shared" si="25"/>
        <v>-3008.56</v>
      </c>
      <c r="Y31" s="2"/>
      <c r="Z31" s="7">
        <f t="shared" si="26"/>
        <v>-0.76951566368603064</v>
      </c>
    </row>
    <row r="32" spans="1:26" s="24" customFormat="1" hidden="1" outlineLevel="2" x14ac:dyDescent="0.3">
      <c r="A32" s="27"/>
      <c r="B32" s="11" t="str">
        <f>CONCATENATE("          ", "6112", " - ", "COMPENSATION INSURANCE")</f>
        <v xml:space="preserve">          6112 - COMPENSATION INSURANCE</v>
      </c>
      <c r="C32" s="11"/>
      <c r="D32" s="6">
        <v>73.540000000000006</v>
      </c>
      <c r="E32" s="2"/>
      <c r="F32" s="7">
        <f t="shared" si="19"/>
        <v>4.7998882593323373E-3</v>
      </c>
      <c r="G32" s="2"/>
      <c r="H32" s="6">
        <v>170.51</v>
      </c>
      <c r="I32" s="2"/>
      <c r="J32" s="7">
        <f t="shared" si="20"/>
        <v>0</v>
      </c>
      <c r="K32" s="2"/>
      <c r="L32" s="6">
        <f t="shared" si="21"/>
        <v>-96.969999999999985</v>
      </c>
      <c r="M32" s="2"/>
      <c r="N32" s="7">
        <f t="shared" si="22"/>
        <v>-0.56870564776259447</v>
      </c>
      <c r="O32" s="11"/>
      <c r="P32" s="6">
        <v>309.79000000000002</v>
      </c>
      <c r="Q32" s="2"/>
      <c r="R32" s="7">
        <f t="shared" si="23"/>
        <v>4.845823384840249E-3</v>
      </c>
      <c r="S32" s="2"/>
      <c r="T32" s="6">
        <v>830.67</v>
      </c>
      <c r="U32" s="2"/>
      <c r="V32" s="7">
        <f t="shared" si="24"/>
        <v>0.32115972735040416</v>
      </c>
      <c r="W32" s="2"/>
      <c r="X32" s="6">
        <f t="shared" si="25"/>
        <v>-520.87999999999988</v>
      </c>
      <c r="Y32" s="2"/>
      <c r="Z32" s="7">
        <f t="shared" si="26"/>
        <v>-0.62706008402855518</v>
      </c>
    </row>
    <row r="33" spans="1:26" s="24" customFormat="1" hidden="1" outlineLevel="2" x14ac:dyDescent="0.3">
      <c r="A33" s="27"/>
      <c r="B33" s="11" t="str">
        <f>CONCATENATE("          ", "6113", " - ", "GROUP INSURANCE")</f>
        <v xml:space="preserve">          6113 - GROUP INSURANCE</v>
      </c>
      <c r="C33" s="11"/>
      <c r="D33" s="6"/>
      <c r="E33" s="2"/>
      <c r="F33" s="7">
        <f t="shared" si="19"/>
        <v>0</v>
      </c>
      <c r="G33" s="2"/>
      <c r="H33" s="6">
        <v>2704.94</v>
      </c>
      <c r="I33" s="2"/>
      <c r="J33" s="7">
        <f t="shared" si="20"/>
        <v>0</v>
      </c>
      <c r="K33" s="2"/>
      <c r="L33" s="6">
        <f t="shared" si="21"/>
        <v>-2704.94</v>
      </c>
      <c r="M33" s="2"/>
      <c r="N33" s="7">
        <f t="shared" si="22"/>
        <v>-1</v>
      </c>
      <c r="O33" s="11"/>
      <c r="P33" s="6"/>
      <c r="Q33" s="2"/>
      <c r="R33" s="7">
        <f t="shared" si="23"/>
        <v>0</v>
      </c>
      <c r="S33" s="2"/>
      <c r="T33" s="6">
        <v>15440.33</v>
      </c>
      <c r="U33" s="2"/>
      <c r="V33" s="7">
        <f t="shared" si="24"/>
        <v>5.9696536205716662</v>
      </c>
      <c r="W33" s="2"/>
      <c r="X33" s="6">
        <f t="shared" si="25"/>
        <v>-15440.33</v>
      </c>
      <c r="Y33" s="2"/>
      <c r="Z33" s="7">
        <f t="shared" si="26"/>
        <v>-1</v>
      </c>
    </row>
    <row r="34" spans="1:26" s="24" customFormat="1" hidden="1" outlineLevel="2" x14ac:dyDescent="0.3">
      <c r="A34" s="27"/>
      <c r="B34" s="11" t="str">
        <f>CONCATENATE("          ", "6114", " - ", "STATE UNEMPLOYMENT INSURANCE")</f>
        <v xml:space="preserve">          6114 - STATE UNEMPLOYMENT INSURANCE</v>
      </c>
      <c r="C34" s="11"/>
      <c r="D34" s="6">
        <v>11.18</v>
      </c>
      <c r="E34" s="2"/>
      <c r="F34" s="7">
        <f t="shared" si="19"/>
        <v>7.2970833205514719E-4</v>
      </c>
      <c r="G34" s="2"/>
      <c r="H34" s="6">
        <v>39.35</v>
      </c>
      <c r="I34" s="2"/>
      <c r="J34" s="7">
        <f t="shared" si="20"/>
        <v>0</v>
      </c>
      <c r="K34" s="2"/>
      <c r="L34" s="6">
        <f t="shared" si="21"/>
        <v>-28.17</v>
      </c>
      <c r="M34" s="2"/>
      <c r="N34" s="7">
        <f t="shared" si="22"/>
        <v>-0.7158831003811944</v>
      </c>
      <c r="O34" s="11"/>
      <c r="P34" s="6">
        <v>51.03</v>
      </c>
      <c r="Q34" s="2"/>
      <c r="R34" s="7">
        <f t="shared" si="23"/>
        <v>7.9822578949739461E-4</v>
      </c>
      <c r="S34" s="2"/>
      <c r="T34" s="6">
        <v>132.15</v>
      </c>
      <c r="U34" s="2"/>
      <c r="V34" s="7">
        <f t="shared" si="24"/>
        <v>5.1092802158927031E-2</v>
      </c>
      <c r="W34" s="2"/>
      <c r="X34" s="6">
        <f t="shared" si="25"/>
        <v>-81.12</v>
      </c>
      <c r="Y34" s="2"/>
      <c r="Z34" s="7">
        <f t="shared" si="26"/>
        <v>-0.61384790011350743</v>
      </c>
    </row>
    <row r="35" spans="1:26" s="24" customFormat="1" hidden="1" outlineLevel="2" x14ac:dyDescent="0.3">
      <c r="A35" s="27"/>
      <c r="B35" s="11" t="str">
        <f>CONCATENATE("          ", "6115", " - ", "P.E.R.S.")</f>
        <v xml:space="preserve">          6115 - P.E.R.S.</v>
      </c>
      <c r="C35" s="11"/>
      <c r="D35" s="6"/>
      <c r="E35" s="2"/>
      <c r="F35" s="7">
        <f t="shared" si="19"/>
        <v>0</v>
      </c>
      <c r="G35" s="2"/>
      <c r="H35" s="6">
        <v>1230.53</v>
      </c>
      <c r="I35" s="2"/>
      <c r="J35" s="7">
        <f t="shared" si="20"/>
        <v>0</v>
      </c>
      <c r="K35" s="2"/>
      <c r="L35" s="6">
        <f t="shared" si="21"/>
        <v>-1230.53</v>
      </c>
      <c r="M35" s="2"/>
      <c r="N35" s="7">
        <f t="shared" si="22"/>
        <v>-1</v>
      </c>
      <c r="O35" s="11"/>
      <c r="P35" s="6"/>
      <c r="Q35" s="2"/>
      <c r="R35" s="7">
        <f t="shared" si="23"/>
        <v>0</v>
      </c>
      <c r="S35" s="2"/>
      <c r="T35" s="6">
        <v>5525.49</v>
      </c>
      <c r="U35" s="2"/>
      <c r="V35" s="7">
        <f t="shared" si="24"/>
        <v>2.1363054665238721</v>
      </c>
      <c r="W35" s="2"/>
      <c r="X35" s="6">
        <f t="shared" si="25"/>
        <v>-5525.49</v>
      </c>
      <c r="Y35" s="2"/>
      <c r="Z35" s="7">
        <f t="shared" si="26"/>
        <v>-1</v>
      </c>
    </row>
    <row r="36" spans="1:26" s="24" customFormat="1" hidden="1" outlineLevel="2" x14ac:dyDescent="0.3">
      <c r="A36" s="27"/>
      <c r="B36" s="11" t="str">
        <f>CONCATENATE("          ", "6118", " - ", "VACATION")</f>
        <v xml:space="preserve">          6118 - VACATION</v>
      </c>
      <c r="C36" s="11"/>
      <c r="D36" s="6">
        <v>81.62</v>
      </c>
      <c r="E36" s="2"/>
      <c r="F36" s="7">
        <f t="shared" si="19"/>
        <v>5.3272624384920501E-3</v>
      </c>
      <c r="G36" s="2"/>
      <c r="H36" s="6">
        <v>323.39</v>
      </c>
      <c r="I36" s="2"/>
      <c r="J36" s="7">
        <f t="shared" si="20"/>
        <v>0</v>
      </c>
      <c r="K36" s="2"/>
      <c r="L36" s="6">
        <f t="shared" si="21"/>
        <v>-241.76999999999998</v>
      </c>
      <c r="M36" s="2"/>
      <c r="N36" s="7">
        <f t="shared" si="22"/>
        <v>-0.74761124339033358</v>
      </c>
      <c r="O36" s="11"/>
      <c r="P36" s="6">
        <v>81.62</v>
      </c>
      <c r="Q36" s="2"/>
      <c r="R36" s="7">
        <f t="shared" si="23"/>
        <v>1.2767232792235421E-3</v>
      </c>
      <c r="S36" s="2"/>
      <c r="T36" s="6">
        <v>3386</v>
      </c>
      <c r="U36" s="2"/>
      <c r="V36" s="7">
        <f t="shared" si="24"/>
        <v>1.3091201521765183</v>
      </c>
      <c r="W36" s="2"/>
      <c r="X36" s="6">
        <f t="shared" si="25"/>
        <v>-3304.38</v>
      </c>
      <c r="Y36" s="2"/>
      <c r="Z36" s="7">
        <f t="shared" si="26"/>
        <v>-0.97589486119314828</v>
      </c>
    </row>
    <row r="37" spans="1:26" s="24" customFormat="1" hidden="1" outlineLevel="2" x14ac:dyDescent="0.3">
      <c r="A37" s="27"/>
      <c r="B37" s="11" t="str">
        <f>CONCATENATE("          ", "6119", " - ", "SICK LEAVE")</f>
        <v xml:space="preserve">          6119 - SICK LEAVE</v>
      </c>
      <c r="C37" s="11"/>
      <c r="D37" s="6">
        <v>97.79</v>
      </c>
      <c r="E37" s="2"/>
      <c r="F37" s="7">
        <f t="shared" si="19"/>
        <v>6.3826634876272678E-3</v>
      </c>
      <c r="G37" s="2"/>
      <c r="H37" s="6">
        <v>224.32</v>
      </c>
      <c r="I37" s="2"/>
      <c r="J37" s="7">
        <f t="shared" si="20"/>
        <v>0</v>
      </c>
      <c r="K37" s="2"/>
      <c r="L37" s="6">
        <f t="shared" si="21"/>
        <v>-126.52999999999999</v>
      </c>
      <c r="M37" s="2"/>
      <c r="N37" s="7">
        <f t="shared" si="22"/>
        <v>-0.56406027104136947</v>
      </c>
      <c r="O37" s="11"/>
      <c r="P37" s="6">
        <v>97.79</v>
      </c>
      <c r="Q37" s="2"/>
      <c r="R37" s="7">
        <f t="shared" si="23"/>
        <v>1.529659023220659E-3</v>
      </c>
      <c r="S37" s="2"/>
      <c r="T37" s="6">
        <v>2447.1799999999998</v>
      </c>
      <c r="U37" s="2"/>
      <c r="V37" s="7">
        <f t="shared" si="24"/>
        <v>0.94614667867788904</v>
      </c>
      <c r="W37" s="2"/>
      <c r="X37" s="6">
        <f t="shared" si="25"/>
        <v>-2349.39</v>
      </c>
      <c r="Y37" s="2"/>
      <c r="Z37" s="7">
        <f t="shared" si="26"/>
        <v>-0.96003971918698261</v>
      </c>
    </row>
    <row r="38" spans="1:26" s="24" customFormat="1" hidden="1" outlineLevel="2" x14ac:dyDescent="0.3">
      <c r="A38" s="27"/>
      <c r="B38" s="11" t="str">
        <f>CONCATENATE("          ", "6156", " - ", "EMPLOYEE MEALS")</f>
        <v xml:space="preserve">          6156 - EMPLOYEE MEALS</v>
      </c>
      <c r="C38" s="11"/>
      <c r="D38" s="6">
        <v>20</v>
      </c>
      <c r="E38" s="2"/>
      <c r="F38" s="7">
        <f t="shared" si="19"/>
        <v>1.3053816315834476E-3</v>
      </c>
      <c r="G38" s="2"/>
      <c r="H38" s="6"/>
      <c r="I38" s="2"/>
      <c r="J38" s="7">
        <f t="shared" si="20"/>
        <v>0</v>
      </c>
      <c r="K38" s="2"/>
      <c r="L38" s="6">
        <f t="shared" si="21"/>
        <v>20</v>
      </c>
      <c r="M38" s="2"/>
      <c r="N38" s="7">
        <f t="shared" si="22"/>
        <v>0</v>
      </c>
      <c r="O38" s="11"/>
      <c r="P38" s="6">
        <v>138.08000000000001</v>
      </c>
      <c r="Q38" s="2"/>
      <c r="R38" s="7">
        <f t="shared" si="23"/>
        <v>2.1598866747756275E-3</v>
      </c>
      <c r="S38" s="2"/>
      <c r="T38" s="6">
        <v>726.37</v>
      </c>
      <c r="U38" s="2"/>
      <c r="V38" s="7">
        <f t="shared" si="24"/>
        <v>0.28083449643722908</v>
      </c>
      <c r="W38" s="2"/>
      <c r="X38" s="6">
        <f t="shared" si="25"/>
        <v>-588.29</v>
      </c>
      <c r="Y38" s="2"/>
      <c r="Z38" s="7">
        <f t="shared" si="26"/>
        <v>-0.80990404339386257</v>
      </c>
    </row>
    <row r="39" spans="1:26" s="29" customFormat="1" outlineLevel="1" collapsed="1" x14ac:dyDescent="0.3">
      <c r="A39" s="28"/>
      <c r="B39" s="14" t="str">
        <f>CONCATENATE("     ","*Payroll                                          ")</f>
        <v xml:space="preserve">     *Payroll                                          </v>
      </c>
      <c r="C39" s="14"/>
      <c r="D39" s="1">
        <f>SUM(OSRRefD22_1x_0)</f>
        <v>4186.26</v>
      </c>
      <c r="E39" s="1"/>
      <c r="F39" s="5">
        <f t="shared" ref="F39:F43" si="27">IF(D$12=0,0,D39/D$12)</f>
        <v>0.2732333454516262</v>
      </c>
      <c r="G39" s="1"/>
      <c r="H39" s="1">
        <f>SUM(OSRRefH22_1x_0)</f>
        <v>4169</v>
      </c>
      <c r="I39" s="1"/>
      <c r="J39" s="5">
        <f t="shared" ref="J39:J43" si="28">IF(H$12=0,0,H39/H$12)</f>
        <v>0</v>
      </c>
      <c r="K39" s="1"/>
      <c r="L39" s="1">
        <f t="shared" ref="L39:L43" si="29">+D39-H39</f>
        <v>17.260000000000218</v>
      </c>
      <c r="M39" s="1"/>
      <c r="N39" s="5">
        <f t="shared" ref="N39:N43" si="30">IF(H39=0,0,L39/H39)</f>
        <v>4.1400815543296277E-3</v>
      </c>
      <c r="O39" s="14"/>
      <c r="P39" s="1">
        <f>SUM(OSRRefP22_1x_0)</f>
        <v>18558.02</v>
      </c>
      <c r="Q39" s="1"/>
      <c r="R39" s="5">
        <f t="shared" ref="R39:R43" si="31">IF(P$12=0,0,P39/P$12)</f>
        <v>0.29028983276520559</v>
      </c>
      <c r="S39" s="1"/>
      <c r="T39" s="1">
        <f>SUM(OSRRefT22_1x_0)</f>
        <v>41960.38</v>
      </c>
      <c r="U39" s="1"/>
      <c r="V39" s="5">
        <f t="shared" ref="V39:V43" si="32">IF(T$12=0,0,T39/T$12)</f>
        <v>16.223029843763893</v>
      </c>
      <c r="W39" s="1"/>
      <c r="X39" s="1">
        <f t="shared" ref="X39:X43" si="33">+P39-T39</f>
        <v>-23402.359999999997</v>
      </c>
      <c r="Y39" s="1"/>
      <c r="Z39" s="5">
        <f t="shared" ref="Z39:Z43" si="34">IF(T39=0,0,X39/T39)</f>
        <v>-0.55772516836120167</v>
      </c>
    </row>
    <row r="40" spans="1:26" s="24" customFormat="1" hidden="1" outlineLevel="2" x14ac:dyDescent="0.3">
      <c r="A40" s="27"/>
      <c r="B40" s="11" t="str">
        <f>CONCATENATE("          ", "6002", " - ", "STAFF SALARIES")</f>
        <v xml:space="preserve">          6002 - STAFF SALARIES</v>
      </c>
      <c r="C40" s="11"/>
      <c r="D40" s="6"/>
      <c r="E40" s="2"/>
      <c r="F40" s="7">
        <f t="shared" si="27"/>
        <v>0</v>
      </c>
      <c r="G40" s="2"/>
      <c r="H40" s="6">
        <v>4169</v>
      </c>
      <c r="I40" s="2"/>
      <c r="J40" s="7">
        <f t="shared" si="28"/>
        <v>0</v>
      </c>
      <c r="K40" s="2"/>
      <c r="L40" s="6">
        <f t="shared" si="29"/>
        <v>-4169</v>
      </c>
      <c r="M40" s="2"/>
      <c r="N40" s="7">
        <f t="shared" si="30"/>
        <v>-1</v>
      </c>
      <c r="O40" s="11"/>
      <c r="P40" s="6"/>
      <c r="Q40" s="2"/>
      <c r="R40" s="7">
        <f t="shared" si="31"/>
        <v>0</v>
      </c>
      <c r="S40" s="2"/>
      <c r="T40" s="6">
        <v>39828.42</v>
      </c>
      <c r="U40" s="2"/>
      <c r="V40" s="7">
        <f t="shared" si="32"/>
        <v>15.398755833239896</v>
      </c>
      <c r="W40" s="2"/>
      <c r="X40" s="6">
        <f t="shared" si="33"/>
        <v>-39828.42</v>
      </c>
      <c r="Y40" s="2"/>
      <c r="Z40" s="7">
        <f t="shared" si="34"/>
        <v>-1</v>
      </c>
    </row>
    <row r="41" spans="1:26" s="24" customFormat="1" hidden="1" outlineLevel="2" x14ac:dyDescent="0.3">
      <c r="A41" s="27"/>
      <c r="B41" s="11" t="str">
        <f>CONCATENATE("          ", "6004", " - ", "STAFF HOURLY")</f>
        <v xml:space="preserve">          6004 - STAFF HOURLY</v>
      </c>
      <c r="C41" s="11"/>
      <c r="D41" s="6">
        <v>466.93</v>
      </c>
      <c r="E41" s="2"/>
      <c r="F41" s="7">
        <f t="shared" si="27"/>
        <v>3.0476092261762962E-2</v>
      </c>
      <c r="G41" s="2"/>
      <c r="H41" s="6"/>
      <c r="I41" s="2"/>
      <c r="J41" s="7">
        <f t="shared" si="28"/>
        <v>0</v>
      </c>
      <c r="K41" s="2"/>
      <c r="L41" s="6">
        <f t="shared" si="29"/>
        <v>466.93</v>
      </c>
      <c r="M41" s="2"/>
      <c r="N41" s="7">
        <f t="shared" si="30"/>
        <v>0</v>
      </c>
      <c r="O41" s="11"/>
      <c r="P41" s="6">
        <v>466.93</v>
      </c>
      <c r="Q41" s="2"/>
      <c r="R41" s="7">
        <f t="shared" si="31"/>
        <v>7.3038520064671467E-3</v>
      </c>
      <c r="S41" s="2"/>
      <c r="T41" s="6"/>
      <c r="U41" s="2"/>
      <c r="V41" s="7">
        <f t="shared" si="32"/>
        <v>0</v>
      </c>
      <c r="W41" s="2"/>
      <c r="X41" s="6">
        <f t="shared" si="33"/>
        <v>466.93</v>
      </c>
      <c r="Y41" s="2"/>
      <c r="Z41" s="7">
        <f t="shared" si="34"/>
        <v>0</v>
      </c>
    </row>
    <row r="42" spans="1:26" s="24" customFormat="1" hidden="1" outlineLevel="2" x14ac:dyDescent="0.3">
      <c r="A42" s="27"/>
      <c r="B42" s="11" t="str">
        <f>CONCATENATE("          ", "6005", " - ", "TEMPORARY WAGES-HOURLY")</f>
        <v xml:space="preserve">          6005 - TEMPORARY WAGES-HOURLY</v>
      </c>
      <c r="C42" s="11"/>
      <c r="D42" s="6">
        <v>2283.4499999999998</v>
      </c>
      <c r="E42" s="2"/>
      <c r="F42" s="7">
        <f t="shared" si="27"/>
        <v>0.14903868433196116</v>
      </c>
      <c r="G42" s="2"/>
      <c r="H42" s="6"/>
      <c r="I42" s="2"/>
      <c r="J42" s="7">
        <f t="shared" si="28"/>
        <v>0</v>
      </c>
      <c r="K42" s="2"/>
      <c r="L42" s="6">
        <f t="shared" si="29"/>
        <v>2283.4499999999998</v>
      </c>
      <c r="M42" s="2"/>
      <c r="N42" s="7">
        <f t="shared" si="30"/>
        <v>0</v>
      </c>
      <c r="O42" s="11"/>
      <c r="P42" s="6">
        <v>10463.85</v>
      </c>
      <c r="Q42" s="2"/>
      <c r="R42" s="7">
        <f t="shared" si="31"/>
        <v>0.16367852101572239</v>
      </c>
      <c r="S42" s="2"/>
      <c r="T42" s="6">
        <v>2131.96</v>
      </c>
      <c r="U42" s="2"/>
      <c r="V42" s="7">
        <f t="shared" si="32"/>
        <v>0.82427401052399596</v>
      </c>
      <c r="W42" s="2"/>
      <c r="X42" s="6">
        <f t="shared" si="33"/>
        <v>8331.89</v>
      </c>
      <c r="Y42" s="2"/>
      <c r="Z42" s="7">
        <f t="shared" si="34"/>
        <v>3.9080892699675411</v>
      </c>
    </row>
    <row r="43" spans="1:26" s="24" customFormat="1" hidden="1" outlineLevel="2" x14ac:dyDescent="0.3">
      <c r="A43" s="27"/>
      <c r="B43" s="11" t="str">
        <f>CONCATENATE("          ", "6007", " - ", "STUDENT HOURLY")</f>
        <v xml:space="preserve">          6007 - STUDENT HOURLY</v>
      </c>
      <c r="C43" s="11"/>
      <c r="D43" s="6">
        <v>1435.88</v>
      </c>
      <c r="E43" s="2"/>
      <c r="F43" s="7">
        <f t="shared" si="27"/>
        <v>9.3718568857902043E-2</v>
      </c>
      <c r="G43" s="2"/>
      <c r="H43" s="6"/>
      <c r="I43" s="2"/>
      <c r="J43" s="7">
        <f t="shared" si="28"/>
        <v>0</v>
      </c>
      <c r="K43" s="2"/>
      <c r="L43" s="6">
        <f t="shared" si="29"/>
        <v>1435.88</v>
      </c>
      <c r="M43" s="2"/>
      <c r="N43" s="7">
        <f t="shared" si="30"/>
        <v>0</v>
      </c>
      <c r="O43" s="11"/>
      <c r="P43" s="6">
        <v>7627.24</v>
      </c>
      <c r="Q43" s="2"/>
      <c r="R43" s="7">
        <f t="shared" si="31"/>
        <v>0.11930745974301603</v>
      </c>
      <c r="S43" s="2"/>
      <c r="T43" s="6">
        <v>0</v>
      </c>
      <c r="U43" s="2"/>
      <c r="V43" s="7">
        <f t="shared" si="32"/>
        <v>0</v>
      </c>
      <c r="W43" s="2"/>
      <c r="X43" s="6">
        <f t="shared" si="33"/>
        <v>7627.24</v>
      </c>
      <c r="Y43" s="2"/>
      <c r="Z43" s="7">
        <f t="shared" si="34"/>
        <v>0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3.25</v>
      </c>
      <c r="E44" s="1"/>
      <c r="F44" s="5">
        <f t="shared" ref="F44:F52" si="35">IF(D$12=0,0,D44/D$12)</f>
        <v>2.1212451513231024E-4</v>
      </c>
      <c r="G44" s="1"/>
      <c r="H44" s="1">
        <f>SUM(OSRRefH22_2x_0)</f>
        <v>0</v>
      </c>
      <c r="I44" s="1"/>
      <c r="J44" s="5">
        <f t="shared" ref="J44:J52" si="36">IF(H$12=0,0,H44/H$12)</f>
        <v>0</v>
      </c>
      <c r="K44" s="1"/>
      <c r="L44" s="1">
        <f t="shared" ref="L44:L52" si="37">+D44-H44</f>
        <v>3.25</v>
      </c>
      <c r="M44" s="1"/>
      <c r="N44" s="5">
        <f t="shared" ref="N44:N52" si="38">IF(H44=0,0,L44/H44)</f>
        <v>0</v>
      </c>
      <c r="O44" s="14"/>
      <c r="P44" s="1">
        <f>SUM(OSRRefP22_2x_0)</f>
        <v>91.22</v>
      </c>
      <c r="Q44" s="1"/>
      <c r="R44" s="5">
        <f t="shared" ref="R44:R52" si="39">IF(P$12=0,0,P44/P$12)</f>
        <v>1.4268892125799007E-3</v>
      </c>
      <c r="S44" s="1"/>
      <c r="T44" s="1">
        <f>SUM(OSRRefT22_2x_0)</f>
        <v>0</v>
      </c>
      <c r="U44" s="1"/>
      <c r="V44" s="5">
        <f t="shared" ref="V44:V52" si="40">IF(T$12=0,0,T44/T$12)</f>
        <v>0</v>
      </c>
      <c r="W44" s="1"/>
      <c r="X44" s="1">
        <f t="shared" ref="X44:X52" si="41">+P44-T44</f>
        <v>91.22</v>
      </c>
      <c r="Y44" s="1"/>
      <c r="Z44" s="5">
        <f t="shared" ref="Z44:Z52" si="42">IF(T44=0,0,X44/T44)</f>
        <v>0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>
        <v>3.25</v>
      </c>
      <c r="E45" s="2"/>
      <c r="F45" s="7">
        <f t="shared" si="35"/>
        <v>2.1212451513231024E-4</v>
      </c>
      <c r="G45" s="2"/>
      <c r="H45" s="6"/>
      <c r="I45" s="2"/>
      <c r="J45" s="7">
        <f t="shared" si="36"/>
        <v>0</v>
      </c>
      <c r="K45" s="2"/>
      <c r="L45" s="6">
        <f t="shared" si="37"/>
        <v>3.25</v>
      </c>
      <c r="M45" s="2"/>
      <c r="N45" s="7">
        <f t="shared" si="38"/>
        <v>0</v>
      </c>
      <c r="O45" s="11"/>
      <c r="P45" s="6">
        <v>91.22</v>
      </c>
      <c r="Q45" s="2"/>
      <c r="R45" s="7">
        <f t="shared" si="39"/>
        <v>1.4268892125799007E-3</v>
      </c>
      <c r="S45" s="2"/>
      <c r="T45" s="6"/>
      <c r="U45" s="2"/>
      <c r="V45" s="7">
        <f t="shared" si="40"/>
        <v>0</v>
      </c>
      <c r="W45" s="2"/>
      <c r="X45" s="6">
        <f t="shared" si="41"/>
        <v>91.22</v>
      </c>
      <c r="Y45" s="2"/>
      <c r="Z45" s="7">
        <f t="shared" si="42"/>
        <v>0</v>
      </c>
    </row>
    <row r="46" spans="1:26" s="29" customFormat="1" outlineLevel="1" collapsed="1" x14ac:dyDescent="0.3">
      <c r="A46" s="28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2.06</v>
      </c>
      <c r="E46" s="1"/>
      <c r="F46" s="5">
        <f t="shared" si="35"/>
        <v>1.344543080530951E-4</v>
      </c>
      <c r="G46" s="1"/>
      <c r="H46" s="1">
        <f>SUM(OSRRefH22_3x_0)</f>
        <v>0</v>
      </c>
      <c r="I46" s="1"/>
      <c r="J46" s="5">
        <f t="shared" si="36"/>
        <v>0</v>
      </c>
      <c r="K46" s="1"/>
      <c r="L46" s="1">
        <f t="shared" si="37"/>
        <v>2.06</v>
      </c>
      <c r="M46" s="1"/>
      <c r="N46" s="5">
        <f t="shared" si="38"/>
        <v>0</v>
      </c>
      <c r="O46" s="14"/>
      <c r="P46" s="1">
        <f>SUM(OSRRefP22_3x_0)</f>
        <v>9.24</v>
      </c>
      <c r="Q46" s="1"/>
      <c r="R46" s="5">
        <f t="shared" si="39"/>
        <v>1.4453471085549533E-4</v>
      </c>
      <c r="S46" s="1"/>
      <c r="T46" s="1">
        <f>SUM(OSRRefT22_3x_0)</f>
        <v>3.31</v>
      </c>
      <c r="U46" s="1"/>
      <c r="V46" s="5">
        <f t="shared" si="40"/>
        <v>1.2797364748092959E-3</v>
      </c>
      <c r="W46" s="1"/>
      <c r="X46" s="1">
        <f t="shared" si="41"/>
        <v>5.93</v>
      </c>
      <c r="Y46" s="1"/>
      <c r="Z46" s="5">
        <f t="shared" si="42"/>
        <v>1.7915407854984893</v>
      </c>
    </row>
    <row r="47" spans="1:26" s="24" customFormat="1" hidden="1" outlineLevel="2" x14ac:dyDescent="0.3">
      <c r="A47" s="27"/>
      <c r="B47" s="11" t="str">
        <f>CONCATENATE("          ", "6272", " - ", "CASH (OVER/SHORT)")</f>
        <v xml:space="preserve">          6272 - CASH (OVER/SHORT)</v>
      </c>
      <c r="C47" s="11"/>
      <c r="D47" s="6">
        <v>2.06</v>
      </c>
      <c r="E47" s="2"/>
      <c r="F47" s="7">
        <f t="shared" si="35"/>
        <v>1.344543080530951E-4</v>
      </c>
      <c r="G47" s="2"/>
      <c r="H47" s="6"/>
      <c r="I47" s="2"/>
      <c r="J47" s="7">
        <f t="shared" si="36"/>
        <v>0</v>
      </c>
      <c r="K47" s="2"/>
      <c r="L47" s="6">
        <f t="shared" si="37"/>
        <v>2.06</v>
      </c>
      <c r="M47" s="2"/>
      <c r="N47" s="7">
        <f t="shared" si="38"/>
        <v>0</v>
      </c>
      <c r="O47" s="11"/>
      <c r="P47" s="6">
        <v>9.24</v>
      </c>
      <c r="Q47" s="2"/>
      <c r="R47" s="7">
        <f t="shared" si="39"/>
        <v>1.4453471085549533E-4</v>
      </c>
      <c r="S47" s="2"/>
      <c r="T47" s="6">
        <v>3.31</v>
      </c>
      <c r="U47" s="2"/>
      <c r="V47" s="7">
        <f t="shared" si="40"/>
        <v>1.2797364748092959E-3</v>
      </c>
      <c r="W47" s="2"/>
      <c r="X47" s="6">
        <f t="shared" si="41"/>
        <v>5.93</v>
      </c>
      <c r="Y47" s="2"/>
      <c r="Z47" s="7">
        <f t="shared" si="42"/>
        <v>1.7915407854984893</v>
      </c>
    </row>
    <row r="48" spans="1:26" s="29" customFormat="1" outlineLevel="1" collapsed="1" x14ac:dyDescent="0.3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719.42</v>
      </c>
      <c r="E48" s="1"/>
      <c r="F48" s="5">
        <f t="shared" si="35"/>
        <v>4.6955882669688191E-2</v>
      </c>
      <c r="G48" s="1"/>
      <c r="H48" s="1">
        <f>SUM(OSRRefH22_4x_0)</f>
        <v>205.09</v>
      </c>
      <c r="I48" s="1"/>
      <c r="J48" s="5">
        <f t="shared" si="36"/>
        <v>0</v>
      </c>
      <c r="K48" s="1"/>
      <c r="L48" s="1">
        <f t="shared" si="37"/>
        <v>514.32999999999993</v>
      </c>
      <c r="M48" s="1"/>
      <c r="N48" s="5">
        <f t="shared" si="38"/>
        <v>2.5078258325613141</v>
      </c>
      <c r="O48" s="14"/>
      <c r="P48" s="1">
        <f>SUM(OSRRefP22_4x_0)</f>
        <v>3370.61</v>
      </c>
      <c r="Q48" s="1"/>
      <c r="R48" s="5">
        <f t="shared" si="39"/>
        <v>5.2724041315653801E-2</v>
      </c>
      <c r="S48" s="1"/>
      <c r="T48" s="1">
        <f>SUM(OSRRefT22_4x_0)</f>
        <v>639.33000000000004</v>
      </c>
      <c r="U48" s="1"/>
      <c r="V48" s="5">
        <f t="shared" si="40"/>
        <v>0.24718245330508376</v>
      </c>
      <c r="W48" s="1"/>
      <c r="X48" s="1">
        <f t="shared" si="41"/>
        <v>2731.28</v>
      </c>
      <c r="Y48" s="1"/>
      <c r="Z48" s="5">
        <f t="shared" si="42"/>
        <v>4.2720973519152867</v>
      </c>
    </row>
    <row r="49" spans="1:26" s="24" customFormat="1" hidden="1" outlineLevel="2" x14ac:dyDescent="0.3">
      <c r="A49" s="27"/>
      <c r="B49" s="11" t="str">
        <f>CONCATENATE("          ", "6381", " - ", "BANK/CREDIT CARD FEES")</f>
        <v xml:space="preserve">          6381 - BANK/CREDIT CARD FEES</v>
      </c>
      <c r="C49" s="11"/>
      <c r="D49" s="6">
        <v>719.42</v>
      </c>
      <c r="E49" s="2"/>
      <c r="F49" s="7">
        <f t="shared" si="35"/>
        <v>4.6955882669688191E-2</v>
      </c>
      <c r="G49" s="2"/>
      <c r="H49" s="6">
        <v>205.09</v>
      </c>
      <c r="I49" s="2"/>
      <c r="J49" s="7">
        <f t="shared" si="36"/>
        <v>0</v>
      </c>
      <c r="K49" s="2"/>
      <c r="L49" s="6">
        <f t="shared" si="37"/>
        <v>514.32999999999993</v>
      </c>
      <c r="M49" s="2"/>
      <c r="N49" s="7">
        <f t="shared" si="38"/>
        <v>2.5078258325613141</v>
      </c>
      <c r="O49" s="11"/>
      <c r="P49" s="6">
        <v>3370.61</v>
      </c>
      <c r="Q49" s="2"/>
      <c r="R49" s="7">
        <f t="shared" si="39"/>
        <v>5.2724041315653801E-2</v>
      </c>
      <c r="S49" s="2"/>
      <c r="T49" s="6">
        <v>639.33000000000004</v>
      </c>
      <c r="U49" s="2"/>
      <c r="V49" s="7">
        <f t="shared" si="40"/>
        <v>0.24718245330508376</v>
      </c>
      <c r="W49" s="2"/>
      <c r="X49" s="6">
        <f t="shared" si="41"/>
        <v>2731.28</v>
      </c>
      <c r="Y49" s="2"/>
      <c r="Z49" s="7">
        <f t="shared" si="42"/>
        <v>4.2720973519152867</v>
      </c>
    </row>
    <row r="50" spans="1:26" s="29" customFormat="1" outlineLevel="1" collapsed="1" x14ac:dyDescent="0.3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6324.75</v>
      </c>
      <c r="E50" s="1"/>
      <c r="F50" s="5">
        <f t="shared" si="35"/>
        <v>0.41281062371787053</v>
      </c>
      <c r="G50" s="1"/>
      <c r="H50" s="1">
        <f>SUM(OSRRefH22_5x_0)</f>
        <v>9152.09</v>
      </c>
      <c r="I50" s="1"/>
      <c r="J50" s="5">
        <f t="shared" si="36"/>
        <v>0</v>
      </c>
      <c r="K50" s="1"/>
      <c r="L50" s="1">
        <f t="shared" si="37"/>
        <v>-2827.34</v>
      </c>
      <c r="M50" s="1"/>
      <c r="N50" s="5">
        <f t="shared" si="38"/>
        <v>-0.30892834314347872</v>
      </c>
      <c r="O50" s="14"/>
      <c r="P50" s="1">
        <f>SUM(OSRRefP22_5x_0)</f>
        <v>34056.11</v>
      </c>
      <c r="Q50" s="1"/>
      <c r="R50" s="5">
        <f t="shared" si="39"/>
        <v>0.53271536923300244</v>
      </c>
      <c r="S50" s="1"/>
      <c r="T50" s="1">
        <f>SUM(OSRRefT22_5x_0)</f>
        <v>45941.729999999996</v>
      </c>
      <c r="U50" s="1"/>
      <c r="V50" s="5">
        <f t="shared" si="40"/>
        <v>17.762328579105883</v>
      </c>
      <c r="W50" s="1"/>
      <c r="X50" s="1">
        <f t="shared" si="41"/>
        <v>-11885.619999999995</v>
      </c>
      <c r="Y50" s="1"/>
      <c r="Z50" s="5">
        <f t="shared" si="42"/>
        <v>-0.25871076252461533</v>
      </c>
    </row>
    <row r="51" spans="1:26" s="24" customFormat="1" hidden="1" outlineLevel="2" x14ac:dyDescent="0.3">
      <c r="A51" s="27"/>
      <c r="B51" s="11" t="str">
        <f>CONCATENATE("          ", "6321", " - ", "BUILDING DEPRECIATION")</f>
        <v xml:space="preserve">          6321 - BUILDING DEPRECIATION</v>
      </c>
      <c r="C51" s="11"/>
      <c r="D51" s="6">
        <v>5080.51</v>
      </c>
      <c r="E51" s="2"/>
      <c r="F51" s="7">
        <f t="shared" si="35"/>
        <v>0.3316002216538011</v>
      </c>
      <c r="G51" s="2"/>
      <c r="H51" s="6">
        <v>5080.51</v>
      </c>
      <c r="I51" s="2"/>
      <c r="J51" s="7">
        <f t="shared" si="36"/>
        <v>0</v>
      </c>
      <c r="K51" s="2"/>
      <c r="L51" s="6">
        <f t="shared" si="37"/>
        <v>0</v>
      </c>
      <c r="M51" s="2"/>
      <c r="N51" s="7">
        <f t="shared" si="38"/>
        <v>0</v>
      </c>
      <c r="O51" s="11"/>
      <c r="P51" s="6">
        <v>25402.55</v>
      </c>
      <c r="Q51" s="2"/>
      <c r="R51" s="7">
        <f t="shared" si="39"/>
        <v>0.39735391983141372</v>
      </c>
      <c r="S51" s="2"/>
      <c r="T51" s="6">
        <v>25402.55</v>
      </c>
      <c r="U51" s="2"/>
      <c r="V51" s="7">
        <f t="shared" si="40"/>
        <v>9.8213201776939218</v>
      </c>
      <c r="W51" s="2"/>
      <c r="X51" s="6">
        <f t="shared" si="41"/>
        <v>0</v>
      </c>
      <c r="Y51" s="2"/>
      <c r="Z51" s="7">
        <f t="shared" si="42"/>
        <v>0</v>
      </c>
    </row>
    <row r="52" spans="1:26" s="24" customFormat="1" hidden="1" outlineLevel="2" x14ac:dyDescent="0.3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1244.24</v>
      </c>
      <c r="E52" s="2"/>
      <c r="F52" s="7">
        <f t="shared" si="35"/>
        <v>8.1210402064069445E-2</v>
      </c>
      <c r="G52" s="2"/>
      <c r="H52" s="6">
        <v>4071.58</v>
      </c>
      <c r="I52" s="2"/>
      <c r="J52" s="7">
        <f t="shared" si="36"/>
        <v>0</v>
      </c>
      <c r="K52" s="2"/>
      <c r="L52" s="6">
        <f t="shared" si="37"/>
        <v>-2827.34</v>
      </c>
      <c r="M52" s="2"/>
      <c r="N52" s="7">
        <f t="shared" si="38"/>
        <v>-0.69440855883956598</v>
      </c>
      <c r="O52" s="11"/>
      <c r="P52" s="6">
        <v>8653.56</v>
      </c>
      <c r="Q52" s="2"/>
      <c r="R52" s="7">
        <f t="shared" si="39"/>
        <v>0.13536144940158876</v>
      </c>
      <c r="S52" s="2"/>
      <c r="T52" s="6">
        <v>20539.18</v>
      </c>
      <c r="U52" s="2"/>
      <c r="V52" s="7">
        <f t="shared" si="40"/>
        <v>7.9410084014119624</v>
      </c>
      <c r="W52" s="2"/>
      <c r="X52" s="6">
        <f t="shared" si="41"/>
        <v>-11885.62</v>
      </c>
      <c r="Y52" s="2"/>
      <c r="Z52" s="7">
        <f t="shared" si="42"/>
        <v>-0.57868035627517755</v>
      </c>
    </row>
    <row r="53" spans="1:26" s="29" customFormat="1" outlineLevel="1" collapsed="1" x14ac:dyDescent="0.3">
      <c r="A53" s="28"/>
      <c r="B53" s="14" t="str">
        <f>CONCATENATE("     ","Freight out/Postage                               ")</f>
        <v xml:space="preserve">     Freight out/Postage                               </v>
      </c>
      <c r="C53" s="14"/>
      <c r="D53" s="1">
        <f>SUM(OSRRefD22_6x_0)</f>
        <v>0</v>
      </c>
      <c r="E53" s="1"/>
      <c r="F53" s="5">
        <f t="shared" ref="F53:F63" si="43">IF(D$12=0,0,D53/D$12)</f>
        <v>0</v>
      </c>
      <c r="G53" s="1"/>
      <c r="H53" s="1">
        <f>SUM(OSRRefH22_6x_0)</f>
        <v>9.9</v>
      </c>
      <c r="I53" s="1"/>
      <c r="J53" s="5">
        <f t="shared" ref="J53:J63" si="44">IF(H$12=0,0,H53/H$12)</f>
        <v>0</v>
      </c>
      <c r="K53" s="1"/>
      <c r="L53" s="1">
        <f t="shared" ref="L53:L63" si="45">+D53-H53</f>
        <v>-9.9</v>
      </c>
      <c r="M53" s="1"/>
      <c r="N53" s="5">
        <f t="shared" ref="N53:N63" si="46">IF(H53=0,0,L53/H53)</f>
        <v>-1</v>
      </c>
      <c r="O53" s="14"/>
      <c r="P53" s="1">
        <f>SUM(OSRRefP22_6x_0)</f>
        <v>0</v>
      </c>
      <c r="Q53" s="1"/>
      <c r="R53" s="5">
        <f t="shared" ref="R53:R63" si="47">IF(P$12=0,0,P53/P$12)</f>
        <v>0</v>
      </c>
      <c r="S53" s="1"/>
      <c r="T53" s="1">
        <f>SUM(OSRRefT22_6x_0)</f>
        <v>105.33</v>
      </c>
      <c r="U53" s="1"/>
      <c r="V53" s="5">
        <f t="shared" ref="V53:V63" si="48">IF(T$12=0,0,T53/T$12)</f>
        <v>4.0723457066967714E-2</v>
      </c>
      <c r="W53" s="1"/>
      <c r="X53" s="1">
        <f t="shared" ref="X53:X63" si="49">+P53-T53</f>
        <v>-105.33</v>
      </c>
      <c r="Y53" s="1"/>
      <c r="Z53" s="5">
        <f t="shared" ref="Z53:Z63" si="50">IF(T53=0,0,X53/T53)</f>
        <v>-1</v>
      </c>
    </row>
    <row r="54" spans="1:26" s="24" customFormat="1" hidden="1" outlineLevel="2" x14ac:dyDescent="0.3">
      <c r="A54" s="27"/>
      <c r="B54" s="11" t="str">
        <f>CONCATENATE("          ", "6305", " - ", "FREIGHT OUT")</f>
        <v xml:space="preserve">          6305 - FREIGHT OUT</v>
      </c>
      <c r="C54" s="11"/>
      <c r="D54" s="6"/>
      <c r="E54" s="2"/>
      <c r="F54" s="7">
        <f t="shared" si="43"/>
        <v>0</v>
      </c>
      <c r="G54" s="2"/>
      <c r="H54" s="6">
        <v>9.9</v>
      </c>
      <c r="I54" s="2"/>
      <c r="J54" s="7">
        <f t="shared" si="44"/>
        <v>0</v>
      </c>
      <c r="K54" s="2"/>
      <c r="L54" s="6">
        <f t="shared" si="45"/>
        <v>-9.9</v>
      </c>
      <c r="M54" s="2"/>
      <c r="N54" s="7">
        <f t="shared" si="46"/>
        <v>-1</v>
      </c>
      <c r="O54" s="11"/>
      <c r="P54" s="6"/>
      <c r="Q54" s="2"/>
      <c r="R54" s="7">
        <f t="shared" si="47"/>
        <v>0</v>
      </c>
      <c r="S54" s="2"/>
      <c r="T54" s="6">
        <v>105.33</v>
      </c>
      <c r="U54" s="2"/>
      <c r="V54" s="7">
        <f t="shared" si="48"/>
        <v>4.0723457066967714E-2</v>
      </c>
      <c r="W54" s="2"/>
      <c r="X54" s="6">
        <f t="shared" si="49"/>
        <v>-105.33</v>
      </c>
      <c r="Y54" s="2"/>
      <c r="Z54" s="7">
        <f t="shared" si="50"/>
        <v>-1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SUM(OSRRefD22_7x_0)</f>
        <v>547.19000000000005</v>
      </c>
      <c r="E55" s="1"/>
      <c r="F55" s="5">
        <f t="shared" si="43"/>
        <v>3.5714588749307337E-2</v>
      </c>
      <c r="G55" s="1"/>
      <c r="H55" s="1">
        <f>SUM(OSRRefH22_7x_0)</f>
        <v>415</v>
      </c>
      <c r="I55" s="1"/>
      <c r="J55" s="5">
        <f t="shared" si="44"/>
        <v>0</v>
      </c>
      <c r="K55" s="1"/>
      <c r="L55" s="1">
        <f t="shared" si="45"/>
        <v>132.19000000000005</v>
      </c>
      <c r="M55" s="1"/>
      <c r="N55" s="5">
        <f t="shared" si="46"/>
        <v>0.31853012048192786</v>
      </c>
      <c r="O55" s="14"/>
      <c r="P55" s="1">
        <f>SUM(OSRRefP22_7x_0)</f>
        <v>2159.19</v>
      </c>
      <c r="Q55" s="1"/>
      <c r="R55" s="5">
        <f t="shared" si="47"/>
        <v>3.3774664754553783E-2</v>
      </c>
      <c r="S55" s="1"/>
      <c r="T55" s="1">
        <f>SUM(OSRRefT22_7x_0)</f>
        <v>1924.1</v>
      </c>
      <c r="U55" s="1"/>
      <c r="V55" s="5">
        <f t="shared" si="48"/>
        <v>0.74390965292464239</v>
      </c>
      <c r="W55" s="1"/>
      <c r="X55" s="1">
        <f t="shared" si="49"/>
        <v>235.09000000000015</v>
      </c>
      <c r="Y55" s="1"/>
      <c r="Z55" s="5">
        <f t="shared" si="50"/>
        <v>0.12218179928278164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>
        <v>547.19000000000005</v>
      </c>
      <c r="E56" s="2"/>
      <c r="F56" s="7">
        <f t="shared" si="43"/>
        <v>3.5714588749307337E-2</v>
      </c>
      <c r="G56" s="2"/>
      <c r="H56" s="6">
        <v>415</v>
      </c>
      <c r="I56" s="2"/>
      <c r="J56" s="7">
        <f t="shared" si="44"/>
        <v>0</v>
      </c>
      <c r="K56" s="2"/>
      <c r="L56" s="6">
        <f t="shared" si="45"/>
        <v>132.19000000000005</v>
      </c>
      <c r="M56" s="2"/>
      <c r="N56" s="7">
        <f t="shared" si="46"/>
        <v>0.31853012048192786</v>
      </c>
      <c r="O56" s="11"/>
      <c r="P56" s="6">
        <v>2159.19</v>
      </c>
      <c r="Q56" s="2"/>
      <c r="R56" s="7">
        <f t="shared" si="47"/>
        <v>3.3774664754553783E-2</v>
      </c>
      <c r="S56" s="2"/>
      <c r="T56" s="6">
        <v>1924.1</v>
      </c>
      <c r="U56" s="2"/>
      <c r="V56" s="7">
        <f t="shared" si="48"/>
        <v>0.74390965292464239</v>
      </c>
      <c r="W56" s="2"/>
      <c r="X56" s="6">
        <f t="shared" si="49"/>
        <v>235.09000000000015</v>
      </c>
      <c r="Y56" s="2"/>
      <c r="Z56" s="7">
        <f t="shared" si="50"/>
        <v>0.12218179928278164</v>
      </c>
    </row>
    <row r="57" spans="1:26" s="29" customFormat="1" outlineLevel="1" collapsed="1" x14ac:dyDescent="0.3">
      <c r="A57" s="28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SUM(OSRRefD22_8x_0)</f>
        <v>331.01</v>
      </c>
      <c r="E57" s="1"/>
      <c r="F57" s="5">
        <f t="shared" si="43"/>
        <v>2.160471869352185E-2</v>
      </c>
      <c r="G57" s="1"/>
      <c r="H57" s="1">
        <f>SUM(OSRRefH22_8x_0)</f>
        <v>243.54</v>
      </c>
      <c r="I57" s="1"/>
      <c r="J57" s="5">
        <f t="shared" si="44"/>
        <v>0</v>
      </c>
      <c r="K57" s="1"/>
      <c r="L57" s="1">
        <f t="shared" si="45"/>
        <v>87.47</v>
      </c>
      <c r="M57" s="1"/>
      <c r="N57" s="5">
        <f t="shared" si="46"/>
        <v>0.35916071281924944</v>
      </c>
      <c r="O57" s="14"/>
      <c r="P57" s="1">
        <f>SUM(OSRRefP22_8x_0)</f>
        <v>1655.05</v>
      </c>
      <c r="Q57" s="1"/>
      <c r="R57" s="5">
        <f t="shared" si="47"/>
        <v>2.58887633334835E-2</v>
      </c>
      <c r="S57" s="1"/>
      <c r="T57" s="1">
        <f>SUM(OSRRefT22_8x_0)</f>
        <v>1217.7</v>
      </c>
      <c r="U57" s="1"/>
      <c r="V57" s="5">
        <f t="shared" si="48"/>
        <v>0.4707961043429848</v>
      </c>
      <c r="W57" s="1"/>
      <c r="X57" s="1">
        <f t="shared" si="49"/>
        <v>437.34999999999991</v>
      </c>
      <c r="Y57" s="1"/>
      <c r="Z57" s="5">
        <f t="shared" si="50"/>
        <v>0.35916071281924933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6">
        <v>331.01</v>
      </c>
      <c r="E58" s="2"/>
      <c r="F58" s="7">
        <f t="shared" si="43"/>
        <v>2.160471869352185E-2</v>
      </c>
      <c r="G58" s="2"/>
      <c r="H58" s="6">
        <v>243.54</v>
      </c>
      <c r="I58" s="2"/>
      <c r="J58" s="7">
        <f t="shared" si="44"/>
        <v>0</v>
      </c>
      <c r="K58" s="2"/>
      <c r="L58" s="6">
        <f t="shared" si="45"/>
        <v>87.47</v>
      </c>
      <c r="M58" s="2"/>
      <c r="N58" s="7">
        <f t="shared" si="46"/>
        <v>0.35916071281924944</v>
      </c>
      <c r="O58" s="11"/>
      <c r="P58" s="6">
        <v>1655.05</v>
      </c>
      <c r="Q58" s="2"/>
      <c r="R58" s="7">
        <f t="shared" si="47"/>
        <v>2.58887633334835E-2</v>
      </c>
      <c r="S58" s="2"/>
      <c r="T58" s="6">
        <v>1217.7</v>
      </c>
      <c r="U58" s="2"/>
      <c r="V58" s="7">
        <f t="shared" si="48"/>
        <v>0.4707961043429848</v>
      </c>
      <c r="W58" s="2"/>
      <c r="X58" s="6">
        <f t="shared" si="49"/>
        <v>437.34999999999991</v>
      </c>
      <c r="Y58" s="2"/>
      <c r="Z58" s="7">
        <f t="shared" si="50"/>
        <v>0.35916071281924933</v>
      </c>
    </row>
    <row r="59" spans="1:26" s="29" customFormat="1" outlineLevel="1" collapsed="1" x14ac:dyDescent="0.3">
      <c r="A59" s="28"/>
      <c r="B59" s="14" t="str">
        <f>CONCATENATE("     ","Interest                                          ")</f>
        <v xml:space="preserve">     Interest                                          </v>
      </c>
      <c r="C59" s="14"/>
      <c r="D59" s="1">
        <f>SUM(OSRRefD22_9x_0)</f>
        <v>3905</v>
      </c>
      <c r="E59" s="1"/>
      <c r="F59" s="5">
        <f t="shared" si="43"/>
        <v>0.25487576356666813</v>
      </c>
      <c r="G59" s="1"/>
      <c r="H59" s="1">
        <f>SUM(OSRRefH22_9x_0)</f>
        <v>4044</v>
      </c>
      <c r="I59" s="1"/>
      <c r="J59" s="5">
        <f t="shared" si="44"/>
        <v>0</v>
      </c>
      <c r="K59" s="1"/>
      <c r="L59" s="1">
        <f t="shared" si="45"/>
        <v>-139</v>
      </c>
      <c r="M59" s="1"/>
      <c r="N59" s="5">
        <f t="shared" si="46"/>
        <v>-3.4371909000989118E-2</v>
      </c>
      <c r="O59" s="14"/>
      <c r="P59" s="1">
        <f>SUM(OSRRefP22_9x_0)</f>
        <v>19249</v>
      </c>
      <c r="Q59" s="1"/>
      <c r="R59" s="5">
        <f t="shared" si="47"/>
        <v>0.30109833866422397</v>
      </c>
      <c r="S59" s="1"/>
      <c r="T59" s="1">
        <f>SUM(OSRRefT22_9x_0)</f>
        <v>19957.849999999999</v>
      </c>
      <c r="U59" s="1"/>
      <c r="V59" s="5">
        <f t="shared" si="48"/>
        <v>7.7162503334660739</v>
      </c>
      <c r="W59" s="1"/>
      <c r="X59" s="1">
        <f t="shared" si="49"/>
        <v>-708.84999999999854</v>
      </c>
      <c r="Y59" s="1"/>
      <c r="Z59" s="5">
        <f t="shared" si="50"/>
        <v>-3.5517352821070339E-2</v>
      </c>
    </row>
    <row r="60" spans="1:26" s="24" customFormat="1" hidden="1" outlineLevel="2" x14ac:dyDescent="0.3">
      <c r="A60" s="27"/>
      <c r="B60" s="11" t="str">
        <f>CONCATENATE("          ", "6401", " - ", "INTEREST EXPENSE")</f>
        <v xml:space="preserve">          6401 - INTEREST EXPENSE</v>
      </c>
      <c r="C60" s="11"/>
      <c r="D60" s="6">
        <v>3905</v>
      </c>
      <c r="E60" s="2"/>
      <c r="F60" s="7">
        <f t="shared" si="43"/>
        <v>0.25487576356666813</v>
      </c>
      <c r="G60" s="2"/>
      <c r="H60" s="6">
        <v>4044</v>
      </c>
      <c r="I60" s="2"/>
      <c r="J60" s="7">
        <f t="shared" si="44"/>
        <v>0</v>
      </c>
      <c r="K60" s="2"/>
      <c r="L60" s="6">
        <f t="shared" si="45"/>
        <v>-139</v>
      </c>
      <c r="M60" s="2"/>
      <c r="N60" s="7">
        <f t="shared" si="46"/>
        <v>-3.4371909000989118E-2</v>
      </c>
      <c r="O60" s="11"/>
      <c r="P60" s="6">
        <v>19249</v>
      </c>
      <c r="Q60" s="2"/>
      <c r="R60" s="7">
        <f t="shared" si="47"/>
        <v>0.30109833866422397</v>
      </c>
      <c r="S60" s="2"/>
      <c r="T60" s="6">
        <v>19957.849999999999</v>
      </c>
      <c r="U60" s="2"/>
      <c r="V60" s="7">
        <f t="shared" si="48"/>
        <v>7.7162503334660739</v>
      </c>
      <c r="W60" s="2"/>
      <c r="X60" s="6">
        <f t="shared" si="49"/>
        <v>-708.84999999999854</v>
      </c>
      <c r="Y60" s="2"/>
      <c r="Z60" s="7">
        <f t="shared" si="50"/>
        <v>-3.5517352821070339E-2</v>
      </c>
    </row>
    <row r="61" spans="1:26" s="29" customFormat="1" outlineLevel="1" collapsed="1" x14ac:dyDescent="0.3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SUM(OSRRefD22_10x_0)</f>
        <v>0</v>
      </c>
      <c r="E61" s="1"/>
      <c r="F61" s="5">
        <f t="shared" si="43"/>
        <v>0</v>
      </c>
      <c r="G61" s="1"/>
      <c r="H61" s="1">
        <f>SUM(OSRRefH22_10x_0)</f>
        <v>881.67</v>
      </c>
      <c r="I61" s="1"/>
      <c r="J61" s="5">
        <f t="shared" si="44"/>
        <v>0</v>
      </c>
      <c r="K61" s="1"/>
      <c r="L61" s="1">
        <f t="shared" si="45"/>
        <v>-881.67</v>
      </c>
      <c r="M61" s="1"/>
      <c r="N61" s="5">
        <f t="shared" si="46"/>
        <v>-1</v>
      </c>
      <c r="O61" s="14"/>
      <c r="P61" s="1">
        <f>SUM(OSRRefP22_10x_0)</f>
        <v>2364.83</v>
      </c>
      <c r="Q61" s="1"/>
      <c r="R61" s="5">
        <f t="shared" si="47"/>
        <v>3.6991344185324786E-2</v>
      </c>
      <c r="S61" s="1"/>
      <c r="T61" s="1">
        <f>SUM(OSRRefT22_10x_0)</f>
        <v>1990.4</v>
      </c>
      <c r="U61" s="1"/>
      <c r="V61" s="5">
        <f t="shared" si="48"/>
        <v>0.76954304515420624</v>
      </c>
      <c r="W61" s="1"/>
      <c r="X61" s="1">
        <f t="shared" si="49"/>
        <v>374.42999999999984</v>
      </c>
      <c r="Y61" s="1"/>
      <c r="Z61" s="5">
        <f t="shared" si="50"/>
        <v>0.18811796623794202</v>
      </c>
    </row>
    <row r="62" spans="1:26" s="24" customFormat="1" hidden="1" outlineLevel="2" x14ac:dyDescent="0.3">
      <c r="A62" s="27"/>
      <c r="B62" s="11" t="str">
        <f>CONCATENATE("          ", "6373", " - ", "MAINTENANCE CONTRACTS")</f>
        <v xml:space="preserve">          6373 - MAINTENANCE CONTRACTS</v>
      </c>
      <c r="C62" s="11"/>
      <c r="D62" s="6"/>
      <c r="E62" s="2"/>
      <c r="F62" s="7">
        <f t="shared" si="43"/>
        <v>0</v>
      </c>
      <c r="G62" s="2"/>
      <c r="H62" s="6"/>
      <c r="I62" s="2"/>
      <c r="J62" s="7">
        <f t="shared" si="44"/>
        <v>0</v>
      </c>
      <c r="K62" s="2"/>
      <c r="L62" s="6">
        <f t="shared" si="45"/>
        <v>0</v>
      </c>
      <c r="M62" s="2"/>
      <c r="N62" s="7">
        <f t="shared" si="46"/>
        <v>0</v>
      </c>
      <c r="O62" s="11"/>
      <c r="P62" s="6">
        <v>203.58</v>
      </c>
      <c r="Q62" s="2"/>
      <c r="R62" s="7">
        <f t="shared" si="47"/>
        <v>3.1844563242382834E-3</v>
      </c>
      <c r="S62" s="2"/>
      <c r="T62" s="6">
        <v>655.15</v>
      </c>
      <c r="U62" s="2"/>
      <c r="V62" s="7">
        <f t="shared" si="48"/>
        <v>0.25329889772547137</v>
      </c>
      <c r="W62" s="2"/>
      <c r="X62" s="6">
        <f t="shared" si="49"/>
        <v>-451.56999999999994</v>
      </c>
      <c r="Y62" s="2"/>
      <c r="Z62" s="7">
        <f t="shared" si="50"/>
        <v>-0.68926200106845759</v>
      </c>
    </row>
    <row r="63" spans="1:26" s="24" customFormat="1" hidden="1" outlineLevel="2" x14ac:dyDescent="0.3">
      <c r="A63" s="27"/>
      <c r="B63" s="11" t="str">
        <f>CONCATENATE("          ", "6375", " - ", "OUTSIDE REPAIRS &amp; MAINTENANCE")</f>
        <v xml:space="preserve">          6375 - OUTSIDE REPAIRS &amp; MAINTENANCE</v>
      </c>
      <c r="C63" s="11"/>
      <c r="D63" s="6"/>
      <c r="E63" s="2"/>
      <c r="F63" s="7">
        <f t="shared" si="43"/>
        <v>0</v>
      </c>
      <c r="G63" s="2"/>
      <c r="H63" s="6">
        <v>881.67</v>
      </c>
      <c r="I63" s="2"/>
      <c r="J63" s="7">
        <f t="shared" si="44"/>
        <v>0</v>
      </c>
      <c r="K63" s="2"/>
      <c r="L63" s="6">
        <f t="shared" si="45"/>
        <v>-881.67</v>
      </c>
      <c r="M63" s="2"/>
      <c r="N63" s="7">
        <f t="shared" si="46"/>
        <v>-1</v>
      </c>
      <c r="O63" s="11"/>
      <c r="P63" s="6">
        <v>2161.25</v>
      </c>
      <c r="Q63" s="2"/>
      <c r="R63" s="7">
        <f t="shared" si="47"/>
        <v>3.3806887861086501E-2</v>
      </c>
      <c r="S63" s="2"/>
      <c r="T63" s="6">
        <v>1335.25</v>
      </c>
      <c r="U63" s="2"/>
      <c r="V63" s="7">
        <f t="shared" si="48"/>
        <v>0.51624414742873481</v>
      </c>
      <c r="W63" s="2"/>
      <c r="X63" s="6">
        <f t="shared" si="49"/>
        <v>826</v>
      </c>
      <c r="Y63" s="2"/>
      <c r="Z63" s="7">
        <f t="shared" si="50"/>
        <v>0.61861074705111407</v>
      </c>
    </row>
    <row r="64" spans="1:26" s="29" customFormat="1" outlineLevel="1" collapsed="1" x14ac:dyDescent="0.3">
      <c r="A64" s="28"/>
      <c r="B64" s="14" t="str">
        <f>CONCATENATE("     ","Royalty &amp; Commissions                             ")</f>
        <v xml:space="preserve">     Royalty &amp; Commissions                             </v>
      </c>
      <c r="C64" s="14"/>
      <c r="D64" s="1">
        <f>SUM(OSRRefD22_11x_0)</f>
        <v>0</v>
      </c>
      <c r="E64" s="1"/>
      <c r="F64" s="5">
        <f t="shared" ref="F64:F70" si="51">IF(D$12=0,0,D64/D$12)</f>
        <v>0</v>
      </c>
      <c r="G64" s="1"/>
      <c r="H64" s="1">
        <f>SUM(OSRRefH22_11x_0)</f>
        <v>0</v>
      </c>
      <c r="I64" s="1"/>
      <c r="J64" s="5">
        <f t="shared" ref="J64:J70" si="52">IF(H$12=0,0,H64/H$12)</f>
        <v>0</v>
      </c>
      <c r="K64" s="1"/>
      <c r="L64" s="1">
        <f t="shared" ref="L64:L70" si="53">+D64-H64</f>
        <v>0</v>
      </c>
      <c r="M64" s="1"/>
      <c r="N64" s="5">
        <f t="shared" ref="N64:N70" si="54">IF(H64=0,0,L64/H64)</f>
        <v>0</v>
      </c>
      <c r="O64" s="14"/>
      <c r="P64" s="1">
        <f>SUM(OSRRefP22_11x_0)</f>
        <v>0</v>
      </c>
      <c r="Q64" s="1"/>
      <c r="R64" s="5">
        <f t="shared" ref="R64:R70" si="55">IF(P$12=0,0,P64/P$12)</f>
        <v>0</v>
      </c>
      <c r="S64" s="1"/>
      <c r="T64" s="1">
        <f>SUM(OSRRefT22_11x_0)</f>
        <v>185.7</v>
      </c>
      <c r="U64" s="1"/>
      <c r="V64" s="5">
        <f t="shared" ref="V64:V70" si="56">IF(T$12=0,0,T64/T$12)</f>
        <v>7.1796695882805517E-2</v>
      </c>
      <c r="W64" s="1"/>
      <c r="X64" s="1">
        <f t="shared" ref="X64:X70" si="57">+P64-T64</f>
        <v>-185.7</v>
      </c>
      <c r="Y64" s="1"/>
      <c r="Z64" s="5">
        <f t="shared" ref="Z64:Z70" si="58">IF(T64=0,0,X64/T64)</f>
        <v>-1</v>
      </c>
    </row>
    <row r="65" spans="1:26" s="24" customFormat="1" hidden="1" outlineLevel="2" x14ac:dyDescent="0.3">
      <c r="A65" s="27"/>
      <c r="B65" s="11" t="str">
        <f>CONCATENATE("          ", "6254", " - ", "ROYALTY &amp; COMMISSIONS")</f>
        <v xml:space="preserve">          6254 - ROYALTY &amp; COMMISSIONS</v>
      </c>
      <c r="C65" s="11"/>
      <c r="D65" s="6"/>
      <c r="E65" s="2"/>
      <c r="F65" s="7">
        <f t="shared" si="51"/>
        <v>0</v>
      </c>
      <c r="G65" s="2"/>
      <c r="H65" s="6"/>
      <c r="I65" s="2"/>
      <c r="J65" s="7">
        <f t="shared" si="52"/>
        <v>0</v>
      </c>
      <c r="K65" s="2"/>
      <c r="L65" s="6">
        <f t="shared" si="53"/>
        <v>0</v>
      </c>
      <c r="M65" s="2"/>
      <c r="N65" s="7">
        <f t="shared" si="54"/>
        <v>0</v>
      </c>
      <c r="O65" s="11"/>
      <c r="P65" s="6"/>
      <c r="Q65" s="2"/>
      <c r="R65" s="7">
        <f t="shared" si="55"/>
        <v>0</v>
      </c>
      <c r="S65" s="2"/>
      <c r="T65" s="6">
        <v>185.7</v>
      </c>
      <c r="U65" s="2"/>
      <c r="V65" s="7">
        <f t="shared" si="56"/>
        <v>7.1796695882805517E-2</v>
      </c>
      <c r="W65" s="2"/>
      <c r="X65" s="6">
        <f t="shared" si="57"/>
        <v>-185.7</v>
      </c>
      <c r="Y65" s="2"/>
      <c r="Z65" s="7">
        <f t="shared" si="58"/>
        <v>-1</v>
      </c>
    </row>
    <row r="66" spans="1:26" s="29" customFormat="1" outlineLevel="1" collapsed="1" x14ac:dyDescent="0.3">
      <c r="A66" s="28"/>
      <c r="B66" s="14" t="str">
        <f>CONCATENATE("     ","Services                                          ")</f>
        <v xml:space="preserve">     Services                                          </v>
      </c>
      <c r="C66" s="14"/>
      <c r="D66" s="1">
        <f>SUM(OSRRefD22_12x_0)</f>
        <v>424.13</v>
      </c>
      <c r="E66" s="1"/>
      <c r="F66" s="5">
        <f t="shared" si="51"/>
        <v>2.7682575570174381E-2</v>
      </c>
      <c r="G66" s="1"/>
      <c r="H66" s="1">
        <f>SUM(OSRRefH22_12x_0)</f>
        <v>330</v>
      </c>
      <c r="I66" s="1"/>
      <c r="J66" s="5">
        <f t="shared" si="52"/>
        <v>0</v>
      </c>
      <c r="K66" s="1"/>
      <c r="L66" s="1">
        <f t="shared" si="53"/>
        <v>94.13</v>
      </c>
      <c r="M66" s="1"/>
      <c r="N66" s="5">
        <f t="shared" si="54"/>
        <v>0.28524242424242424</v>
      </c>
      <c r="O66" s="14"/>
      <c r="P66" s="1">
        <f>SUM(OSRRefP22_12x_0)</f>
        <v>9368.5299999999988</v>
      </c>
      <c r="Q66" s="1"/>
      <c r="R66" s="5">
        <f t="shared" si="55"/>
        <v>0.14654521371115081</v>
      </c>
      <c r="S66" s="1"/>
      <c r="T66" s="1">
        <f>SUM(OSRRefT22_12x_0)</f>
        <v>-644.76</v>
      </c>
      <c r="U66" s="1"/>
      <c r="V66" s="5">
        <f t="shared" si="56"/>
        <v>-0.24928183972750503</v>
      </c>
      <c r="W66" s="1"/>
      <c r="X66" s="1">
        <f t="shared" si="57"/>
        <v>10013.289999999999</v>
      </c>
      <c r="Y66" s="1"/>
      <c r="Z66" s="5">
        <f t="shared" si="58"/>
        <v>-15.530259321297846</v>
      </c>
    </row>
    <row r="67" spans="1:26" s="24" customFormat="1" hidden="1" outlineLevel="2" x14ac:dyDescent="0.3">
      <c r="A67" s="27"/>
      <c r="B67" s="11" t="str">
        <f>CONCATENATE("          ", "6282", " - ", "JANITORIAL/EXTERMINATOR EXPENS")</f>
        <v xml:space="preserve">          6282 - JANITORIAL/EXTERMINATOR EXPENS</v>
      </c>
      <c r="C67" s="11"/>
      <c r="D67" s="6">
        <v>320.25</v>
      </c>
      <c r="E67" s="2"/>
      <c r="F67" s="7">
        <f t="shared" si="51"/>
        <v>2.0902423375729954E-2</v>
      </c>
      <c r="G67" s="2"/>
      <c r="H67" s="6">
        <v>41</v>
      </c>
      <c r="I67" s="2"/>
      <c r="J67" s="7">
        <f t="shared" si="52"/>
        <v>0</v>
      </c>
      <c r="K67" s="2"/>
      <c r="L67" s="6">
        <f t="shared" si="53"/>
        <v>279.25</v>
      </c>
      <c r="M67" s="2"/>
      <c r="N67" s="7">
        <f t="shared" si="54"/>
        <v>6.8109756097560972</v>
      </c>
      <c r="O67" s="11"/>
      <c r="P67" s="6">
        <v>1601.25</v>
      </c>
      <c r="Q67" s="2"/>
      <c r="R67" s="7">
        <f t="shared" si="55"/>
        <v>2.5047208415298904E-2</v>
      </c>
      <c r="S67" s="2"/>
      <c r="T67" s="6">
        <v>-129.16</v>
      </c>
      <c r="U67" s="2"/>
      <c r="V67" s="7">
        <f t="shared" si="56"/>
        <v>-4.993678643092709E-2</v>
      </c>
      <c r="W67" s="2"/>
      <c r="X67" s="6">
        <f t="shared" si="57"/>
        <v>1730.41</v>
      </c>
      <c r="Y67" s="2"/>
      <c r="Z67" s="7">
        <f t="shared" si="58"/>
        <v>-13.397414060080521</v>
      </c>
    </row>
    <row r="68" spans="1:26" s="24" customFormat="1" hidden="1" outlineLevel="2" x14ac:dyDescent="0.3">
      <c r="A68" s="27"/>
      <c r="B68" s="11" t="str">
        <f>CONCATENATE("          ", "6284", " - ", "TRASH REMOVAL EXPENSE")</f>
        <v xml:space="preserve">          6284 - TRASH REMOVAL EXPENSE</v>
      </c>
      <c r="C68" s="11"/>
      <c r="D68" s="6"/>
      <c r="E68" s="2"/>
      <c r="F68" s="7">
        <f t="shared" si="51"/>
        <v>0</v>
      </c>
      <c r="G68" s="2"/>
      <c r="H68" s="6">
        <v>289</v>
      </c>
      <c r="I68" s="2"/>
      <c r="J68" s="7">
        <f t="shared" si="52"/>
        <v>0</v>
      </c>
      <c r="K68" s="2"/>
      <c r="L68" s="6">
        <f t="shared" si="53"/>
        <v>-289</v>
      </c>
      <c r="M68" s="2"/>
      <c r="N68" s="7">
        <f t="shared" si="54"/>
        <v>-1</v>
      </c>
      <c r="O68" s="11"/>
      <c r="P68" s="6"/>
      <c r="Q68" s="2"/>
      <c r="R68" s="7">
        <f t="shared" si="55"/>
        <v>0</v>
      </c>
      <c r="S68" s="2"/>
      <c r="T68" s="6">
        <v>289</v>
      </c>
      <c r="U68" s="2"/>
      <c r="V68" s="7">
        <f t="shared" si="56"/>
        <v>0.11173529946220137</v>
      </c>
      <c r="W68" s="2"/>
      <c r="X68" s="6">
        <f t="shared" si="57"/>
        <v>-289</v>
      </c>
      <c r="Y68" s="2"/>
      <c r="Z68" s="7">
        <f t="shared" si="58"/>
        <v>-1</v>
      </c>
    </row>
    <row r="69" spans="1:26" s="24" customFormat="1" hidden="1" outlineLevel="2" x14ac:dyDescent="0.3">
      <c r="A69" s="27"/>
      <c r="B69" s="11" t="str">
        <f>CONCATENATE("          ", "6285", " - ", "JANITORIAL SERVICES")</f>
        <v xml:space="preserve">          6285 - JANITORIAL SERVICES</v>
      </c>
      <c r="C69" s="11"/>
      <c r="D69" s="6"/>
      <c r="E69" s="2"/>
      <c r="F69" s="7">
        <f t="shared" si="51"/>
        <v>0</v>
      </c>
      <c r="G69" s="2"/>
      <c r="H69" s="6"/>
      <c r="I69" s="2"/>
      <c r="J69" s="7">
        <f t="shared" si="52"/>
        <v>0</v>
      </c>
      <c r="K69" s="2"/>
      <c r="L69" s="6">
        <f t="shared" si="53"/>
        <v>0</v>
      </c>
      <c r="M69" s="2"/>
      <c r="N69" s="7">
        <f t="shared" si="54"/>
        <v>0</v>
      </c>
      <c r="O69" s="11"/>
      <c r="P69" s="6">
        <v>7455.64</v>
      </c>
      <c r="Q69" s="2"/>
      <c r="R69" s="7">
        <f t="shared" si="55"/>
        <v>0.11662324368427113</v>
      </c>
      <c r="S69" s="2"/>
      <c r="T69" s="6">
        <v>-804.6</v>
      </c>
      <c r="U69" s="2"/>
      <c r="V69" s="7">
        <f t="shared" si="56"/>
        <v>-0.31108035275877932</v>
      </c>
      <c r="W69" s="2"/>
      <c r="X69" s="6">
        <f t="shared" si="57"/>
        <v>8260.24</v>
      </c>
      <c r="Y69" s="2"/>
      <c r="Z69" s="7">
        <f t="shared" si="58"/>
        <v>-10.266268953517276</v>
      </c>
    </row>
    <row r="70" spans="1:26" s="24" customFormat="1" hidden="1" outlineLevel="2" x14ac:dyDescent="0.3">
      <c r="A70" s="27"/>
      <c r="B70" s="11" t="str">
        <f>CONCATENATE("          ", "6286", " - ", "LAUNDRY EXPENSE")</f>
        <v xml:space="preserve">          6286 - LAUNDRY EXPENSE</v>
      </c>
      <c r="C70" s="11"/>
      <c r="D70" s="6">
        <v>103.88</v>
      </c>
      <c r="E70" s="2"/>
      <c r="F70" s="7">
        <f t="shared" si="51"/>
        <v>6.7801521944444269E-3</v>
      </c>
      <c r="G70" s="2"/>
      <c r="H70" s="6"/>
      <c r="I70" s="2"/>
      <c r="J70" s="7">
        <f t="shared" si="52"/>
        <v>0</v>
      </c>
      <c r="K70" s="2"/>
      <c r="L70" s="6">
        <f t="shared" si="53"/>
        <v>103.88</v>
      </c>
      <c r="M70" s="2"/>
      <c r="N70" s="7">
        <f t="shared" si="54"/>
        <v>0</v>
      </c>
      <c r="O70" s="11"/>
      <c r="P70" s="6">
        <v>311.64</v>
      </c>
      <c r="Q70" s="2"/>
      <c r="R70" s="7">
        <f t="shared" si="55"/>
        <v>4.8747616115807964E-3</v>
      </c>
      <c r="S70" s="2"/>
      <c r="T70" s="6"/>
      <c r="U70" s="2"/>
      <c r="V70" s="7">
        <f t="shared" si="56"/>
        <v>0</v>
      </c>
      <c r="W70" s="2"/>
      <c r="X70" s="6">
        <f t="shared" si="57"/>
        <v>311.64</v>
      </c>
      <c r="Y70" s="2"/>
      <c r="Z70" s="7">
        <f t="shared" si="58"/>
        <v>0</v>
      </c>
    </row>
    <row r="71" spans="1:26" s="29" customFormat="1" outlineLevel="1" collapsed="1" x14ac:dyDescent="0.3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SUM(OSRRefD22_13x_0)</f>
        <v>121.04</v>
      </c>
      <c r="E71" s="1"/>
      <c r="F71" s="5">
        <f t="shared" ref="F71:F76" si="59">IF(D$12=0,0,D71/D$12)</f>
        <v>7.9001696343430246E-3</v>
      </c>
      <c r="G71" s="1"/>
      <c r="H71" s="1">
        <f>SUM(OSRRefH22_13x_0)</f>
        <v>0</v>
      </c>
      <c r="I71" s="1"/>
      <c r="J71" s="5">
        <f t="shared" ref="J71:J76" si="60">IF(H$12=0,0,H71/H$12)</f>
        <v>0</v>
      </c>
      <c r="K71" s="1"/>
      <c r="L71" s="1">
        <f t="shared" ref="L71:L76" si="61">+D71-H71</f>
        <v>121.04</v>
      </c>
      <c r="M71" s="1"/>
      <c r="N71" s="5">
        <f t="shared" ref="N71:N76" si="62">IF(H71=0,0,L71/H71)</f>
        <v>0</v>
      </c>
      <c r="O71" s="14"/>
      <c r="P71" s="1">
        <f>SUM(OSRRefP22_13x_0)</f>
        <v>2584.7000000000003</v>
      </c>
      <c r="Q71" s="1"/>
      <c r="R71" s="5">
        <f t="shared" ref="R71:R76" si="63">IF(P$12=0,0,P71/P$12)</f>
        <v>4.0430613327727141E-2</v>
      </c>
      <c r="S71" s="1"/>
      <c r="T71" s="1">
        <f>SUM(OSRRefT22_13x_0)</f>
        <v>1094.0899999999999</v>
      </c>
      <c r="U71" s="1"/>
      <c r="V71" s="5">
        <f t="shared" ref="V71:V76" si="64">IF(T$12=0,0,T71/T$12)</f>
        <v>0.42300509961453248</v>
      </c>
      <c r="W71" s="1"/>
      <c r="X71" s="1">
        <f t="shared" ref="X71:X76" si="65">+P71-T71</f>
        <v>1490.6100000000004</v>
      </c>
      <c r="Y71" s="1"/>
      <c r="Z71" s="5">
        <f t="shared" ref="Z71:Z76" si="66">IF(T71=0,0,X71/T71)</f>
        <v>1.3624199106106449</v>
      </c>
    </row>
    <row r="72" spans="1:26" s="24" customFormat="1" hidden="1" outlineLevel="2" x14ac:dyDescent="0.3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59"/>
        <v>0</v>
      </c>
      <c r="G72" s="2"/>
      <c r="H72" s="6"/>
      <c r="I72" s="2"/>
      <c r="J72" s="7">
        <f t="shared" si="60"/>
        <v>0</v>
      </c>
      <c r="K72" s="2"/>
      <c r="L72" s="6">
        <f t="shared" si="61"/>
        <v>0</v>
      </c>
      <c r="M72" s="2"/>
      <c r="N72" s="7">
        <f t="shared" si="62"/>
        <v>0</v>
      </c>
      <c r="O72" s="11"/>
      <c r="P72" s="6">
        <v>1194.8900000000001</v>
      </c>
      <c r="Q72" s="2"/>
      <c r="R72" s="7">
        <f t="shared" si="63"/>
        <v>1.8690809594602037E-2</v>
      </c>
      <c r="S72" s="2"/>
      <c r="T72" s="6">
        <v>316.67</v>
      </c>
      <c r="U72" s="2"/>
      <c r="V72" s="7">
        <f t="shared" si="64"/>
        <v>0.12243327778787304</v>
      </c>
      <c r="W72" s="2"/>
      <c r="X72" s="6">
        <f t="shared" si="65"/>
        <v>878.22</v>
      </c>
      <c r="Y72" s="2"/>
      <c r="Z72" s="7">
        <f t="shared" si="66"/>
        <v>2.7732971231881769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59"/>
        <v>0</v>
      </c>
      <c r="G73" s="2"/>
      <c r="H73" s="6"/>
      <c r="I73" s="2"/>
      <c r="J73" s="7">
        <f t="shared" si="60"/>
        <v>0</v>
      </c>
      <c r="K73" s="2"/>
      <c r="L73" s="6">
        <f t="shared" si="61"/>
        <v>0</v>
      </c>
      <c r="M73" s="2"/>
      <c r="N73" s="7">
        <f t="shared" si="62"/>
        <v>0</v>
      </c>
      <c r="O73" s="11"/>
      <c r="P73" s="6"/>
      <c r="Q73" s="2"/>
      <c r="R73" s="7">
        <f t="shared" si="63"/>
        <v>0</v>
      </c>
      <c r="S73" s="2"/>
      <c r="T73" s="6">
        <v>207.27</v>
      </c>
      <c r="U73" s="2"/>
      <c r="V73" s="7">
        <f t="shared" si="64"/>
        <v>8.0136247472423802E-2</v>
      </c>
      <c r="W73" s="2"/>
      <c r="X73" s="6">
        <f t="shared" si="65"/>
        <v>-207.27</v>
      </c>
      <c r="Y73" s="2"/>
      <c r="Z73" s="7">
        <f t="shared" si="66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/>
      <c r="E74" s="2"/>
      <c r="F74" s="7">
        <f t="shared" si="59"/>
        <v>0</v>
      </c>
      <c r="G74" s="2"/>
      <c r="H74" s="6"/>
      <c r="I74" s="2"/>
      <c r="J74" s="7">
        <f t="shared" si="60"/>
        <v>0</v>
      </c>
      <c r="K74" s="2"/>
      <c r="L74" s="6">
        <f t="shared" si="61"/>
        <v>0</v>
      </c>
      <c r="M74" s="2"/>
      <c r="N74" s="7">
        <f t="shared" si="62"/>
        <v>0</v>
      </c>
      <c r="O74" s="11"/>
      <c r="P74" s="6">
        <v>527.17999999999995</v>
      </c>
      <c r="Q74" s="2"/>
      <c r="R74" s="7">
        <f t="shared" si="63"/>
        <v>8.2462996611255435E-3</v>
      </c>
      <c r="S74" s="2"/>
      <c r="T74" s="6">
        <v>317.57</v>
      </c>
      <c r="U74" s="2"/>
      <c r="V74" s="7">
        <f t="shared" si="64"/>
        <v>0.12278124238827436</v>
      </c>
      <c r="W74" s="2"/>
      <c r="X74" s="6">
        <f t="shared" si="65"/>
        <v>209.60999999999996</v>
      </c>
      <c r="Y74" s="2"/>
      <c r="Z74" s="7">
        <f t="shared" si="66"/>
        <v>0.66004345498630212</v>
      </c>
    </row>
    <row r="75" spans="1:26" s="24" customFormat="1" hidden="1" outlineLevel="2" x14ac:dyDescent="0.3">
      <c r="A75" s="27"/>
      <c r="B75" s="11" t="str">
        <f>CONCATENATE("          ", "6241", " - ", "OFFICE EXPENSE")</f>
        <v xml:space="preserve">          6241 - OFFICE EXPENSE</v>
      </c>
      <c r="C75" s="11"/>
      <c r="D75" s="6"/>
      <c r="E75" s="2"/>
      <c r="F75" s="7">
        <f t="shared" si="59"/>
        <v>0</v>
      </c>
      <c r="G75" s="2"/>
      <c r="H75" s="6"/>
      <c r="I75" s="2"/>
      <c r="J75" s="7">
        <f t="shared" si="60"/>
        <v>0</v>
      </c>
      <c r="K75" s="2"/>
      <c r="L75" s="6">
        <f t="shared" si="61"/>
        <v>0</v>
      </c>
      <c r="M75" s="2"/>
      <c r="N75" s="7">
        <f t="shared" si="62"/>
        <v>0</v>
      </c>
      <c r="O75" s="11"/>
      <c r="P75" s="6">
        <v>177.48</v>
      </c>
      <c r="Q75" s="2"/>
      <c r="R75" s="7">
        <f t="shared" si="63"/>
        <v>2.7761926929256828E-3</v>
      </c>
      <c r="S75" s="2"/>
      <c r="T75" s="6">
        <v>131.30000000000001</v>
      </c>
      <c r="U75" s="2"/>
      <c r="V75" s="7">
        <f t="shared" si="64"/>
        <v>5.0764168925214674E-2</v>
      </c>
      <c r="W75" s="2"/>
      <c r="X75" s="6">
        <f t="shared" si="65"/>
        <v>46.179999999999978</v>
      </c>
      <c r="Y75" s="2"/>
      <c r="Z75" s="7">
        <f t="shared" si="66"/>
        <v>0.35171363290175151</v>
      </c>
    </row>
    <row r="76" spans="1:26" s="24" customFormat="1" hidden="1" outlineLevel="2" x14ac:dyDescent="0.3">
      <c r="A76" s="27"/>
      <c r="B76" s="11" t="str">
        <f>CONCATENATE("          ", "6247", " - ", "STORE SUPPLIES")</f>
        <v xml:space="preserve">          6247 - STORE SUPPLIES</v>
      </c>
      <c r="C76" s="11"/>
      <c r="D76" s="6">
        <v>121.04</v>
      </c>
      <c r="E76" s="2"/>
      <c r="F76" s="7">
        <f t="shared" si="59"/>
        <v>7.9001696343430246E-3</v>
      </c>
      <c r="G76" s="2"/>
      <c r="H76" s="6"/>
      <c r="I76" s="2"/>
      <c r="J76" s="7">
        <f t="shared" si="60"/>
        <v>0</v>
      </c>
      <c r="K76" s="2"/>
      <c r="L76" s="6">
        <f t="shared" si="61"/>
        <v>121.04</v>
      </c>
      <c r="M76" s="2"/>
      <c r="N76" s="7">
        <f t="shared" si="62"/>
        <v>0</v>
      </c>
      <c r="O76" s="11"/>
      <c r="P76" s="6">
        <v>685.15</v>
      </c>
      <c r="Q76" s="2"/>
      <c r="R76" s="7">
        <f t="shared" si="63"/>
        <v>1.0717311379073877E-2</v>
      </c>
      <c r="S76" s="2"/>
      <c r="T76" s="6">
        <v>121.28</v>
      </c>
      <c r="U76" s="2"/>
      <c r="V76" s="7">
        <f t="shared" si="64"/>
        <v>4.6890163040746648E-2</v>
      </c>
      <c r="W76" s="2"/>
      <c r="X76" s="6">
        <f t="shared" si="65"/>
        <v>563.87</v>
      </c>
      <c r="Y76" s="2"/>
      <c r="Z76" s="7">
        <f t="shared" si="66"/>
        <v>4.6493238786279685</v>
      </c>
    </row>
    <row r="77" spans="1:26" s="29" customFormat="1" outlineLevel="1" collapsed="1" x14ac:dyDescent="0.3">
      <c r="A77" s="28"/>
      <c r="B77" s="14" t="str">
        <f>CONCATENATE("     ","Telephone/Data Lines                              ")</f>
        <v xml:space="preserve">     Telephone/Data Lines                              </v>
      </c>
      <c r="C77" s="14"/>
      <c r="D77" s="1">
        <f>SUM(OSRRefD22_14x_0)</f>
        <v>52</v>
      </c>
      <c r="E77" s="1"/>
      <c r="F77" s="5">
        <f t="shared" ref="F77:F80" si="67">IF(D$12=0,0,D77/D$12)</f>
        <v>3.3939922421169638E-3</v>
      </c>
      <c r="G77" s="1"/>
      <c r="H77" s="1">
        <f>SUM(OSRRefH22_14x_0)</f>
        <v>127.5</v>
      </c>
      <c r="I77" s="1"/>
      <c r="J77" s="5">
        <f t="shared" ref="J77:J80" si="68">IF(H$12=0,0,H77/H$12)</f>
        <v>0</v>
      </c>
      <c r="K77" s="1"/>
      <c r="L77" s="1">
        <f t="shared" ref="L77:L80" si="69">+D77-H77</f>
        <v>-75.5</v>
      </c>
      <c r="M77" s="1"/>
      <c r="N77" s="5">
        <f t="shared" ref="N77:N80" si="70">IF(H77=0,0,L77/H77)</f>
        <v>-0.59215686274509804</v>
      </c>
      <c r="O77" s="14"/>
      <c r="P77" s="1">
        <f>SUM(OSRRefP22_14x_0)</f>
        <v>551</v>
      </c>
      <c r="Q77" s="1"/>
      <c r="R77" s="5">
        <f t="shared" ref="R77:R80" si="71">IF(P$12=0,0,P77/P$12)</f>
        <v>8.6188988832660088E-3</v>
      </c>
      <c r="S77" s="1"/>
      <c r="T77" s="1">
        <f>SUM(OSRRefT22_14x_0)</f>
        <v>2384.7399999999998</v>
      </c>
      <c r="U77" s="1"/>
      <c r="V77" s="5">
        <f t="shared" ref="V77:V80" si="72">IF(T$12=0,0,T77/T$12)</f>
        <v>0.92200566795671302</v>
      </c>
      <c r="W77" s="1"/>
      <c r="X77" s="1">
        <f t="shared" ref="X77:X80" si="73">+P77-T77</f>
        <v>-1833.7399999999998</v>
      </c>
      <c r="Y77" s="1"/>
      <c r="Z77" s="5">
        <f t="shared" ref="Z77:Z80" si="74">IF(T77=0,0,X77/T77)</f>
        <v>-0.76894755822437666</v>
      </c>
    </row>
    <row r="78" spans="1:26" s="24" customFormat="1" hidden="1" outlineLevel="2" x14ac:dyDescent="0.3">
      <c r="A78" s="27"/>
      <c r="B78" s="11" t="str">
        <f>CONCATENATE("          ", "6309", " - ", "TELEPHONE")</f>
        <v xml:space="preserve">          6309 - TELEPHONE</v>
      </c>
      <c r="C78" s="11"/>
      <c r="D78" s="6">
        <v>52</v>
      </c>
      <c r="E78" s="2"/>
      <c r="F78" s="7">
        <f t="shared" si="67"/>
        <v>3.3939922421169638E-3</v>
      </c>
      <c r="G78" s="2"/>
      <c r="H78" s="6">
        <v>127.5</v>
      </c>
      <c r="I78" s="2"/>
      <c r="J78" s="7">
        <f t="shared" si="68"/>
        <v>0</v>
      </c>
      <c r="K78" s="2"/>
      <c r="L78" s="6">
        <f t="shared" si="69"/>
        <v>-75.5</v>
      </c>
      <c r="M78" s="2"/>
      <c r="N78" s="7">
        <f t="shared" si="70"/>
        <v>-0.59215686274509804</v>
      </c>
      <c r="O78" s="11"/>
      <c r="P78" s="6">
        <v>551</v>
      </c>
      <c r="Q78" s="2"/>
      <c r="R78" s="7">
        <f t="shared" si="71"/>
        <v>8.6188988832660088E-3</v>
      </c>
      <c r="S78" s="2"/>
      <c r="T78" s="6">
        <v>2384.7399999999998</v>
      </c>
      <c r="U78" s="2"/>
      <c r="V78" s="7">
        <f t="shared" si="72"/>
        <v>0.92200566795671302</v>
      </c>
      <c r="W78" s="2"/>
      <c r="X78" s="6">
        <f t="shared" si="73"/>
        <v>-1833.7399999999998</v>
      </c>
      <c r="Y78" s="2"/>
      <c r="Z78" s="7">
        <f t="shared" si="74"/>
        <v>-0.76894755822437666</v>
      </c>
    </row>
    <row r="79" spans="1:26" s="29" customFormat="1" outlineLevel="1" collapsed="1" x14ac:dyDescent="0.3">
      <c r="A79" s="28"/>
      <c r="B79" s="14" t="str">
        <f>CONCATENATE("     ","Utilities                                         ")</f>
        <v xml:space="preserve">     Utilities                                         </v>
      </c>
      <c r="C79" s="14"/>
      <c r="D79" s="1">
        <f>SUM(OSRRefD22_15x_0)</f>
        <v>100</v>
      </c>
      <c r="E79" s="1"/>
      <c r="F79" s="5">
        <f t="shared" si="67"/>
        <v>6.526908157917238E-3</v>
      </c>
      <c r="G79" s="1"/>
      <c r="H79" s="1">
        <f>SUM(OSRRefH22_15x_0)</f>
        <v>1136</v>
      </c>
      <c r="I79" s="1"/>
      <c r="J79" s="5">
        <f t="shared" si="68"/>
        <v>0</v>
      </c>
      <c r="K79" s="1"/>
      <c r="L79" s="1">
        <f t="shared" si="69"/>
        <v>-1036</v>
      </c>
      <c r="M79" s="1"/>
      <c r="N79" s="5">
        <f t="shared" si="70"/>
        <v>-0.9119718309859155</v>
      </c>
      <c r="O79" s="14"/>
      <c r="P79" s="1">
        <f>SUM(OSRRefP22_15x_0)</f>
        <v>500</v>
      </c>
      <c r="Q79" s="1"/>
      <c r="R79" s="5">
        <f t="shared" si="71"/>
        <v>7.8211423623103533E-3</v>
      </c>
      <c r="S79" s="1"/>
      <c r="T79" s="1">
        <f>SUM(OSRRefT22_15x_0)</f>
        <v>2422</v>
      </c>
      <c r="U79" s="1"/>
      <c r="V79" s="5">
        <f t="shared" si="72"/>
        <v>0.93641140241332776</v>
      </c>
      <c r="W79" s="1"/>
      <c r="X79" s="1">
        <f t="shared" si="73"/>
        <v>-1922</v>
      </c>
      <c r="Y79" s="1"/>
      <c r="Z79" s="5">
        <f t="shared" si="74"/>
        <v>-0.79355904211395545</v>
      </c>
    </row>
    <row r="80" spans="1:26" s="24" customFormat="1" hidden="1" outlineLevel="2" x14ac:dyDescent="0.3">
      <c r="A80" s="27"/>
      <c r="B80" s="11" t="str">
        <f>CONCATENATE("          ", "6274", " - ", "UTILITIES")</f>
        <v xml:space="preserve">          6274 - UTILITIES</v>
      </c>
      <c r="C80" s="11"/>
      <c r="D80" s="6">
        <v>100</v>
      </c>
      <c r="E80" s="2"/>
      <c r="F80" s="7">
        <f t="shared" si="67"/>
        <v>6.526908157917238E-3</v>
      </c>
      <c r="G80" s="2"/>
      <c r="H80" s="6">
        <v>1136</v>
      </c>
      <c r="I80" s="2"/>
      <c r="J80" s="7">
        <f t="shared" si="68"/>
        <v>0</v>
      </c>
      <c r="K80" s="2"/>
      <c r="L80" s="6">
        <f t="shared" si="69"/>
        <v>-1036</v>
      </c>
      <c r="M80" s="2"/>
      <c r="N80" s="7">
        <f t="shared" si="70"/>
        <v>-0.9119718309859155</v>
      </c>
      <c r="O80" s="11"/>
      <c r="P80" s="6">
        <v>500</v>
      </c>
      <c r="Q80" s="2"/>
      <c r="R80" s="7">
        <f t="shared" si="71"/>
        <v>7.8211423623103533E-3</v>
      </c>
      <c r="S80" s="2"/>
      <c r="T80" s="6">
        <v>2422</v>
      </c>
      <c r="U80" s="2"/>
      <c r="V80" s="7">
        <f t="shared" si="72"/>
        <v>0.93641140241332776</v>
      </c>
      <c r="W80" s="2"/>
      <c r="X80" s="6">
        <f t="shared" si="73"/>
        <v>-1922</v>
      </c>
      <c r="Y80" s="2"/>
      <c r="Z80" s="7">
        <f t="shared" si="74"/>
        <v>-0.79355904211395545</v>
      </c>
    </row>
    <row r="81" spans="1:26" s="62" customFormat="1" x14ac:dyDescent="0.3">
      <c r="A81" s="37"/>
      <c r="B81" s="37"/>
      <c r="C81" s="37"/>
      <c r="D81" s="1"/>
      <c r="E81" s="1"/>
      <c r="F81" s="5"/>
      <c r="G81" s="1"/>
      <c r="H81" s="1"/>
      <c r="I81" s="1"/>
      <c r="J81" s="5"/>
      <c r="K81" s="1"/>
      <c r="L81" s="1"/>
      <c r="M81" s="1"/>
      <c r="N81" s="5"/>
      <c r="O81" s="37"/>
      <c r="P81" s="1"/>
      <c r="Q81" s="1"/>
      <c r="R81" s="5"/>
      <c r="S81" s="1"/>
      <c r="T81" s="1"/>
      <c r="U81" s="1"/>
      <c r="V81" s="5"/>
      <c r="W81" s="1"/>
      <c r="X81" s="1"/>
      <c r="Y81" s="1"/>
      <c r="Z81" s="5"/>
    </row>
    <row r="82" spans="1:26" s="23" customFormat="1" x14ac:dyDescent="0.3">
      <c r="A82" s="10"/>
      <c r="B82" s="26" t="s">
        <v>292</v>
      </c>
      <c r="C82" s="10"/>
      <c r="D82" s="4">
        <f>SUM(0)</f>
        <v>0</v>
      </c>
      <c r="E82" s="4"/>
      <c r="F82" s="12">
        <f>IF(D$12=0,0,D82/D$12)</f>
        <v>0</v>
      </c>
      <c r="G82" s="4"/>
      <c r="H82" s="4">
        <f>SUM(0)</f>
        <v>0</v>
      </c>
      <c r="I82" s="4"/>
      <c r="J82" s="12">
        <f>IF(H$12=0,0,H82/H$12)</f>
        <v>0</v>
      </c>
      <c r="K82" s="4"/>
      <c r="L82" s="4">
        <f>+D82-H82</f>
        <v>0</v>
      </c>
      <c r="M82" s="4"/>
      <c r="N82" s="12">
        <f>IF(H82=0,0,L82/H82)</f>
        <v>0</v>
      </c>
      <c r="O82" s="10"/>
      <c r="P82" s="4">
        <f>SUM(0)</f>
        <v>0</v>
      </c>
      <c r="Q82" s="4"/>
      <c r="R82" s="12">
        <f>IF(P$12=0,0,P82/P$12)</f>
        <v>0</v>
      </c>
      <c r="S82" s="4"/>
      <c r="T82" s="4">
        <f>SUM(0)</f>
        <v>0</v>
      </c>
      <c r="U82" s="4"/>
      <c r="V82" s="12">
        <f>IF(T$12=0,0,T82/T$12)</f>
        <v>0</v>
      </c>
      <c r="W82" s="4"/>
      <c r="X82" s="4">
        <f>+P82-T82</f>
        <v>0</v>
      </c>
      <c r="Y82" s="4"/>
      <c r="Z82" s="12">
        <f>IF(T82=0,0,X82/T82)</f>
        <v>0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x14ac:dyDescent="0.3">
      <c r="A84" s="10"/>
      <c r="B84" s="25" t="s">
        <v>276</v>
      </c>
      <c r="C84" s="25"/>
      <c r="D84" s="21">
        <f>+D27-D29+D82</f>
        <v>-17256.630000000005</v>
      </c>
      <c r="E84" s="13"/>
      <c r="F84" s="22">
        <f>IF(D$12=0,0,D84/D$12)</f>
        <v>-1.1263243912515937</v>
      </c>
      <c r="G84" s="13"/>
      <c r="H84" s="21">
        <f>+H27-H29+H82</f>
        <v>-25744.79</v>
      </c>
      <c r="I84" s="13"/>
      <c r="J84" s="22">
        <f>IF(H$12=0,0,H84/H$12)</f>
        <v>0</v>
      </c>
      <c r="K84" s="16"/>
      <c r="L84" s="21">
        <f>+D84-H84</f>
        <v>8488.1599999999962</v>
      </c>
      <c r="M84" s="16"/>
      <c r="N84" s="22">
        <f>IF(H84=0,0,L84/H84)</f>
        <v>-0.32970399059382482</v>
      </c>
      <c r="O84" s="26"/>
      <c r="P84" s="21">
        <f>+P27-P29+P82</f>
        <v>-70900.669999999984</v>
      </c>
      <c r="Q84" s="13"/>
      <c r="R84" s="22">
        <f>IF(P$12=0,0,P84/P$12)</f>
        <v>-1.1090484673063734</v>
      </c>
      <c r="S84" s="13"/>
      <c r="T84" s="21">
        <f>+T27-T29+T82</f>
        <v>-157835.63999999998</v>
      </c>
      <c r="U84" s="13"/>
      <c r="V84" s="22">
        <f>IF(T$12=0,0,T84/T$12)</f>
        <v>-61.02357266854051</v>
      </c>
      <c r="W84" s="16"/>
      <c r="X84" s="21">
        <f>+P84-T84</f>
        <v>86934.97</v>
      </c>
      <c r="Y84" s="16"/>
      <c r="Z84" s="22">
        <f>IF(T84=0,0,X84/T84)</f>
        <v>-0.55079429462192453</v>
      </c>
    </row>
    <row r="85" spans="1:26" x14ac:dyDescent="0.3">
      <c r="A85" s="9"/>
      <c r="B85" s="10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x14ac:dyDescent="0.3">
      <c r="A86" s="51"/>
      <c r="B86" s="10" t="s">
        <v>127</v>
      </c>
      <c r="C86" s="10"/>
      <c r="D86" s="4">
        <v>1996.03</v>
      </c>
      <c r="E86" s="4"/>
      <c r="F86" s="12">
        <f>IF(D$12=0,0,D86/D$12)</f>
        <v>0.13027904490447545</v>
      </c>
      <c r="G86" s="4"/>
      <c r="H86" s="4">
        <v>-142.94999999999999</v>
      </c>
      <c r="I86" s="4"/>
      <c r="J86" s="12">
        <f>IF(H$12=0,0,H86/H$12)</f>
        <v>0</v>
      </c>
      <c r="K86" s="4"/>
      <c r="L86" s="4">
        <f>+D86-H86</f>
        <v>2138.98</v>
      </c>
      <c r="M86" s="4"/>
      <c r="N86" s="12">
        <f>IF(H86=0,0,L86/H86)</f>
        <v>-14.9631339629241</v>
      </c>
      <c r="O86" s="10"/>
      <c r="P86" s="4">
        <v>7614.73</v>
      </c>
      <c r="Q86" s="4"/>
      <c r="R86" s="12">
        <f>IF(P$12=0,0,P86/P$12)</f>
        <v>0.11911177476111103</v>
      </c>
      <c r="S86" s="4"/>
      <c r="T86" s="4">
        <v>417.34</v>
      </c>
      <c r="U86" s="4"/>
      <c r="V86" s="12">
        <f>IF(T$12=0,0,T86/T$12)</f>
        <v>0.16135505147942947</v>
      </c>
      <c r="W86" s="4"/>
      <c r="X86" s="4">
        <f>+P86-T86</f>
        <v>7197.3899999999994</v>
      </c>
      <c r="Y86" s="4"/>
      <c r="Z86" s="12">
        <f>IF(T86=0,0,X86/T86)</f>
        <v>17.245866679446014</v>
      </c>
    </row>
    <row r="87" spans="1:26" x14ac:dyDescent="0.3">
      <c r="A87" s="9"/>
      <c r="B87" s="10"/>
      <c r="C87" s="10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O87" s="10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125</v>
      </c>
      <c r="C88" s="25"/>
      <c r="D88" s="35">
        <f>+D84-D86</f>
        <v>-19252.660000000003</v>
      </c>
      <c r="E88" s="13"/>
      <c r="F88" s="31">
        <f>IF(D$12=0,0,D88/D$12)</f>
        <v>-1.2566034361560692</v>
      </c>
      <c r="G88" s="13"/>
      <c r="H88" s="35">
        <f>+H84-H86</f>
        <v>-25601.84</v>
      </c>
      <c r="I88" s="13"/>
      <c r="J88" s="31">
        <f>IF(H$12=0,0,H88/H$12)</f>
        <v>0</v>
      </c>
      <c r="K88" s="16"/>
      <c r="L88" s="35">
        <f>D88-H88</f>
        <v>6349.1799999999967</v>
      </c>
      <c r="M88" s="16"/>
      <c r="N88" s="31">
        <f>IF(H88=0,0,L88/H88)</f>
        <v>-0.24799701896426182</v>
      </c>
      <c r="O88" s="26"/>
      <c r="P88" s="35">
        <f>+P84-P86</f>
        <v>-78515.39999999998</v>
      </c>
      <c r="Q88" s="13"/>
      <c r="R88" s="31">
        <f>IF(P$12=0,0,P88/P$12)</f>
        <v>-1.2281602420674842</v>
      </c>
      <c r="S88" s="13"/>
      <c r="T88" s="35">
        <f>+T84-T86</f>
        <v>-158252.97999999998</v>
      </c>
      <c r="U88" s="13"/>
      <c r="V88" s="31">
        <f>IF(T$12=0,0,T88/T$12)</f>
        <v>-61.184927720019935</v>
      </c>
      <c r="W88" s="16"/>
      <c r="X88" s="35">
        <f>P88-T88</f>
        <v>79737.58</v>
      </c>
      <c r="Y88" s="16"/>
      <c r="Z88" s="31">
        <f>IF(T88=0,0,X88/T88)</f>
        <v>-0.50386147546795024</v>
      </c>
    </row>
    <row r="89" spans="1:26" ht="15" thickTop="1" x14ac:dyDescent="0.3">
      <c r="A89" s="9"/>
      <c r="B89" s="9"/>
      <c r="C89" s="9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x14ac:dyDescent="0.3">
      <c r="A90" s="9"/>
      <c r="B90" s="9"/>
      <c r="C90" s="9"/>
      <c r="D90" s="3"/>
      <c r="E90" s="3"/>
      <c r="F90" s="8"/>
      <c r="G90" s="3"/>
      <c r="H90" s="3"/>
      <c r="I90" s="3"/>
      <c r="J90" s="8"/>
      <c r="K90" s="3"/>
      <c r="L90" s="3"/>
      <c r="M90" s="3"/>
      <c r="N90" s="8"/>
      <c r="P90" s="3"/>
      <c r="Q90" s="3"/>
      <c r="R90" s="8"/>
      <c r="S90" s="3"/>
      <c r="T90" s="3"/>
      <c r="U90" s="3"/>
      <c r="V90" s="8"/>
      <c r="W90" s="3"/>
      <c r="X90" s="3"/>
      <c r="Y90" s="3"/>
      <c r="Z90" s="8"/>
    </row>
    <row r="91" spans="1:26" s="23" customFormat="1" ht="15" thickBot="1" x14ac:dyDescent="0.35">
      <c r="A91" s="10"/>
      <c r="B91" s="25" t="s">
        <v>293</v>
      </c>
      <c r="C91" s="25"/>
      <c r="D91" s="36">
        <f>SUM(D88:D90)</f>
        <v>-19252.660000000003</v>
      </c>
      <c r="E91" s="13"/>
      <c r="F91" s="33">
        <f>IF(D$12=0,0,D91/D$12)</f>
        <v>-1.2566034361560692</v>
      </c>
      <c r="G91" s="13"/>
      <c r="H91" s="36">
        <f>SUM(H88:H90)</f>
        <v>-25601.84</v>
      </c>
      <c r="I91" s="13"/>
      <c r="J91" s="33">
        <f>IF(H$12=0,0,H91/H$12)</f>
        <v>0</v>
      </c>
      <c r="K91" s="16"/>
      <c r="L91" s="36">
        <f>+D91-H91</f>
        <v>6349.1799999999967</v>
      </c>
      <c r="M91" s="16"/>
      <c r="N91" s="33">
        <f>IF(H91=0,0,L91/H91)</f>
        <v>-0.24799701896426182</v>
      </c>
      <c r="O91" s="26"/>
      <c r="P91" s="36">
        <f>SUM(P88:P90)</f>
        <v>-78515.39999999998</v>
      </c>
      <c r="Q91" s="13"/>
      <c r="R91" s="33">
        <f>IF(P$12=0,0,P91/P$12)</f>
        <v>-1.2281602420674842</v>
      </c>
      <c r="S91" s="13"/>
      <c r="T91" s="36">
        <f>SUM(T88:T90)</f>
        <v>-158252.97999999998</v>
      </c>
      <c r="U91" s="13"/>
      <c r="V91" s="33">
        <f>IF(T$12=0,0,T91/T$12)</f>
        <v>-61.184927720019935</v>
      </c>
      <c r="W91" s="16"/>
      <c r="X91" s="36">
        <f>+P91-T91</f>
        <v>79737.58</v>
      </c>
      <c r="Y91" s="16"/>
      <c r="Z91" s="33">
        <f>IF(T91=0,0,X91/T91)</f>
        <v>-0.50386147546795024</v>
      </c>
    </row>
    <row r="92" spans="1:26" ht="15" thickTop="1" x14ac:dyDescent="0.3">
      <c r="A92" s="9"/>
      <c r="C92" s="9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A93" s="9"/>
      <c r="B93" s="52">
        <v>44543.765544444446</v>
      </c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  <row r="94" spans="1:26" x14ac:dyDescent="0.3">
      <c r="A94" s="9"/>
      <c r="B94" s="59" t="s">
        <v>56</v>
      </c>
      <c r="D94" s="17"/>
      <c r="E94" s="17"/>
      <c r="G94" s="17"/>
      <c r="H94" s="17"/>
      <c r="I94" s="17"/>
      <c r="J94" s="42"/>
      <c r="K94" s="17"/>
      <c r="L94" s="17"/>
      <c r="M94" s="17"/>
      <c r="P94" s="17"/>
      <c r="Q94" s="17"/>
      <c r="R94" s="42"/>
      <c r="S94" s="17"/>
      <c r="T94" s="17"/>
      <c r="U94" s="17"/>
      <c r="V94" s="42"/>
      <c r="W94" s="17"/>
      <c r="X94" s="17"/>
    </row>
    <row r="95" spans="1:26" x14ac:dyDescent="0.3">
      <c r="A95" s="9"/>
      <c r="B95" s="61"/>
      <c r="D95" s="17"/>
      <c r="E95" s="17"/>
      <c r="G95" s="17"/>
      <c r="H95" s="17"/>
      <c r="I95" s="17"/>
      <c r="J95" s="42"/>
      <c r="K95" s="17"/>
      <c r="L95" s="17"/>
      <c r="M95" s="17"/>
      <c r="P95" s="17"/>
      <c r="Q95" s="17"/>
      <c r="R95" s="42"/>
      <c r="S95" s="17"/>
      <c r="T95" s="17"/>
      <c r="U95" s="17"/>
      <c r="V95" s="42"/>
      <c r="W95" s="17"/>
      <c r="X95" s="17"/>
    </row>
    <row r="96" spans="1:26" x14ac:dyDescent="0.3">
      <c r="D96" s="17"/>
      <c r="E96" s="17"/>
      <c r="G96" s="17"/>
      <c r="H96" s="17"/>
      <c r="I96" s="17"/>
      <c r="J96" s="42"/>
      <c r="K96" s="17"/>
      <c r="L96" s="17"/>
      <c r="M96" s="17"/>
      <c r="P96" s="17"/>
      <c r="Q96" s="17"/>
      <c r="R96" s="42"/>
      <c r="S96" s="17"/>
      <c r="T96" s="17"/>
      <c r="U96" s="17"/>
      <c r="V96" s="42"/>
      <c r="W96" s="17"/>
      <c r="X96" s="17"/>
    </row>
  </sheetData>
  <pageMargins left="0.25" right="0.25" top="0.75" bottom="0.75" header="0.3" footer="0.3"/>
  <pageSetup scale="55" fitToWidth="2" orientation="landscape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","309", " - ", "Carts")</f>
        <v>Department 309 - Carts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1205.79</v>
      </c>
      <c r="E18" s="20"/>
      <c r="F18" s="32">
        <f t="shared" ref="F18:F25" si="0">IF(D$12=0,0,D18/D$12)</f>
        <v>0</v>
      </c>
      <c r="G18" s="20"/>
      <c r="H18" s="20">
        <f>SUM(OSRRefH22x_0)</f>
        <v>1914.84</v>
      </c>
      <c r="I18" s="20"/>
      <c r="J18" s="32">
        <f t="shared" ref="J18:J25" si="1">IF(H$12=0,0,H18/H$12)</f>
        <v>0</v>
      </c>
      <c r="K18" s="4"/>
      <c r="L18" s="20">
        <f t="shared" ref="L18:L25" si="2">+D18-H18</f>
        <v>-709.05</v>
      </c>
      <c r="M18" s="4"/>
      <c r="N18" s="32">
        <f t="shared" ref="N18:N25" si="3">IF(H18=0,0,L18/H18)</f>
        <v>-0.37029203484364226</v>
      </c>
      <c r="O18" s="10"/>
      <c r="P18" s="20">
        <f>SUM(OSRRefP22x_0)</f>
        <v>4459.7700000000004</v>
      </c>
      <c r="Q18" s="20"/>
      <c r="R18" s="32">
        <f t="shared" ref="R18:R25" si="4">IF(P$12=0,0,P18/P$12)</f>
        <v>0</v>
      </c>
      <c r="S18" s="20"/>
      <c r="T18" s="20">
        <f>SUM(OSRRefT22x_0)</f>
        <v>4702.8500000000004</v>
      </c>
      <c r="U18" s="20"/>
      <c r="V18" s="32">
        <f t="shared" ref="V18:V25" si="5">IF(T$12=0,0,T18/T$12)</f>
        <v>0</v>
      </c>
      <c r="W18" s="4"/>
      <c r="X18" s="20">
        <f t="shared" ref="X18:X25" si="6">+P18-T18</f>
        <v>-243.07999999999993</v>
      </c>
      <c r="Y18" s="4"/>
      <c r="Z18" s="32">
        <f t="shared" ref="Z18:Z25" si="7">IF(T18=0,0,X18/T18)</f>
        <v>-5.1687806330204006E-2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588.94000000000005</v>
      </c>
      <c r="E19" s="1"/>
      <c r="F19" s="5">
        <f t="shared" si="0"/>
        <v>0</v>
      </c>
      <c r="G19" s="1"/>
      <c r="H19" s="1">
        <f>SUM(OSRRefH22_0x_0)</f>
        <v>588.16999999999996</v>
      </c>
      <c r="I19" s="1"/>
      <c r="J19" s="5">
        <f t="shared" si="1"/>
        <v>0</v>
      </c>
      <c r="K19" s="1"/>
      <c r="L19" s="1">
        <f t="shared" si="2"/>
        <v>0.7700000000000955</v>
      </c>
      <c r="M19" s="1"/>
      <c r="N19" s="5">
        <f t="shared" si="3"/>
        <v>1.3091453151301419E-3</v>
      </c>
      <c r="O19" s="14"/>
      <c r="P19" s="1">
        <f>SUM(OSRRefP22_0x_0)</f>
        <v>2944.7</v>
      </c>
      <c r="Q19" s="1"/>
      <c r="R19" s="5">
        <f t="shared" si="4"/>
        <v>0</v>
      </c>
      <c r="S19" s="1"/>
      <c r="T19" s="1">
        <f>SUM(OSRRefT22_0x_0)</f>
        <v>2676.63</v>
      </c>
      <c r="U19" s="1"/>
      <c r="V19" s="5">
        <f t="shared" si="5"/>
        <v>0</v>
      </c>
      <c r="W19" s="1"/>
      <c r="X19" s="1">
        <f t="shared" si="6"/>
        <v>268.06999999999971</v>
      </c>
      <c r="Y19" s="1"/>
      <c r="Z19" s="5">
        <f t="shared" si="7"/>
        <v>0.10015205687749136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588.94000000000005</v>
      </c>
      <c r="E20" s="2"/>
      <c r="F20" s="7">
        <f t="shared" si="0"/>
        <v>0</v>
      </c>
      <c r="G20" s="2"/>
      <c r="H20" s="6">
        <v>588.16999999999996</v>
      </c>
      <c r="I20" s="2"/>
      <c r="J20" s="7">
        <f t="shared" si="1"/>
        <v>0</v>
      </c>
      <c r="K20" s="2"/>
      <c r="L20" s="6">
        <f t="shared" si="2"/>
        <v>0.7700000000000955</v>
      </c>
      <c r="M20" s="2"/>
      <c r="N20" s="7">
        <f t="shared" si="3"/>
        <v>1.3091453151301419E-3</v>
      </c>
      <c r="O20" s="11"/>
      <c r="P20" s="6">
        <v>2944.7</v>
      </c>
      <c r="Q20" s="2"/>
      <c r="R20" s="7">
        <f t="shared" si="4"/>
        <v>0</v>
      </c>
      <c r="S20" s="2"/>
      <c r="T20" s="6">
        <v>2676.63</v>
      </c>
      <c r="U20" s="2"/>
      <c r="V20" s="7">
        <f t="shared" si="5"/>
        <v>0</v>
      </c>
      <c r="W20" s="2"/>
      <c r="X20" s="6">
        <f t="shared" si="6"/>
        <v>268.06999999999971</v>
      </c>
      <c r="Y20" s="2"/>
      <c r="Z20" s="7">
        <f t="shared" si="7"/>
        <v>0.10015205687749136</v>
      </c>
    </row>
    <row r="21" spans="1:26" s="29" customFormat="1" outlineLevel="1" collapsed="1" x14ac:dyDescent="0.3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435</v>
      </c>
      <c r="E21" s="1"/>
      <c r="F21" s="5">
        <f t="shared" si="0"/>
        <v>0</v>
      </c>
      <c r="G21" s="1"/>
      <c r="H21" s="1">
        <f>SUM(OSRRefH22_1x_0)</f>
        <v>415</v>
      </c>
      <c r="I21" s="1"/>
      <c r="J21" s="5">
        <f t="shared" si="1"/>
        <v>0</v>
      </c>
      <c r="K21" s="1"/>
      <c r="L21" s="1">
        <f t="shared" si="2"/>
        <v>20</v>
      </c>
      <c r="M21" s="1"/>
      <c r="N21" s="5">
        <f t="shared" si="3"/>
        <v>4.8192771084337352E-2</v>
      </c>
      <c r="O21" s="14"/>
      <c r="P21" s="1">
        <f>SUM(OSRRefP22_1x_0)</f>
        <v>435</v>
      </c>
      <c r="Q21" s="1"/>
      <c r="R21" s="5">
        <f t="shared" si="4"/>
        <v>0</v>
      </c>
      <c r="S21" s="1"/>
      <c r="T21" s="1">
        <f>SUM(OSRRefT22_1x_0)</f>
        <v>415</v>
      </c>
      <c r="U21" s="1"/>
      <c r="V21" s="5">
        <f t="shared" si="5"/>
        <v>0</v>
      </c>
      <c r="W21" s="1"/>
      <c r="X21" s="1">
        <f t="shared" si="6"/>
        <v>20</v>
      </c>
      <c r="Y21" s="1"/>
      <c r="Z21" s="5">
        <f t="shared" si="7"/>
        <v>4.8192771084337352E-2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6">
        <v>435</v>
      </c>
      <c r="E22" s="2"/>
      <c r="F22" s="7">
        <f t="shared" si="0"/>
        <v>0</v>
      </c>
      <c r="G22" s="2"/>
      <c r="H22" s="6">
        <v>415</v>
      </c>
      <c r="I22" s="2"/>
      <c r="J22" s="7">
        <f t="shared" si="1"/>
        <v>0</v>
      </c>
      <c r="K22" s="2"/>
      <c r="L22" s="6">
        <f t="shared" si="2"/>
        <v>20</v>
      </c>
      <c r="M22" s="2"/>
      <c r="N22" s="7">
        <f t="shared" si="3"/>
        <v>4.8192771084337352E-2</v>
      </c>
      <c r="O22" s="11"/>
      <c r="P22" s="6">
        <v>435</v>
      </c>
      <c r="Q22" s="2"/>
      <c r="R22" s="7">
        <f t="shared" si="4"/>
        <v>0</v>
      </c>
      <c r="S22" s="2"/>
      <c r="T22" s="6">
        <v>415</v>
      </c>
      <c r="U22" s="2"/>
      <c r="V22" s="7">
        <f t="shared" si="5"/>
        <v>0</v>
      </c>
      <c r="W22" s="2"/>
      <c r="X22" s="6">
        <f t="shared" si="6"/>
        <v>20</v>
      </c>
      <c r="Y22" s="2"/>
      <c r="Z22" s="7">
        <f t="shared" si="7"/>
        <v>4.8192771084337352E-2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881.67</v>
      </c>
      <c r="I23" s="1"/>
      <c r="J23" s="5">
        <f t="shared" si="1"/>
        <v>0</v>
      </c>
      <c r="K23" s="1"/>
      <c r="L23" s="1">
        <f t="shared" si="2"/>
        <v>-881.67</v>
      </c>
      <c r="M23" s="1"/>
      <c r="N23" s="5">
        <f t="shared" si="3"/>
        <v>-1</v>
      </c>
      <c r="O23" s="14"/>
      <c r="P23" s="1">
        <f>SUM(OSRRefP22_2x_0)</f>
        <v>47.9</v>
      </c>
      <c r="Q23" s="1"/>
      <c r="R23" s="5">
        <f t="shared" si="4"/>
        <v>0</v>
      </c>
      <c r="S23" s="1"/>
      <c r="T23" s="1">
        <f>SUM(OSRRefT22_2x_0)</f>
        <v>1183.8200000000002</v>
      </c>
      <c r="U23" s="1"/>
      <c r="V23" s="5">
        <f t="shared" si="5"/>
        <v>0</v>
      </c>
      <c r="W23" s="1"/>
      <c r="X23" s="1">
        <f t="shared" si="6"/>
        <v>-1135.92</v>
      </c>
      <c r="Y23" s="1"/>
      <c r="Z23" s="5">
        <f t="shared" si="7"/>
        <v>-0.95953776756601505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47.9</v>
      </c>
      <c r="Q24" s="2"/>
      <c r="R24" s="7">
        <f t="shared" si="4"/>
        <v>0</v>
      </c>
      <c r="S24" s="2"/>
      <c r="T24" s="6">
        <v>166.13</v>
      </c>
      <c r="U24" s="2"/>
      <c r="V24" s="7">
        <f t="shared" si="5"/>
        <v>0</v>
      </c>
      <c r="W24" s="2"/>
      <c r="X24" s="6">
        <f t="shared" si="6"/>
        <v>-118.22999999999999</v>
      </c>
      <c r="Y24" s="2"/>
      <c r="Z24" s="7">
        <f t="shared" si="7"/>
        <v>-0.71167158249563589</v>
      </c>
    </row>
    <row r="25" spans="1:26" s="24" customFormat="1" hidden="1" outlineLevel="2" x14ac:dyDescent="0.3">
      <c r="A25" s="27"/>
      <c r="B25" s="11" t="str">
        <f>CONCATENATE("          ", "6375", " - ", "OUTSIDE REPAIRS &amp; MAINTENANCE")</f>
        <v xml:space="preserve">          6375 - OUTSIDE REPAIRS &amp; MAINTENANCE</v>
      </c>
      <c r="C25" s="11"/>
      <c r="D25" s="6"/>
      <c r="E25" s="2"/>
      <c r="F25" s="7">
        <f t="shared" si="0"/>
        <v>0</v>
      </c>
      <c r="G25" s="2"/>
      <c r="H25" s="6">
        <v>881.67</v>
      </c>
      <c r="I25" s="2"/>
      <c r="J25" s="7">
        <f t="shared" si="1"/>
        <v>0</v>
      </c>
      <c r="K25" s="2"/>
      <c r="L25" s="6">
        <f t="shared" si="2"/>
        <v>-881.67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1017.69</v>
      </c>
      <c r="U25" s="2"/>
      <c r="V25" s="7">
        <f t="shared" si="5"/>
        <v>0</v>
      </c>
      <c r="W25" s="2"/>
      <c r="X25" s="6">
        <f t="shared" si="6"/>
        <v>-1017.69</v>
      </c>
      <c r="Y25" s="2"/>
      <c r="Z25" s="7">
        <f t="shared" si="7"/>
        <v>-1</v>
      </c>
    </row>
    <row r="26" spans="1:26" s="29" customFormat="1" outlineLevel="1" collapsed="1" x14ac:dyDescent="0.3">
      <c r="A26" s="28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SUM(OSRRefD22_3x_0)</f>
        <v>151.85</v>
      </c>
      <c r="E26" s="1"/>
      <c r="F26" s="5">
        <f t="shared" ref="F26:F28" si="8">IF(D$12=0,0,D26/D$12)</f>
        <v>0</v>
      </c>
      <c r="G26" s="1"/>
      <c r="H26" s="1">
        <f>SUM(OSRRefH22_3x_0)</f>
        <v>0</v>
      </c>
      <c r="I26" s="1"/>
      <c r="J26" s="5">
        <f t="shared" ref="J26:J28" si="9">IF(H$12=0,0,H26/H$12)</f>
        <v>0</v>
      </c>
      <c r="K26" s="1"/>
      <c r="L26" s="1">
        <f t="shared" ref="L26:L28" si="10">+D26-H26</f>
        <v>151.85</v>
      </c>
      <c r="M26" s="1"/>
      <c r="N26" s="5">
        <f t="shared" ref="N26:N28" si="11">IF(H26=0,0,L26/H26)</f>
        <v>0</v>
      </c>
      <c r="O26" s="14"/>
      <c r="P26" s="1">
        <f>SUM(OSRRefP22_3x_0)</f>
        <v>882.17</v>
      </c>
      <c r="Q26" s="1"/>
      <c r="R26" s="5">
        <f t="shared" ref="R26:R28" si="12">IF(P$12=0,0,P26/P$12)</f>
        <v>0</v>
      </c>
      <c r="S26" s="1"/>
      <c r="T26" s="1">
        <f>SUM(OSRRefT22_3x_0)</f>
        <v>183.08</v>
      </c>
      <c r="U26" s="1"/>
      <c r="V26" s="5">
        <f t="shared" ref="V26:V28" si="13">IF(T$12=0,0,T26/T$12)</f>
        <v>0</v>
      </c>
      <c r="W26" s="1"/>
      <c r="X26" s="1">
        <f t="shared" ref="X26:X28" si="14">+P26-T26</f>
        <v>699.08999999999992</v>
      </c>
      <c r="Y26" s="1"/>
      <c r="Z26" s="5">
        <f t="shared" ref="Z26:Z28" si="15">IF(T26=0,0,X26/T26)</f>
        <v>3.8184946471487868</v>
      </c>
    </row>
    <row r="27" spans="1:26" s="24" customFormat="1" hidden="1" outlineLevel="2" x14ac:dyDescent="0.3">
      <c r="A27" s="27"/>
      <c r="B27" s="11" t="str">
        <f>CONCATENATE("          ", "6282", " - ", "JANITORIAL/EXTERMINATOR EXPENS")</f>
        <v xml:space="preserve">          6282 - JANITORIAL/EXTERMINATOR EXPENS</v>
      </c>
      <c r="C27" s="11"/>
      <c r="D27" s="6">
        <v>151.85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151.85</v>
      </c>
      <c r="M27" s="2"/>
      <c r="N27" s="7">
        <f t="shared" si="11"/>
        <v>0</v>
      </c>
      <c r="O27" s="11"/>
      <c r="P27" s="6">
        <v>759.25</v>
      </c>
      <c r="Q27" s="2"/>
      <c r="R27" s="7">
        <f t="shared" si="12"/>
        <v>0</v>
      </c>
      <c r="S27" s="2"/>
      <c r="T27" s="6">
        <v>356.12</v>
      </c>
      <c r="U27" s="2"/>
      <c r="V27" s="7">
        <f t="shared" si="13"/>
        <v>0</v>
      </c>
      <c r="W27" s="2"/>
      <c r="X27" s="6">
        <f t="shared" si="14"/>
        <v>403.13</v>
      </c>
      <c r="Y27" s="2"/>
      <c r="Z27" s="7">
        <f t="shared" si="15"/>
        <v>1.1320060653712232</v>
      </c>
    </row>
    <row r="28" spans="1:26" s="24" customFormat="1" hidden="1" outlineLevel="2" x14ac:dyDescent="0.3">
      <c r="A28" s="27"/>
      <c r="B28" s="11" t="str">
        <f>CONCATENATE("          ", "6285", " - ", "JANITORIAL SERVICES")</f>
        <v xml:space="preserve">          6285 - JANITORIAL SERVICES</v>
      </c>
      <c r="C28" s="11"/>
      <c r="D28" s="6"/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122.92</v>
      </c>
      <c r="Q28" s="2"/>
      <c r="R28" s="7">
        <f t="shared" si="12"/>
        <v>0</v>
      </c>
      <c r="S28" s="2"/>
      <c r="T28" s="6">
        <v>-173.04</v>
      </c>
      <c r="U28" s="2"/>
      <c r="V28" s="7">
        <f t="shared" si="13"/>
        <v>0</v>
      </c>
      <c r="W28" s="2"/>
      <c r="X28" s="6">
        <f t="shared" si="14"/>
        <v>295.95999999999998</v>
      </c>
      <c r="Y28" s="2"/>
      <c r="Z28" s="7">
        <f t="shared" si="15"/>
        <v>-1.7103559870550162</v>
      </c>
    </row>
    <row r="29" spans="1:26" s="29" customFormat="1" outlineLevel="1" collapsed="1" x14ac:dyDescent="0.3">
      <c r="A29" s="28"/>
      <c r="B29" s="14" t="str">
        <f>CONCATENATE("     ","Telephone/Data Lines                              ")</f>
        <v xml:space="preserve">     Telephone/Data Lines                              </v>
      </c>
      <c r="C29" s="14"/>
      <c r="D29" s="1">
        <f>SUM(OSRRefD22_4x_0)</f>
        <v>30</v>
      </c>
      <c r="E29" s="1"/>
      <c r="F29" s="5">
        <f t="shared" ref="F29:F30" si="16">IF(D$12=0,0,D29/D$12)</f>
        <v>0</v>
      </c>
      <c r="G29" s="1"/>
      <c r="H29" s="1">
        <f>SUM(OSRRefH22_4x_0)</f>
        <v>30</v>
      </c>
      <c r="I29" s="1"/>
      <c r="J29" s="5">
        <f t="shared" ref="J29:J30" si="17">IF(H$12=0,0,H29/H$12)</f>
        <v>0</v>
      </c>
      <c r="K29" s="1"/>
      <c r="L29" s="1">
        <f t="shared" ref="L29:L30" si="18">+D29-H29</f>
        <v>0</v>
      </c>
      <c r="M29" s="1"/>
      <c r="N29" s="5">
        <f t="shared" ref="N29:N30" si="19">IF(H29=0,0,L29/H29)</f>
        <v>0</v>
      </c>
      <c r="O29" s="14"/>
      <c r="P29" s="1">
        <f>SUM(OSRRefP22_4x_0)</f>
        <v>150</v>
      </c>
      <c r="Q29" s="1"/>
      <c r="R29" s="5">
        <f t="shared" ref="R29:R30" si="20">IF(P$12=0,0,P29/P$12)</f>
        <v>0</v>
      </c>
      <c r="S29" s="1"/>
      <c r="T29" s="1">
        <f>SUM(OSRRefT22_4x_0)</f>
        <v>244.32</v>
      </c>
      <c r="U29" s="1"/>
      <c r="V29" s="5">
        <f t="shared" ref="V29:V30" si="21">IF(T$12=0,0,T29/T$12)</f>
        <v>0</v>
      </c>
      <c r="W29" s="1"/>
      <c r="X29" s="1">
        <f t="shared" ref="X29:X30" si="22">+P29-T29</f>
        <v>-94.32</v>
      </c>
      <c r="Y29" s="1"/>
      <c r="Z29" s="5">
        <f t="shared" ref="Z29:Z30" si="23">IF(T29=0,0,X29/T29)</f>
        <v>-0.38605108055009824</v>
      </c>
    </row>
    <row r="30" spans="1:26" s="24" customFormat="1" hidden="1" outlineLevel="2" x14ac:dyDescent="0.3">
      <c r="A30" s="27"/>
      <c r="B30" s="11" t="str">
        <f>CONCATENATE("          ", "6309", " - ", "TELEPHONE")</f>
        <v xml:space="preserve">          6309 - TELEPHONE</v>
      </c>
      <c r="C30" s="11"/>
      <c r="D30" s="6">
        <v>30</v>
      </c>
      <c r="E30" s="2"/>
      <c r="F30" s="7">
        <f t="shared" si="16"/>
        <v>0</v>
      </c>
      <c r="G30" s="2"/>
      <c r="H30" s="6">
        <v>30</v>
      </c>
      <c r="I30" s="2"/>
      <c r="J30" s="7">
        <f t="shared" si="17"/>
        <v>0</v>
      </c>
      <c r="K30" s="2"/>
      <c r="L30" s="6">
        <f t="shared" si="18"/>
        <v>0</v>
      </c>
      <c r="M30" s="2"/>
      <c r="N30" s="7">
        <f t="shared" si="19"/>
        <v>0</v>
      </c>
      <c r="O30" s="11"/>
      <c r="P30" s="6">
        <v>150</v>
      </c>
      <c r="Q30" s="2"/>
      <c r="R30" s="7">
        <f t="shared" si="20"/>
        <v>0</v>
      </c>
      <c r="S30" s="2"/>
      <c r="T30" s="6">
        <v>244.32</v>
      </c>
      <c r="U30" s="2"/>
      <c r="V30" s="7">
        <f t="shared" si="21"/>
        <v>0</v>
      </c>
      <c r="W30" s="2"/>
      <c r="X30" s="6">
        <f t="shared" si="22"/>
        <v>-94.32</v>
      </c>
      <c r="Y30" s="2"/>
      <c r="Z30" s="7">
        <f t="shared" si="23"/>
        <v>-0.38605108055009824</v>
      </c>
    </row>
    <row r="31" spans="1:26" s="62" customFormat="1" x14ac:dyDescent="0.3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6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10"/>
      <c r="B34" s="25" t="s">
        <v>276</v>
      </c>
      <c r="C34" s="25"/>
      <c r="D34" s="21">
        <f>+D16-D18+D32</f>
        <v>-1205.79</v>
      </c>
      <c r="E34" s="13"/>
      <c r="F34" s="22">
        <f>IF(D$12=0,0,D34/D$12)</f>
        <v>0</v>
      </c>
      <c r="G34" s="13"/>
      <c r="H34" s="21">
        <f>+H16-H18+H32</f>
        <v>-1914.84</v>
      </c>
      <c r="I34" s="13"/>
      <c r="J34" s="22">
        <f>IF(H$12=0,0,H34/H$12)</f>
        <v>0</v>
      </c>
      <c r="K34" s="16"/>
      <c r="L34" s="21">
        <f>+D34-H34</f>
        <v>709.05</v>
      </c>
      <c r="M34" s="16"/>
      <c r="N34" s="22">
        <f>IF(H34=0,0,L34/H34)</f>
        <v>-0.37029203484364226</v>
      </c>
      <c r="O34" s="26"/>
      <c r="P34" s="21">
        <f>+P16-P18+P32</f>
        <v>-4459.7700000000004</v>
      </c>
      <c r="Q34" s="13"/>
      <c r="R34" s="22">
        <f>IF(P$12=0,0,P34/P$12)</f>
        <v>0</v>
      </c>
      <c r="S34" s="13"/>
      <c r="T34" s="21">
        <f>+T16-T18+T32</f>
        <v>-4702.8500000000004</v>
      </c>
      <c r="U34" s="13"/>
      <c r="V34" s="22">
        <f>IF(T$12=0,0,T34/T$12)</f>
        <v>0</v>
      </c>
      <c r="W34" s="16"/>
      <c r="X34" s="21">
        <f>+P34-T34</f>
        <v>243.07999999999993</v>
      </c>
      <c r="Y34" s="16"/>
      <c r="Z34" s="22">
        <f>IF(T34=0,0,X34/T34)</f>
        <v>-5.1687806330204006E-2</v>
      </c>
    </row>
    <row r="35" spans="1:26" x14ac:dyDescent="0.3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/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/>
      <c r="Q36" s="4"/>
      <c r="R36" s="12">
        <f>IF(P$12=0,0,P36/P$12)</f>
        <v>0</v>
      </c>
      <c r="S36" s="4"/>
      <c r="T36" s="4"/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5" t="s">
        <v>125</v>
      </c>
      <c r="C38" s="25"/>
      <c r="D38" s="35">
        <f>+D34-D36</f>
        <v>-1205.79</v>
      </c>
      <c r="E38" s="13"/>
      <c r="F38" s="31">
        <f>IF(D$12=0,0,D38/D$12)</f>
        <v>0</v>
      </c>
      <c r="G38" s="13"/>
      <c r="H38" s="35">
        <f>+H34-H36</f>
        <v>-1914.84</v>
      </c>
      <c r="I38" s="13"/>
      <c r="J38" s="31">
        <f>IF(H$12=0,0,H38/H$12)</f>
        <v>0</v>
      </c>
      <c r="K38" s="16"/>
      <c r="L38" s="35">
        <f>D38-H38</f>
        <v>709.05</v>
      </c>
      <c r="M38" s="16"/>
      <c r="N38" s="31">
        <f>IF(H38=0,0,L38/H38)</f>
        <v>-0.37029203484364226</v>
      </c>
      <c r="O38" s="26"/>
      <c r="P38" s="35">
        <f>+P34-P36</f>
        <v>-4459.7700000000004</v>
      </c>
      <c r="Q38" s="13"/>
      <c r="R38" s="31">
        <f>IF(P$12=0,0,P38/P$12)</f>
        <v>0</v>
      </c>
      <c r="S38" s="13"/>
      <c r="T38" s="35">
        <f>+T34-T36</f>
        <v>-4702.8500000000004</v>
      </c>
      <c r="U38" s="13"/>
      <c r="V38" s="31">
        <f>IF(T$12=0,0,T38/T$12)</f>
        <v>0</v>
      </c>
      <c r="W38" s="16"/>
      <c r="X38" s="35">
        <f>P38-T38</f>
        <v>243.07999999999993</v>
      </c>
      <c r="Y38" s="16"/>
      <c r="Z38" s="31">
        <f>IF(T38=0,0,X38/T38)</f>
        <v>-5.1687806330204006E-2</v>
      </c>
    </row>
    <row r="39" spans="1:26" ht="15" thickTop="1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3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35">
      <c r="A41" s="10"/>
      <c r="B41" s="25" t="s">
        <v>293</v>
      </c>
      <c r="C41" s="25"/>
      <c r="D41" s="36">
        <f>SUM(D38:D40)</f>
        <v>-1205.79</v>
      </c>
      <c r="E41" s="13"/>
      <c r="F41" s="33">
        <f>IF(D$12=0,0,D41/D$12)</f>
        <v>0</v>
      </c>
      <c r="G41" s="13"/>
      <c r="H41" s="36">
        <f>SUM(H38:H40)</f>
        <v>-1914.84</v>
      </c>
      <c r="I41" s="13"/>
      <c r="J41" s="33">
        <f>IF(H$12=0,0,H41/H$12)</f>
        <v>0</v>
      </c>
      <c r="K41" s="16"/>
      <c r="L41" s="36">
        <f>+D41-H41</f>
        <v>709.05</v>
      </c>
      <c r="M41" s="16"/>
      <c r="N41" s="33">
        <f>IF(H41=0,0,L41/H41)</f>
        <v>-0.37029203484364226</v>
      </c>
      <c r="O41" s="26"/>
      <c r="P41" s="36">
        <f>SUM(P38:P40)</f>
        <v>-4459.7700000000004</v>
      </c>
      <c r="Q41" s="13"/>
      <c r="R41" s="33">
        <f>IF(P$12=0,0,P41/P$12)</f>
        <v>0</v>
      </c>
      <c r="S41" s="13"/>
      <c r="T41" s="36">
        <f>SUM(T38:T40)</f>
        <v>-4702.8500000000004</v>
      </c>
      <c r="U41" s="13"/>
      <c r="V41" s="33">
        <f>IF(T$12=0,0,T41/T$12)</f>
        <v>0</v>
      </c>
      <c r="W41" s="16"/>
      <c r="X41" s="36">
        <f>+P41-T41</f>
        <v>243.07999999999993</v>
      </c>
      <c r="Y41" s="16"/>
      <c r="Z41" s="33">
        <f>IF(T41=0,0,X41/T41)</f>
        <v>-5.1687806330204006E-2</v>
      </c>
    </row>
    <row r="42" spans="1:26" ht="15" thickTop="1" x14ac:dyDescent="0.3">
      <c r="A42" s="9"/>
      <c r="C42" s="9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2">
        <v>44543.765594675926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59" t="s">
        <v>56</v>
      </c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A45" s="9"/>
      <c r="B45" s="61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"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92D050"/>
    <outlinePr summaryBelow="0" summaryRight="0"/>
  </sheetPr>
  <dimension ref="A2:Z6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","313", " - ", "Convenience Store")</f>
        <v>Department 313 - Convenience 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6" si="0">+D12-H12</f>
        <v>0</v>
      </c>
      <c r="M12" s="4"/>
      <c r="N12" s="12">
        <f t="shared" ref="N12:N16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6" si="2">+P12-T12</f>
        <v>0</v>
      </c>
      <c r="Y12" s="4"/>
      <c r="Z12" s="12">
        <f t="shared" ref="Z12:Z16" si="3">IF(T12=0,0,X12/T12)</f>
        <v>0</v>
      </c>
    </row>
    <row r="13" spans="1:26" s="24" customFormat="1" hidden="1" outlineLevel="1" x14ac:dyDescent="0.3">
      <c r="A13" s="44"/>
      <c r="B13" s="11" t="str">
        <f>CONCATENATE("          ", "4034", " - ", "TAXABLE SALES-SODA")</f>
        <v xml:space="preserve">          4034 - TAXABLE SALES-SODA</v>
      </c>
      <c r="C13" s="11"/>
      <c r="D13" s="2">
        <f t="shared" ref="D13:D16" si="4">0</f>
        <v>0</v>
      </c>
      <c r="E13" s="2"/>
      <c r="F13" s="19"/>
      <c r="G13" s="2"/>
      <c r="H13" s="2">
        <f t="shared" ref="H13:H16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6" si="6">0</f>
        <v>0</v>
      </c>
      <c r="Q13" s="2"/>
      <c r="R13" s="19"/>
      <c r="S13" s="2"/>
      <c r="T13" s="2">
        <f t="shared" ref="T13:T16" si="7">0</f>
        <v>0</v>
      </c>
      <c r="U13" s="2"/>
      <c r="V13" s="19"/>
      <c r="W13" s="2"/>
      <c r="X13" s="2">
        <f t="shared" si="2"/>
        <v>0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 t="shared" si="7"/>
        <v>0</v>
      </c>
      <c r="U14" s="2"/>
      <c r="V14" s="19"/>
      <c r="W14" s="2"/>
      <c r="X14" s="2">
        <f t="shared" si="2"/>
        <v>0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"4134", " - ", "NON-TAXABLE SALES-SODA")</f>
        <v xml:space="preserve">          4134 - NON-TAXABLE SALES-SODA</v>
      </c>
      <c r="C15" s="11"/>
      <c r="D15" s="2">
        <f t="shared" si="4"/>
        <v>0</v>
      </c>
      <c r="E15" s="2"/>
      <c r="F15" s="19"/>
      <c r="G15" s="2"/>
      <c r="H15" s="2">
        <f t="shared" si="5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 t="shared" si="7"/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"4137", " - ", "NON-TAXABLE SALES-WATER")</f>
        <v xml:space="preserve">          4137 - NON-TAXABLE SALES-WATER</v>
      </c>
      <c r="C16" s="11"/>
      <c r="D16" s="2">
        <f t="shared" si="4"/>
        <v>0</v>
      </c>
      <c r="E16" s="2"/>
      <c r="F16" s="19"/>
      <c r="G16" s="2"/>
      <c r="H16" s="2">
        <f t="shared" si="5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 t="shared" si="6"/>
        <v>0</v>
      </c>
      <c r="Q16" s="2"/>
      <c r="R16" s="19"/>
      <c r="S16" s="2"/>
      <c r="T16" s="2">
        <f t="shared" si="7"/>
        <v>0</v>
      </c>
      <c r="U16" s="2"/>
      <c r="V16" s="19"/>
      <c r="W16" s="2"/>
      <c r="X16" s="2">
        <f t="shared" si="2"/>
        <v>0</v>
      </c>
      <c r="Y16" s="2"/>
      <c r="Z16" s="19">
        <f t="shared" si="3"/>
        <v>0</v>
      </c>
    </row>
    <row r="17" spans="1:26" x14ac:dyDescent="0.3">
      <c r="A17" s="9"/>
      <c r="B17" s="10"/>
      <c r="C17" s="9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collapsed="1" x14ac:dyDescent="0.3">
      <c r="A18" s="10"/>
      <c r="B18" s="26" t="s">
        <v>256</v>
      </c>
      <c r="C18" s="10"/>
      <c r="D18" s="4">
        <f>SUM(OSRRefD16x_0)</f>
        <v>0</v>
      </c>
      <c r="E18" s="4"/>
      <c r="F18" s="12">
        <f t="shared" ref="F18:F19" si="8">IF(D$12=0,0,D18/D$12)</f>
        <v>0</v>
      </c>
      <c r="G18" s="4"/>
      <c r="H18" s="4">
        <f>SUM(OSRRefH16x_0)</f>
        <v>0</v>
      </c>
      <c r="I18" s="4"/>
      <c r="J18" s="12">
        <f t="shared" ref="J18:J19" si="9">IF(H$12=0,0,H18/H$12)</f>
        <v>0</v>
      </c>
      <c r="K18" s="4"/>
      <c r="L18" s="4">
        <f t="shared" ref="L18:L19" si="10">+D18-H18</f>
        <v>0</v>
      </c>
      <c r="M18" s="4"/>
      <c r="N18" s="12">
        <f t="shared" ref="N18:N19" si="11">IF(H18=0,0,L18/H18)</f>
        <v>0</v>
      </c>
      <c r="O18" s="10"/>
      <c r="P18" s="4">
        <f>SUM(OSRRefP16x_0)</f>
        <v>0</v>
      </c>
      <c r="Q18" s="4"/>
      <c r="R18" s="12">
        <f t="shared" ref="R18:R19" si="12">IF(P$12=0,0,P18/P$12)</f>
        <v>0</v>
      </c>
      <c r="S18" s="4"/>
      <c r="T18" s="4">
        <f>SUM(OSRRefT16x_0)</f>
        <v>-613.59</v>
      </c>
      <c r="U18" s="4"/>
      <c r="V18" s="12">
        <f t="shared" ref="V18:V19" si="13">IF(T$12=0,0,T18/T$12)</f>
        <v>0</v>
      </c>
      <c r="W18" s="4"/>
      <c r="X18" s="4">
        <f t="shared" ref="X18:X19" si="14">+P18-T18</f>
        <v>613.59</v>
      </c>
      <c r="Y18" s="4"/>
      <c r="Z18" s="12">
        <f t="shared" ref="Z18:Z19" si="15">IF(T18=0,0,X18/T18)</f>
        <v>-1</v>
      </c>
    </row>
    <row r="19" spans="1:26" s="24" customFormat="1" hidden="1" outlineLevel="1" x14ac:dyDescent="0.3">
      <c r="A19" s="44"/>
      <c r="B19" s="11" t="str">
        <f>CONCATENATE("          ", "5053", " - ", "PURCHASES @ COST-FOOD")</f>
        <v xml:space="preserve">          5053 - PURCHASES @ COST-FOOD</v>
      </c>
      <c r="C19" s="11"/>
      <c r="D19" s="2"/>
      <c r="E19" s="2"/>
      <c r="F19" s="19">
        <f t="shared" si="8"/>
        <v>0</v>
      </c>
      <c r="G19" s="2"/>
      <c r="H19" s="2"/>
      <c r="I19" s="2"/>
      <c r="J19" s="19">
        <f t="shared" si="9"/>
        <v>0</v>
      </c>
      <c r="K19" s="2"/>
      <c r="L19" s="2">
        <f t="shared" si="10"/>
        <v>0</v>
      </c>
      <c r="M19" s="2"/>
      <c r="N19" s="19">
        <f t="shared" si="11"/>
        <v>0</v>
      </c>
      <c r="O19" s="11"/>
      <c r="P19" s="2"/>
      <c r="Q19" s="2"/>
      <c r="R19" s="19">
        <f t="shared" si="12"/>
        <v>0</v>
      </c>
      <c r="S19" s="2"/>
      <c r="T19" s="2">
        <v>-613.59</v>
      </c>
      <c r="U19" s="2"/>
      <c r="V19" s="19">
        <f t="shared" si="13"/>
        <v>0</v>
      </c>
      <c r="W19" s="2"/>
      <c r="X19" s="2">
        <f t="shared" si="14"/>
        <v>613.59</v>
      </c>
      <c r="Y19" s="2"/>
      <c r="Z19" s="19">
        <f t="shared" si="15"/>
        <v>-1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D12-D18</f>
        <v>0</v>
      </c>
      <c r="E21" s="13"/>
      <c r="F21" s="22">
        <f>IF(D$12=0,0,D21/D$12)</f>
        <v>0</v>
      </c>
      <c r="G21" s="13"/>
      <c r="H21" s="21">
        <f>H12-H18</f>
        <v>0</v>
      </c>
      <c r="I21" s="13"/>
      <c r="J21" s="22">
        <f>IF(H$12=0,0,H21/H$12)</f>
        <v>0</v>
      </c>
      <c r="K21" s="16"/>
      <c r="L21" s="21">
        <f>+D21-H21</f>
        <v>0</v>
      </c>
      <c r="M21" s="16"/>
      <c r="N21" s="22">
        <f>IF(H21=0,0,L21/H21)</f>
        <v>0</v>
      </c>
      <c r="O21" s="26"/>
      <c r="P21" s="21">
        <f>P12-P18</f>
        <v>0</v>
      </c>
      <c r="Q21" s="13"/>
      <c r="R21" s="22">
        <f>IF(P$12=0,0,P21/P$12)</f>
        <v>0</v>
      </c>
      <c r="S21" s="13"/>
      <c r="T21" s="21">
        <f>T12-T18</f>
        <v>613.59</v>
      </c>
      <c r="U21" s="13"/>
      <c r="V21" s="22">
        <f>IF(T$12=0,0,T21/T$12)</f>
        <v>0</v>
      </c>
      <c r="W21" s="16"/>
      <c r="X21" s="21">
        <f>+P21-T21</f>
        <v>-613.59</v>
      </c>
      <c r="Y21" s="16"/>
      <c r="Z21" s="22">
        <f>IF(T21=0,0,X21/T21)</f>
        <v>-1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0</v>
      </c>
      <c r="E23" s="20"/>
      <c r="F23" s="32">
        <f t="shared" ref="F23:F32" si="16">IF(D$12=0,0,D23/D$12)</f>
        <v>0</v>
      </c>
      <c r="G23" s="20"/>
      <c r="H23" s="20">
        <f>SUM(OSRRefH22x_0)</f>
        <v>6309.5499999999993</v>
      </c>
      <c r="I23" s="20"/>
      <c r="J23" s="32">
        <f t="shared" ref="J23:J32" si="17">IF(H$12=0,0,H23/H$12)</f>
        <v>0</v>
      </c>
      <c r="K23" s="4"/>
      <c r="L23" s="20">
        <f t="shared" ref="L23:L32" si="18">+D23-H23</f>
        <v>-6309.5499999999993</v>
      </c>
      <c r="M23" s="4"/>
      <c r="N23" s="32">
        <f t="shared" ref="N23:N32" si="19">IF(H23=0,0,L23/H23)</f>
        <v>-1</v>
      </c>
      <c r="O23" s="10"/>
      <c r="P23" s="20">
        <f>SUM(OSRRefP22x_0)</f>
        <v>0</v>
      </c>
      <c r="Q23" s="20"/>
      <c r="R23" s="32">
        <f t="shared" ref="R23:R32" si="20">IF(P$12=0,0,P23/P$12)</f>
        <v>0</v>
      </c>
      <c r="S23" s="20"/>
      <c r="T23" s="20">
        <f>SUM(OSRRefT22x_0)</f>
        <v>43974.91</v>
      </c>
      <c r="U23" s="20"/>
      <c r="V23" s="32">
        <f t="shared" ref="V23:V32" si="21">IF(T$12=0,0,T23/T$12)</f>
        <v>0</v>
      </c>
      <c r="W23" s="4"/>
      <c r="X23" s="20">
        <f t="shared" ref="X23:X32" si="22">+P23-T23</f>
        <v>-43974.91</v>
      </c>
      <c r="Y23" s="4"/>
      <c r="Z23" s="32">
        <f t="shared" ref="Z23:Z32" si="23">IF(T23=0,0,X23/T23)</f>
        <v>-1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0</v>
      </c>
      <c r="E24" s="1"/>
      <c r="F24" s="5">
        <f t="shared" si="16"/>
        <v>0</v>
      </c>
      <c r="G24" s="1"/>
      <c r="H24" s="1">
        <f>SUM(OSRRefH22_0x_0)</f>
        <v>3672.65</v>
      </c>
      <c r="I24" s="1"/>
      <c r="J24" s="5">
        <f t="shared" si="17"/>
        <v>0</v>
      </c>
      <c r="K24" s="1"/>
      <c r="L24" s="1">
        <f t="shared" si="18"/>
        <v>-3672.65</v>
      </c>
      <c r="M24" s="1"/>
      <c r="N24" s="5">
        <f t="shared" si="19"/>
        <v>-1</v>
      </c>
      <c r="O24" s="14"/>
      <c r="P24" s="1">
        <f>SUM(OSRRefP22_0x_0)</f>
        <v>0</v>
      </c>
      <c r="Q24" s="1"/>
      <c r="R24" s="5">
        <f t="shared" si="20"/>
        <v>0</v>
      </c>
      <c r="S24" s="1"/>
      <c r="T24" s="1">
        <f>SUM(OSRRefT22_0x_0)</f>
        <v>19810.689999999999</v>
      </c>
      <c r="U24" s="1"/>
      <c r="V24" s="5">
        <f t="shared" si="21"/>
        <v>0</v>
      </c>
      <c r="W24" s="1"/>
      <c r="X24" s="1">
        <f t="shared" si="22"/>
        <v>-19810.689999999999</v>
      </c>
      <c r="Y24" s="1"/>
      <c r="Z24" s="5">
        <f t="shared" si="23"/>
        <v>-1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/>
      <c r="E25" s="2"/>
      <c r="F25" s="7">
        <f t="shared" si="16"/>
        <v>0</v>
      </c>
      <c r="G25" s="2"/>
      <c r="H25" s="6">
        <v>178.84</v>
      </c>
      <c r="I25" s="2"/>
      <c r="J25" s="7">
        <f t="shared" si="17"/>
        <v>0</v>
      </c>
      <c r="K25" s="2"/>
      <c r="L25" s="6">
        <f t="shared" si="18"/>
        <v>-178.84</v>
      </c>
      <c r="M25" s="2"/>
      <c r="N25" s="7">
        <f t="shared" si="19"/>
        <v>-1</v>
      </c>
      <c r="O25" s="11"/>
      <c r="P25" s="6"/>
      <c r="Q25" s="2"/>
      <c r="R25" s="7">
        <f t="shared" si="20"/>
        <v>0</v>
      </c>
      <c r="S25" s="2"/>
      <c r="T25" s="6">
        <v>1924.35</v>
      </c>
      <c r="U25" s="2"/>
      <c r="V25" s="7">
        <f t="shared" si="21"/>
        <v>0</v>
      </c>
      <c r="W25" s="2"/>
      <c r="X25" s="6">
        <f t="shared" si="22"/>
        <v>-1924.35</v>
      </c>
      <c r="Y25" s="2"/>
      <c r="Z25" s="7">
        <f t="shared" si="23"/>
        <v>-1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/>
      <c r="E26" s="2"/>
      <c r="F26" s="7">
        <f t="shared" si="16"/>
        <v>0</v>
      </c>
      <c r="G26" s="2"/>
      <c r="H26" s="6">
        <v>146.74</v>
      </c>
      <c r="I26" s="2"/>
      <c r="J26" s="7">
        <f t="shared" si="17"/>
        <v>0</v>
      </c>
      <c r="K26" s="2"/>
      <c r="L26" s="6">
        <f t="shared" si="18"/>
        <v>-146.74</v>
      </c>
      <c r="M26" s="2"/>
      <c r="N26" s="7">
        <f t="shared" si="19"/>
        <v>-1</v>
      </c>
      <c r="O26" s="11"/>
      <c r="P26" s="6"/>
      <c r="Q26" s="2"/>
      <c r="R26" s="7">
        <f t="shared" si="20"/>
        <v>0</v>
      </c>
      <c r="S26" s="2"/>
      <c r="T26" s="6">
        <v>499.06</v>
      </c>
      <c r="U26" s="2"/>
      <c r="V26" s="7">
        <f t="shared" si="21"/>
        <v>0</v>
      </c>
      <c r="W26" s="2"/>
      <c r="X26" s="6">
        <f t="shared" si="22"/>
        <v>-499.06</v>
      </c>
      <c r="Y26" s="2"/>
      <c r="Z26" s="7">
        <f t="shared" si="23"/>
        <v>-1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/>
      <c r="E27" s="2"/>
      <c r="F27" s="7">
        <f t="shared" si="16"/>
        <v>0</v>
      </c>
      <c r="G27" s="2"/>
      <c r="H27" s="6">
        <v>2021.26</v>
      </c>
      <c r="I27" s="2"/>
      <c r="J27" s="7">
        <f t="shared" si="17"/>
        <v>0</v>
      </c>
      <c r="K27" s="2"/>
      <c r="L27" s="6">
        <f t="shared" si="18"/>
        <v>-2021.26</v>
      </c>
      <c r="M27" s="2"/>
      <c r="N27" s="7">
        <f t="shared" si="19"/>
        <v>-1</v>
      </c>
      <c r="O27" s="11"/>
      <c r="P27" s="6"/>
      <c r="Q27" s="2"/>
      <c r="R27" s="7">
        <f t="shared" si="20"/>
        <v>0</v>
      </c>
      <c r="S27" s="2"/>
      <c r="T27" s="6">
        <v>10106.299999999999</v>
      </c>
      <c r="U27" s="2"/>
      <c r="V27" s="7">
        <f t="shared" si="21"/>
        <v>0</v>
      </c>
      <c r="W27" s="2"/>
      <c r="X27" s="6">
        <f t="shared" si="22"/>
        <v>-10106.299999999999</v>
      </c>
      <c r="Y27" s="2"/>
      <c r="Z27" s="7">
        <f t="shared" si="23"/>
        <v>-1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/>
      <c r="E28" s="2"/>
      <c r="F28" s="7">
        <f t="shared" si="16"/>
        <v>0</v>
      </c>
      <c r="G28" s="2"/>
      <c r="H28" s="6">
        <v>20.62</v>
      </c>
      <c r="I28" s="2"/>
      <c r="J28" s="7">
        <f t="shared" si="17"/>
        <v>0</v>
      </c>
      <c r="K28" s="2"/>
      <c r="L28" s="6">
        <f t="shared" si="18"/>
        <v>-20.62</v>
      </c>
      <c r="M28" s="2"/>
      <c r="N28" s="7">
        <f t="shared" si="19"/>
        <v>-1</v>
      </c>
      <c r="O28" s="11"/>
      <c r="P28" s="6"/>
      <c r="Q28" s="2"/>
      <c r="R28" s="7">
        <f t="shared" si="20"/>
        <v>0</v>
      </c>
      <c r="S28" s="2"/>
      <c r="T28" s="6">
        <v>70.14</v>
      </c>
      <c r="U28" s="2"/>
      <c r="V28" s="7">
        <f t="shared" si="21"/>
        <v>0</v>
      </c>
      <c r="W28" s="2"/>
      <c r="X28" s="6">
        <f t="shared" si="22"/>
        <v>-70.14</v>
      </c>
      <c r="Y28" s="2"/>
      <c r="Z28" s="7">
        <f t="shared" si="23"/>
        <v>-1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/>
      <c r="E29" s="2"/>
      <c r="F29" s="7">
        <f t="shared" si="16"/>
        <v>0</v>
      </c>
      <c r="G29" s="2"/>
      <c r="H29" s="6">
        <v>973.28</v>
      </c>
      <c r="I29" s="2"/>
      <c r="J29" s="7">
        <f t="shared" si="17"/>
        <v>0</v>
      </c>
      <c r="K29" s="2"/>
      <c r="L29" s="6">
        <f t="shared" si="18"/>
        <v>-973.28</v>
      </c>
      <c r="M29" s="2"/>
      <c r="N29" s="7">
        <f t="shared" si="19"/>
        <v>-1</v>
      </c>
      <c r="O29" s="11"/>
      <c r="P29" s="6"/>
      <c r="Q29" s="2"/>
      <c r="R29" s="7">
        <f t="shared" si="20"/>
        <v>0</v>
      </c>
      <c r="S29" s="2"/>
      <c r="T29" s="6">
        <v>3490.92</v>
      </c>
      <c r="U29" s="2"/>
      <c r="V29" s="7">
        <f t="shared" si="21"/>
        <v>0</v>
      </c>
      <c r="W29" s="2"/>
      <c r="X29" s="6">
        <f t="shared" si="22"/>
        <v>-3490.92</v>
      </c>
      <c r="Y29" s="2"/>
      <c r="Z29" s="7">
        <f t="shared" si="23"/>
        <v>-1</v>
      </c>
    </row>
    <row r="30" spans="1:26" s="24" customFormat="1" hidden="1" outlineLevel="2" x14ac:dyDescent="0.3">
      <c r="A30" s="27"/>
      <c r="B30" s="11" t="str">
        <f>CONCATENATE("          ", "6118", " - ", "VACATION")</f>
        <v xml:space="preserve">          6118 - VACATION</v>
      </c>
      <c r="C30" s="11"/>
      <c r="D30" s="6"/>
      <c r="E30" s="2"/>
      <c r="F30" s="7">
        <f t="shared" si="16"/>
        <v>0</v>
      </c>
      <c r="G30" s="2"/>
      <c r="H30" s="6">
        <v>203.53</v>
      </c>
      <c r="I30" s="2"/>
      <c r="J30" s="7">
        <f t="shared" si="17"/>
        <v>0</v>
      </c>
      <c r="K30" s="2"/>
      <c r="L30" s="6">
        <f t="shared" si="18"/>
        <v>-203.53</v>
      </c>
      <c r="M30" s="2"/>
      <c r="N30" s="7">
        <f t="shared" si="19"/>
        <v>-1</v>
      </c>
      <c r="O30" s="11"/>
      <c r="P30" s="6"/>
      <c r="Q30" s="2"/>
      <c r="R30" s="7">
        <f t="shared" si="20"/>
        <v>0</v>
      </c>
      <c r="S30" s="2"/>
      <c r="T30" s="6">
        <v>2035.3</v>
      </c>
      <c r="U30" s="2"/>
      <c r="V30" s="7">
        <f t="shared" si="21"/>
        <v>0</v>
      </c>
      <c r="W30" s="2"/>
      <c r="X30" s="6">
        <f t="shared" si="22"/>
        <v>-2035.3</v>
      </c>
      <c r="Y30" s="2"/>
      <c r="Z30" s="7">
        <f t="shared" si="23"/>
        <v>-1</v>
      </c>
    </row>
    <row r="31" spans="1:26" s="24" customFormat="1" hidden="1" outlineLevel="2" x14ac:dyDescent="0.3">
      <c r="A31" s="27"/>
      <c r="B31" s="11" t="str">
        <f>CONCATENATE("          ", "6119", " - ", "SICK LEAVE")</f>
        <v xml:space="preserve">          6119 - SICK LEAVE</v>
      </c>
      <c r="C31" s="11"/>
      <c r="D31" s="6"/>
      <c r="E31" s="2"/>
      <c r="F31" s="7">
        <f t="shared" si="16"/>
        <v>0</v>
      </c>
      <c r="G31" s="2"/>
      <c r="H31" s="6">
        <v>128.38</v>
      </c>
      <c r="I31" s="2"/>
      <c r="J31" s="7">
        <f t="shared" si="17"/>
        <v>0</v>
      </c>
      <c r="K31" s="2"/>
      <c r="L31" s="6">
        <f t="shared" si="18"/>
        <v>-128.38</v>
      </c>
      <c r="M31" s="2"/>
      <c r="N31" s="7">
        <f t="shared" si="19"/>
        <v>-1</v>
      </c>
      <c r="O31" s="11"/>
      <c r="P31" s="6"/>
      <c r="Q31" s="2"/>
      <c r="R31" s="7">
        <f t="shared" si="20"/>
        <v>0</v>
      </c>
      <c r="S31" s="2"/>
      <c r="T31" s="6">
        <v>1283.8</v>
      </c>
      <c r="U31" s="2"/>
      <c r="V31" s="7">
        <f t="shared" si="21"/>
        <v>0</v>
      </c>
      <c r="W31" s="2"/>
      <c r="X31" s="6">
        <f t="shared" si="22"/>
        <v>-1283.8</v>
      </c>
      <c r="Y31" s="2"/>
      <c r="Z31" s="7">
        <f t="shared" si="23"/>
        <v>-1</v>
      </c>
    </row>
    <row r="32" spans="1:26" s="24" customFormat="1" hidden="1" outlineLevel="2" x14ac:dyDescent="0.3">
      <c r="A32" s="27"/>
      <c r="B32" s="11" t="str">
        <f>CONCATENATE("          ", "6156", " - ", "EMPLOYEE MEALS")</f>
        <v xml:space="preserve">          6156 - EMPLOYEE MEALS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/>
      <c r="Q32" s="2"/>
      <c r="R32" s="7">
        <f t="shared" si="20"/>
        <v>0</v>
      </c>
      <c r="S32" s="2"/>
      <c r="T32" s="6">
        <v>400.82</v>
      </c>
      <c r="U32" s="2"/>
      <c r="V32" s="7">
        <f t="shared" si="21"/>
        <v>0</v>
      </c>
      <c r="W32" s="2"/>
      <c r="X32" s="6">
        <f t="shared" si="22"/>
        <v>-400.82</v>
      </c>
      <c r="Y32" s="2"/>
      <c r="Z32" s="7">
        <f t="shared" si="23"/>
        <v>-1</v>
      </c>
    </row>
    <row r="33" spans="1:26" s="29" customFormat="1" outlineLevel="1" collapsed="1" x14ac:dyDescent="0.3">
      <c r="A33" s="28"/>
      <c r="B33" s="14" t="str">
        <f>CONCATENATE("     ","*Payroll                                          ")</f>
        <v xml:space="preserve">     *Payroll                                          </v>
      </c>
      <c r="C33" s="14"/>
      <c r="D33" s="1">
        <f>SUM(OSRRefD22_1x_0)</f>
        <v>0</v>
      </c>
      <c r="E33" s="1"/>
      <c r="F33" s="5">
        <f t="shared" ref="F33:F44" si="24">IF(D$12=0,0,D33/D$12)</f>
        <v>0</v>
      </c>
      <c r="G33" s="1"/>
      <c r="H33" s="1">
        <f>SUM(OSRRefH22_1x_0)</f>
        <v>2505</v>
      </c>
      <c r="I33" s="1"/>
      <c r="J33" s="5">
        <f t="shared" ref="J33:J44" si="25">IF(H$12=0,0,H33/H$12)</f>
        <v>0</v>
      </c>
      <c r="K33" s="1"/>
      <c r="L33" s="1">
        <f t="shared" ref="L33:L44" si="26">+D33-H33</f>
        <v>-2505</v>
      </c>
      <c r="M33" s="1"/>
      <c r="N33" s="5">
        <f t="shared" ref="N33:N44" si="27">IF(H33=0,0,L33/H33)</f>
        <v>-1</v>
      </c>
      <c r="O33" s="14"/>
      <c r="P33" s="1">
        <f>SUM(OSRRefP22_1x_0)</f>
        <v>0</v>
      </c>
      <c r="Q33" s="1"/>
      <c r="R33" s="5">
        <f t="shared" ref="R33:R44" si="28">IF(P$12=0,0,P33/P$12)</f>
        <v>0</v>
      </c>
      <c r="S33" s="1"/>
      <c r="T33" s="1">
        <f>SUM(OSRRefT22_1x_0)</f>
        <v>23136.42</v>
      </c>
      <c r="U33" s="1"/>
      <c r="V33" s="5">
        <f t="shared" ref="V33:V44" si="29">IF(T$12=0,0,T33/T$12)</f>
        <v>0</v>
      </c>
      <c r="W33" s="1"/>
      <c r="X33" s="1">
        <f t="shared" ref="X33:X44" si="30">+P33-T33</f>
        <v>-23136.42</v>
      </c>
      <c r="Y33" s="1"/>
      <c r="Z33" s="5">
        <f t="shared" ref="Z33:Z44" si="31">IF(T33=0,0,X33/T33)</f>
        <v>-1</v>
      </c>
    </row>
    <row r="34" spans="1:26" s="24" customFormat="1" hidden="1" outlineLevel="2" x14ac:dyDescent="0.3">
      <c r="A34" s="27"/>
      <c r="B34" s="11" t="str">
        <f>CONCATENATE("          ", "6002", " - ", "STAFF SALARIES")</f>
        <v xml:space="preserve">          6002 - STAFF SALARIES</v>
      </c>
      <c r="C34" s="11"/>
      <c r="D34" s="6"/>
      <c r="E34" s="2"/>
      <c r="F34" s="7">
        <f t="shared" si="24"/>
        <v>0</v>
      </c>
      <c r="G34" s="2"/>
      <c r="H34" s="6">
        <v>2505</v>
      </c>
      <c r="I34" s="2"/>
      <c r="J34" s="7">
        <f t="shared" si="25"/>
        <v>0</v>
      </c>
      <c r="K34" s="2"/>
      <c r="L34" s="6">
        <f t="shared" si="26"/>
        <v>-2505</v>
      </c>
      <c r="M34" s="2"/>
      <c r="N34" s="7">
        <f t="shared" si="27"/>
        <v>-1</v>
      </c>
      <c r="O34" s="11"/>
      <c r="P34" s="6"/>
      <c r="Q34" s="2"/>
      <c r="R34" s="7">
        <f t="shared" si="28"/>
        <v>0</v>
      </c>
      <c r="S34" s="2"/>
      <c r="T34" s="6">
        <v>23136.42</v>
      </c>
      <c r="U34" s="2"/>
      <c r="V34" s="7">
        <f t="shared" si="29"/>
        <v>0</v>
      </c>
      <c r="W34" s="2"/>
      <c r="X34" s="6">
        <f t="shared" si="30"/>
        <v>-23136.42</v>
      </c>
      <c r="Y34" s="2"/>
      <c r="Z34" s="7">
        <f t="shared" si="31"/>
        <v>-1</v>
      </c>
    </row>
    <row r="35" spans="1:26" s="29" customFormat="1" outlineLevel="1" collapsed="1" x14ac:dyDescent="0.3">
      <c r="A35" s="28"/>
      <c r="B35" s="14" t="str">
        <f>CONCATENATE("     ","Bank/card Fees                                    ")</f>
        <v xml:space="preserve">     Bank/card Fees                                    </v>
      </c>
      <c r="C35" s="14"/>
      <c r="D35" s="1">
        <f>SUM(OSRRefD22_2x_0)</f>
        <v>0</v>
      </c>
      <c r="E35" s="1"/>
      <c r="F35" s="5">
        <f t="shared" si="24"/>
        <v>0</v>
      </c>
      <c r="G35" s="1"/>
      <c r="H35" s="1">
        <f>SUM(OSRRefH22_2x_0)</f>
        <v>0</v>
      </c>
      <c r="I35" s="1"/>
      <c r="J35" s="5">
        <f t="shared" si="25"/>
        <v>0</v>
      </c>
      <c r="K35" s="1"/>
      <c r="L35" s="1">
        <f t="shared" si="26"/>
        <v>0</v>
      </c>
      <c r="M35" s="1"/>
      <c r="N35" s="5">
        <f t="shared" si="27"/>
        <v>0</v>
      </c>
      <c r="O35" s="14"/>
      <c r="P35" s="1">
        <f>SUM(OSRRefP22_2x_0)</f>
        <v>0</v>
      </c>
      <c r="Q35" s="1"/>
      <c r="R35" s="5">
        <f t="shared" si="28"/>
        <v>0</v>
      </c>
      <c r="S35" s="1"/>
      <c r="T35" s="1">
        <f>SUM(OSRRefT22_2x_0)</f>
        <v>240</v>
      </c>
      <c r="U35" s="1"/>
      <c r="V35" s="5">
        <f t="shared" si="29"/>
        <v>0</v>
      </c>
      <c r="W35" s="1"/>
      <c r="X35" s="1">
        <f t="shared" si="30"/>
        <v>-240</v>
      </c>
      <c r="Y35" s="1"/>
      <c r="Z35" s="5">
        <f t="shared" si="31"/>
        <v>-1</v>
      </c>
    </row>
    <row r="36" spans="1:26" s="24" customFormat="1" hidden="1" outlineLevel="2" x14ac:dyDescent="0.3">
      <c r="A36" s="27"/>
      <c r="B36" s="11" t="str">
        <f>CONCATENATE("          ", "6381", " - ", "BANK/CREDIT CARD FEES")</f>
        <v xml:space="preserve">          6381 - BANK/CREDIT CARD FEES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/>
      <c r="Q36" s="2"/>
      <c r="R36" s="7">
        <f t="shared" si="28"/>
        <v>0</v>
      </c>
      <c r="S36" s="2"/>
      <c r="T36" s="6">
        <v>240</v>
      </c>
      <c r="U36" s="2"/>
      <c r="V36" s="7">
        <f t="shared" si="29"/>
        <v>0</v>
      </c>
      <c r="W36" s="2"/>
      <c r="X36" s="6">
        <f t="shared" si="30"/>
        <v>-240</v>
      </c>
      <c r="Y36" s="2"/>
      <c r="Z36" s="7">
        <f t="shared" si="31"/>
        <v>-1</v>
      </c>
    </row>
    <row r="37" spans="1:26" s="29" customFormat="1" outlineLevel="1" collapsed="1" x14ac:dyDescent="0.3">
      <c r="A37" s="28"/>
      <c r="B37" s="14" t="str">
        <f>CONCATENATE("     ","Freight out/Postage                               ")</f>
        <v xml:space="preserve">     Freight out/Postage                               </v>
      </c>
      <c r="C37" s="14"/>
      <c r="D37" s="1">
        <f>SUM(OSRRefD22_3x_0)</f>
        <v>0</v>
      </c>
      <c r="E37" s="1"/>
      <c r="F37" s="5">
        <f t="shared" si="24"/>
        <v>0</v>
      </c>
      <c r="G37" s="1"/>
      <c r="H37" s="1">
        <f>SUM(OSRRefH22_3x_0)</f>
        <v>9.9</v>
      </c>
      <c r="I37" s="1"/>
      <c r="J37" s="5">
        <f t="shared" si="25"/>
        <v>0</v>
      </c>
      <c r="K37" s="1"/>
      <c r="L37" s="1">
        <f t="shared" si="26"/>
        <v>-9.9</v>
      </c>
      <c r="M37" s="1"/>
      <c r="N37" s="5">
        <f t="shared" si="27"/>
        <v>-1</v>
      </c>
      <c r="O37" s="14"/>
      <c r="P37" s="1">
        <f>SUM(OSRRefP22_3x_0)</f>
        <v>0</v>
      </c>
      <c r="Q37" s="1"/>
      <c r="R37" s="5">
        <f t="shared" si="28"/>
        <v>0</v>
      </c>
      <c r="S37" s="1"/>
      <c r="T37" s="1">
        <f>SUM(OSRRefT22_3x_0)</f>
        <v>105.33</v>
      </c>
      <c r="U37" s="1"/>
      <c r="V37" s="5">
        <f t="shared" si="29"/>
        <v>0</v>
      </c>
      <c r="W37" s="1"/>
      <c r="X37" s="1">
        <f t="shared" si="30"/>
        <v>-105.33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"6305", " - ", "FREIGHT OUT")</f>
        <v xml:space="preserve">          6305 - FREIGHT OUT</v>
      </c>
      <c r="C38" s="11"/>
      <c r="D38" s="6"/>
      <c r="E38" s="2"/>
      <c r="F38" s="7">
        <f t="shared" si="24"/>
        <v>0</v>
      </c>
      <c r="G38" s="2"/>
      <c r="H38" s="6">
        <v>9.9</v>
      </c>
      <c r="I38" s="2"/>
      <c r="J38" s="7">
        <f t="shared" si="25"/>
        <v>0</v>
      </c>
      <c r="K38" s="2"/>
      <c r="L38" s="6">
        <f t="shared" si="26"/>
        <v>-9.9</v>
      </c>
      <c r="M38" s="2"/>
      <c r="N38" s="7">
        <f t="shared" si="27"/>
        <v>-1</v>
      </c>
      <c r="O38" s="11"/>
      <c r="P38" s="6"/>
      <c r="Q38" s="2"/>
      <c r="R38" s="7">
        <f t="shared" si="28"/>
        <v>0</v>
      </c>
      <c r="S38" s="2"/>
      <c r="T38" s="6">
        <v>105.33</v>
      </c>
      <c r="U38" s="2"/>
      <c r="V38" s="7">
        <f t="shared" si="29"/>
        <v>0</v>
      </c>
      <c r="W38" s="2"/>
      <c r="X38" s="6">
        <f t="shared" si="30"/>
        <v>-105.33</v>
      </c>
      <c r="Y38" s="2"/>
      <c r="Z38" s="7">
        <f t="shared" si="31"/>
        <v>-1</v>
      </c>
    </row>
    <row r="39" spans="1:26" s="29" customFormat="1" outlineLevel="1" collapsed="1" x14ac:dyDescent="0.3">
      <c r="A39" s="28"/>
      <c r="B39" s="14" t="str">
        <f>CONCATENATE("     ","Repair and Maintenance                            ")</f>
        <v xml:space="preserve">     Repair and Maintenance                            </v>
      </c>
      <c r="C39" s="14"/>
      <c r="D39" s="1">
        <f>SUM(OSRRefD22_4x_0)</f>
        <v>0</v>
      </c>
      <c r="E39" s="1"/>
      <c r="F39" s="5">
        <f t="shared" si="24"/>
        <v>0</v>
      </c>
      <c r="G39" s="1"/>
      <c r="H39" s="1">
        <f>SUM(OSRRefH22_4x_0)</f>
        <v>0</v>
      </c>
      <c r="I39" s="1"/>
      <c r="J39" s="5">
        <f t="shared" si="25"/>
        <v>0</v>
      </c>
      <c r="K39" s="1"/>
      <c r="L39" s="1">
        <f t="shared" si="26"/>
        <v>0</v>
      </c>
      <c r="M39" s="1"/>
      <c r="N39" s="5">
        <f t="shared" si="27"/>
        <v>0</v>
      </c>
      <c r="O39" s="14"/>
      <c r="P39" s="1">
        <f>SUM(OSRRefP22_4x_0)</f>
        <v>0</v>
      </c>
      <c r="Q39" s="1"/>
      <c r="R39" s="5">
        <f t="shared" si="28"/>
        <v>0</v>
      </c>
      <c r="S39" s="1"/>
      <c r="T39" s="1">
        <f>SUM(OSRRefT22_4x_0)</f>
        <v>24.12</v>
      </c>
      <c r="U39" s="1"/>
      <c r="V39" s="5">
        <f t="shared" si="29"/>
        <v>0</v>
      </c>
      <c r="W39" s="1"/>
      <c r="X39" s="1">
        <f t="shared" si="30"/>
        <v>-24.12</v>
      </c>
      <c r="Y39" s="1"/>
      <c r="Z39" s="5">
        <f t="shared" si="31"/>
        <v>-1</v>
      </c>
    </row>
    <row r="40" spans="1:26" s="24" customFormat="1" hidden="1" outlineLevel="2" x14ac:dyDescent="0.3">
      <c r="A40" s="27"/>
      <c r="B40" s="11" t="str">
        <f>CONCATENATE("          ", "6373", " - ", "MAINTENANCE CONTRACTS")</f>
        <v xml:space="preserve">          6373 - MAINTENANCE CONTRACTS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0</v>
      </c>
      <c r="Q40" s="2"/>
      <c r="R40" s="7">
        <f t="shared" si="28"/>
        <v>0</v>
      </c>
      <c r="S40" s="2"/>
      <c r="T40" s="6">
        <v>24.12</v>
      </c>
      <c r="U40" s="2"/>
      <c r="V40" s="7">
        <f t="shared" si="29"/>
        <v>0</v>
      </c>
      <c r="W40" s="2"/>
      <c r="X40" s="6">
        <f t="shared" si="30"/>
        <v>-24.12</v>
      </c>
      <c r="Y40" s="2"/>
      <c r="Z40" s="7">
        <f t="shared" si="31"/>
        <v>-1</v>
      </c>
    </row>
    <row r="41" spans="1:26" s="29" customFormat="1" outlineLevel="1" collapsed="1" x14ac:dyDescent="0.3">
      <c r="A41" s="28"/>
      <c r="B41" s="14" t="str">
        <f>CONCATENATE("     ","Supplies                                          ")</f>
        <v xml:space="preserve">     Supplies                                          </v>
      </c>
      <c r="C41" s="14"/>
      <c r="D41" s="1">
        <f>SUM(OSRRefD22_5x_0)</f>
        <v>0</v>
      </c>
      <c r="E41" s="1"/>
      <c r="F41" s="5">
        <f t="shared" si="24"/>
        <v>0</v>
      </c>
      <c r="G41" s="1"/>
      <c r="H41" s="1">
        <f>SUM(OSRRefH22_5x_0)</f>
        <v>0</v>
      </c>
      <c r="I41" s="1"/>
      <c r="J41" s="5">
        <f t="shared" si="25"/>
        <v>0</v>
      </c>
      <c r="K41" s="1"/>
      <c r="L41" s="1">
        <f t="shared" si="26"/>
        <v>0</v>
      </c>
      <c r="M41" s="1"/>
      <c r="N41" s="5">
        <f t="shared" si="27"/>
        <v>0</v>
      </c>
      <c r="O41" s="14"/>
      <c r="P41" s="1">
        <f>SUM(OSRRefP22_5x_0)</f>
        <v>0</v>
      </c>
      <c r="Q41" s="1"/>
      <c r="R41" s="5">
        <f t="shared" si="28"/>
        <v>0</v>
      </c>
      <c r="S41" s="1"/>
      <c r="T41" s="1">
        <f>SUM(OSRRefT22_5x_0)</f>
        <v>0</v>
      </c>
      <c r="U41" s="1"/>
      <c r="V41" s="5">
        <f t="shared" si="29"/>
        <v>0</v>
      </c>
      <c r="W41" s="1"/>
      <c r="X41" s="1">
        <f t="shared" si="30"/>
        <v>0</v>
      </c>
      <c r="Y41" s="1"/>
      <c r="Z41" s="5">
        <f t="shared" si="31"/>
        <v>0</v>
      </c>
    </row>
    <row r="42" spans="1:26" s="24" customFormat="1" hidden="1" outlineLevel="2" x14ac:dyDescent="0.3">
      <c r="A42" s="27"/>
      <c r="B42" s="11" t="str">
        <f>CONCATENATE("          ", "6247", " - ", "STORE SUPPLIES")</f>
        <v xml:space="preserve">          6247 - STORE SUPPLIES</v>
      </c>
      <c r="C42" s="11"/>
      <c r="D42" s="6"/>
      <c r="E42" s="2"/>
      <c r="F42" s="7">
        <f t="shared" si="24"/>
        <v>0</v>
      </c>
      <c r="G42" s="2"/>
      <c r="H42" s="6"/>
      <c r="I42" s="2"/>
      <c r="J42" s="7">
        <f t="shared" si="25"/>
        <v>0</v>
      </c>
      <c r="K42" s="2"/>
      <c r="L42" s="6">
        <f t="shared" si="26"/>
        <v>0</v>
      </c>
      <c r="M42" s="2"/>
      <c r="N42" s="7">
        <f t="shared" si="27"/>
        <v>0</v>
      </c>
      <c r="O42" s="11"/>
      <c r="P42" s="6">
        <v>0</v>
      </c>
      <c r="Q42" s="2"/>
      <c r="R42" s="7">
        <f t="shared" si="28"/>
        <v>0</v>
      </c>
      <c r="S42" s="2"/>
      <c r="T42" s="6"/>
      <c r="U42" s="2"/>
      <c r="V42" s="7">
        <f t="shared" si="29"/>
        <v>0</v>
      </c>
      <c r="W42" s="2"/>
      <c r="X42" s="6">
        <f t="shared" si="30"/>
        <v>0</v>
      </c>
      <c r="Y42" s="2"/>
      <c r="Z42" s="7">
        <f t="shared" si="31"/>
        <v>0</v>
      </c>
    </row>
    <row r="43" spans="1:26" s="29" customFormat="1" outlineLevel="1" collapsed="1" x14ac:dyDescent="0.3">
      <c r="A43" s="28"/>
      <c r="B43" s="14" t="str">
        <f>CONCATENATE("     ","Telephone/Data Lines                              ")</f>
        <v xml:space="preserve">     Telephone/Data Lines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122</v>
      </c>
      <c r="I43" s="1"/>
      <c r="J43" s="5">
        <f t="shared" si="25"/>
        <v>0</v>
      </c>
      <c r="K43" s="1"/>
      <c r="L43" s="1">
        <f t="shared" si="26"/>
        <v>-122</v>
      </c>
      <c r="M43" s="1"/>
      <c r="N43" s="5">
        <f t="shared" si="27"/>
        <v>-1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658.35</v>
      </c>
      <c r="U43" s="1"/>
      <c r="V43" s="5">
        <f t="shared" si="29"/>
        <v>0</v>
      </c>
      <c r="W43" s="1"/>
      <c r="X43" s="1">
        <f t="shared" si="30"/>
        <v>-658.35</v>
      </c>
      <c r="Y43" s="1"/>
      <c r="Z43" s="5">
        <f t="shared" si="31"/>
        <v>-1</v>
      </c>
    </row>
    <row r="44" spans="1:26" s="24" customFormat="1" hidden="1" outlineLevel="2" x14ac:dyDescent="0.3">
      <c r="A44" s="27"/>
      <c r="B44" s="11" t="str">
        <f>CONCATENATE("          ", "6309", " - ", "TELEPHONE")</f>
        <v xml:space="preserve">          6309 - TELEPHONE</v>
      </c>
      <c r="C44" s="11"/>
      <c r="D44" s="6"/>
      <c r="E44" s="2"/>
      <c r="F44" s="7">
        <f t="shared" si="24"/>
        <v>0</v>
      </c>
      <c r="G44" s="2"/>
      <c r="H44" s="6">
        <v>122</v>
      </c>
      <c r="I44" s="2"/>
      <c r="J44" s="7">
        <f t="shared" si="25"/>
        <v>0</v>
      </c>
      <c r="K44" s="2"/>
      <c r="L44" s="6">
        <f t="shared" si="26"/>
        <v>-122</v>
      </c>
      <c r="M44" s="2"/>
      <c r="N44" s="7">
        <f t="shared" si="27"/>
        <v>-1</v>
      </c>
      <c r="O44" s="11"/>
      <c r="P44" s="6">
        <v>0</v>
      </c>
      <c r="Q44" s="2"/>
      <c r="R44" s="7">
        <f t="shared" si="28"/>
        <v>0</v>
      </c>
      <c r="S44" s="2"/>
      <c r="T44" s="6">
        <v>658.35</v>
      </c>
      <c r="U44" s="2"/>
      <c r="V44" s="7">
        <f t="shared" si="29"/>
        <v>0</v>
      </c>
      <c r="W44" s="2"/>
      <c r="X44" s="6">
        <f t="shared" si="30"/>
        <v>-658.35</v>
      </c>
      <c r="Y44" s="2"/>
      <c r="Z44" s="7">
        <f t="shared" si="31"/>
        <v>-1</v>
      </c>
    </row>
    <row r="45" spans="1:26" s="62" customFormat="1" x14ac:dyDescent="0.3">
      <c r="A45" s="37"/>
      <c r="B45" s="37"/>
      <c r="C45" s="37"/>
      <c r="D45" s="1"/>
      <c r="E45" s="1"/>
      <c r="F45" s="5"/>
      <c r="G45" s="1"/>
      <c r="H45" s="1"/>
      <c r="I45" s="1"/>
      <c r="J45" s="5"/>
      <c r="K45" s="1"/>
      <c r="L45" s="1"/>
      <c r="M45" s="1"/>
      <c r="N45" s="5"/>
      <c r="O45" s="37"/>
      <c r="P45" s="1"/>
      <c r="Q45" s="1"/>
      <c r="R45" s="5"/>
      <c r="S45" s="1"/>
      <c r="T45" s="1"/>
      <c r="U45" s="1"/>
      <c r="V45" s="5"/>
      <c r="W45" s="1"/>
      <c r="X45" s="1"/>
      <c r="Y45" s="1"/>
      <c r="Z45" s="5"/>
    </row>
    <row r="46" spans="1:26" s="23" customFormat="1" x14ac:dyDescent="0.3">
      <c r="A46" s="10"/>
      <c r="B46" s="26" t="s">
        <v>292</v>
      </c>
      <c r="C46" s="10"/>
      <c r="D46" s="4">
        <f>SUM(0)</f>
        <v>0</v>
      </c>
      <c r="E46" s="4"/>
      <c r="F46" s="12">
        <f>IF(D$12=0,0,D46/D$12)</f>
        <v>0</v>
      </c>
      <c r="G46" s="4"/>
      <c r="H46" s="4">
        <f>SUM(0)</f>
        <v>0</v>
      </c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>
        <f>SUM(0)</f>
        <v>0</v>
      </c>
      <c r="Q46" s="4"/>
      <c r="R46" s="12">
        <f>IF(P$12=0,0,P46/P$12)</f>
        <v>0</v>
      </c>
      <c r="S46" s="4"/>
      <c r="T46" s="4">
        <f>SUM(0)</f>
        <v>0</v>
      </c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10"/>
      <c r="B48" s="25" t="s">
        <v>276</v>
      </c>
      <c r="C48" s="25"/>
      <c r="D48" s="21">
        <f>+D21-D23+D46</f>
        <v>0</v>
      </c>
      <c r="E48" s="13"/>
      <c r="F48" s="22">
        <f>IF(D$12=0,0,D48/D$12)</f>
        <v>0</v>
      </c>
      <c r="G48" s="13"/>
      <c r="H48" s="21">
        <f>+H21-H23+H46</f>
        <v>-6309.5499999999993</v>
      </c>
      <c r="I48" s="13"/>
      <c r="J48" s="22">
        <f>IF(H$12=0,0,H48/H$12)</f>
        <v>0</v>
      </c>
      <c r="K48" s="16"/>
      <c r="L48" s="21">
        <f>+D48-H48</f>
        <v>6309.5499999999993</v>
      </c>
      <c r="M48" s="16"/>
      <c r="N48" s="22">
        <f>IF(H48=0,0,L48/H48)</f>
        <v>-1</v>
      </c>
      <c r="O48" s="26"/>
      <c r="P48" s="21">
        <f>+P21-P23+P46</f>
        <v>0</v>
      </c>
      <c r="Q48" s="13"/>
      <c r="R48" s="22">
        <f>IF(P$12=0,0,P48/P$12)</f>
        <v>0</v>
      </c>
      <c r="S48" s="13"/>
      <c r="T48" s="21">
        <f>+T21-T23+T46</f>
        <v>-43361.320000000007</v>
      </c>
      <c r="U48" s="13"/>
      <c r="V48" s="22">
        <f>IF(T$12=0,0,T48/T$12)</f>
        <v>0</v>
      </c>
      <c r="W48" s="16"/>
      <c r="X48" s="21">
        <f>+P48-T48</f>
        <v>43361.320000000007</v>
      </c>
      <c r="Y48" s="16"/>
      <c r="Z48" s="22">
        <f>IF(T48=0,0,X48/T48)</f>
        <v>-1</v>
      </c>
    </row>
    <row r="49" spans="1:26" x14ac:dyDescent="0.3">
      <c r="A49" s="9"/>
      <c r="B49" s="10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x14ac:dyDescent="0.3">
      <c r="A50" s="51"/>
      <c r="B50" s="10" t="s">
        <v>127</v>
      </c>
      <c r="C50" s="10"/>
      <c r="D50" s="4"/>
      <c r="E50" s="4"/>
      <c r="F50" s="12">
        <f>IF(D$12=0,0,D50/D$12)</f>
        <v>0</v>
      </c>
      <c r="G50" s="4"/>
      <c r="H50" s="4"/>
      <c r="I50" s="4"/>
      <c r="J50" s="12">
        <f>IF(H$12=0,0,H50/H$12)</f>
        <v>0</v>
      </c>
      <c r="K50" s="4"/>
      <c r="L50" s="4">
        <f>+D50-H50</f>
        <v>0</v>
      </c>
      <c r="M50" s="4"/>
      <c r="N50" s="12">
        <f>IF(H50=0,0,L50/H50)</f>
        <v>0</v>
      </c>
      <c r="O50" s="10"/>
      <c r="P50" s="4"/>
      <c r="Q50" s="4"/>
      <c r="R50" s="12">
        <f>IF(P$12=0,0,P50/P$12)</f>
        <v>0</v>
      </c>
      <c r="S50" s="4"/>
      <c r="T50" s="4"/>
      <c r="U50" s="4"/>
      <c r="V50" s="12">
        <f>IF(T$12=0,0,T50/T$12)</f>
        <v>0</v>
      </c>
      <c r="W50" s="4"/>
      <c r="X50" s="4">
        <f>+P50-T50</f>
        <v>0</v>
      </c>
      <c r="Y50" s="4"/>
      <c r="Z50" s="12">
        <f>IF(T50=0,0,X50/T50)</f>
        <v>0</v>
      </c>
    </row>
    <row r="51" spans="1:26" x14ac:dyDescent="0.3">
      <c r="A51" s="9"/>
      <c r="B51" s="10"/>
      <c r="C51" s="10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O51" s="10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s="23" customFormat="1" ht="15" thickBot="1" x14ac:dyDescent="0.35">
      <c r="A52" s="10"/>
      <c r="B52" s="25" t="s">
        <v>125</v>
      </c>
      <c r="C52" s="25"/>
      <c r="D52" s="35">
        <f>+D48-D50</f>
        <v>0</v>
      </c>
      <c r="E52" s="13"/>
      <c r="F52" s="31">
        <f>IF(D$12=0,0,D52/D$12)</f>
        <v>0</v>
      </c>
      <c r="G52" s="13"/>
      <c r="H52" s="35">
        <f>+H48-H50</f>
        <v>-6309.5499999999993</v>
      </c>
      <c r="I52" s="13"/>
      <c r="J52" s="31">
        <f>IF(H$12=0,0,H52/H$12)</f>
        <v>0</v>
      </c>
      <c r="K52" s="16"/>
      <c r="L52" s="35">
        <f>D52-H52</f>
        <v>6309.5499999999993</v>
      </c>
      <c r="M52" s="16"/>
      <c r="N52" s="31">
        <f>IF(H52=0,0,L52/H52)</f>
        <v>-1</v>
      </c>
      <c r="O52" s="26"/>
      <c r="P52" s="35">
        <f>+P48-P50</f>
        <v>0</v>
      </c>
      <c r="Q52" s="13"/>
      <c r="R52" s="31">
        <f>IF(P$12=0,0,P52/P$12)</f>
        <v>0</v>
      </c>
      <c r="S52" s="13"/>
      <c r="T52" s="35">
        <f>+T48-T50</f>
        <v>-43361.320000000007</v>
      </c>
      <c r="U52" s="13"/>
      <c r="V52" s="31">
        <f>IF(T$12=0,0,T52/T$12)</f>
        <v>0</v>
      </c>
      <c r="W52" s="16"/>
      <c r="X52" s="35">
        <f>P52-T52</f>
        <v>43361.320000000007</v>
      </c>
      <c r="Y52" s="16"/>
      <c r="Z52" s="31">
        <f>IF(T52=0,0,X52/T52)</f>
        <v>-1</v>
      </c>
    </row>
    <row r="53" spans="1:26" ht="15" thickTop="1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x14ac:dyDescent="0.3">
      <c r="A54" s="9"/>
      <c r="B54" s="9"/>
      <c r="C54" s="9"/>
      <c r="D54" s="3"/>
      <c r="E54" s="3"/>
      <c r="F54" s="8"/>
      <c r="G54" s="3"/>
      <c r="H54" s="3"/>
      <c r="I54" s="3"/>
      <c r="J54" s="8"/>
      <c r="K54" s="3"/>
      <c r="L54" s="3"/>
      <c r="M54" s="3"/>
      <c r="N54" s="8"/>
      <c r="P54" s="3"/>
      <c r="Q54" s="3"/>
      <c r="R54" s="8"/>
      <c r="S54" s="3"/>
      <c r="T54" s="3"/>
      <c r="U54" s="3"/>
      <c r="V54" s="8"/>
      <c r="W54" s="3"/>
      <c r="X54" s="3"/>
      <c r="Y54" s="3"/>
      <c r="Z54" s="8"/>
    </row>
    <row r="55" spans="1:26" s="23" customFormat="1" ht="15" thickBot="1" x14ac:dyDescent="0.35">
      <c r="A55" s="10"/>
      <c r="B55" s="25" t="s">
        <v>293</v>
      </c>
      <c r="C55" s="25"/>
      <c r="D55" s="36">
        <f>SUM(D52:D54)</f>
        <v>0</v>
      </c>
      <c r="E55" s="13"/>
      <c r="F55" s="33">
        <f>IF(D$12=0,0,D55/D$12)</f>
        <v>0</v>
      </c>
      <c r="G55" s="13"/>
      <c r="H55" s="36">
        <f>SUM(H52:H54)</f>
        <v>-6309.5499999999993</v>
      </c>
      <c r="I55" s="13"/>
      <c r="J55" s="33">
        <f>IF(H$12=0,0,H55/H$12)</f>
        <v>0</v>
      </c>
      <c r="K55" s="16"/>
      <c r="L55" s="36">
        <f>+D55-H55</f>
        <v>6309.5499999999993</v>
      </c>
      <c r="M55" s="16"/>
      <c r="N55" s="33">
        <f>IF(H55=0,0,L55/H55)</f>
        <v>-1</v>
      </c>
      <c r="O55" s="26"/>
      <c r="P55" s="36">
        <f>SUM(P52:P54)</f>
        <v>0</v>
      </c>
      <c r="Q55" s="13"/>
      <c r="R55" s="33">
        <f>IF(P$12=0,0,P55/P$12)</f>
        <v>0</v>
      </c>
      <c r="S55" s="13"/>
      <c r="T55" s="36">
        <f>SUM(T52:T54)</f>
        <v>-43361.320000000007</v>
      </c>
      <c r="U55" s="13"/>
      <c r="V55" s="33">
        <f>IF(T$12=0,0,T55/T$12)</f>
        <v>0</v>
      </c>
      <c r="W55" s="16"/>
      <c r="X55" s="36">
        <f>+P55-T55</f>
        <v>43361.320000000007</v>
      </c>
      <c r="Y55" s="16"/>
      <c r="Z55" s="33">
        <f>IF(T55=0,0,X55/T55)</f>
        <v>-1</v>
      </c>
    </row>
    <row r="56" spans="1:26" ht="15" thickTop="1" x14ac:dyDescent="0.3">
      <c r="A56" s="9"/>
      <c r="C56" s="9"/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52">
        <v>44543.765594675926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A58" s="9"/>
      <c r="B58" s="59" t="s">
        <v>56</v>
      </c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A59" s="9"/>
      <c r="B59" s="61"/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  <row r="60" spans="1:26" x14ac:dyDescent="0.3">
      <c r="D60" s="17"/>
      <c r="E60" s="17"/>
      <c r="G60" s="17"/>
      <c r="H60" s="17"/>
      <c r="I60" s="17"/>
      <c r="J60" s="42"/>
      <c r="K60" s="17"/>
      <c r="L60" s="17"/>
      <c r="M60" s="17"/>
      <c r="P60" s="17"/>
      <c r="Q60" s="17"/>
      <c r="R60" s="42"/>
      <c r="S60" s="17"/>
      <c r="T60" s="17"/>
      <c r="U60" s="17"/>
      <c r="V60" s="42"/>
      <c r="W60" s="17"/>
      <c r="X60" s="17"/>
    </row>
  </sheetData>
  <pageMargins left="0.25" right="0.25" top="0.75" bottom="0.75" header="0.3" footer="0.3"/>
  <pageSetup scale="55" fitToWidth="2" orientation="landscape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","321", " - ", "Corner Market")</f>
        <v>Department 321 - Corner Market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0</v>
      </c>
      <c r="M12" s="4"/>
      <c r="N12" s="12">
        <f t="shared" ref="N12:N14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2476.4700000000003</v>
      </c>
      <c r="U12" s="4"/>
      <c r="V12" s="12"/>
      <c r="W12" s="4"/>
      <c r="X12" s="4">
        <f t="shared" ref="X12:X14" si="2">+P12-T12</f>
        <v>-2476.4700000000003</v>
      </c>
      <c r="Y12" s="4"/>
      <c r="Z12" s="12">
        <f t="shared" ref="Z12:Z14" si="3">IF(T12=0,0,X12/T12)</f>
        <v>-1</v>
      </c>
    </row>
    <row r="13" spans="1:26" s="24" customFormat="1" hidden="1" outlineLevel="1" x14ac:dyDescent="0.3">
      <c r="A13" s="44"/>
      <c r="B13" s="11" t="str">
        <f>CONCATENATE("          ", "4032", " - ", "TAXABLE SALES-JUICE")</f>
        <v xml:space="preserve">          4032 - TAXABLE SALES-JUICE</v>
      </c>
      <c r="C13" s="11"/>
      <c r="D13" s="2">
        <f t="shared" ref="D13:D14" si="4">0</f>
        <v>0</v>
      </c>
      <c r="E13" s="2"/>
      <c r="F13" s="19"/>
      <c r="G13" s="2"/>
      <c r="H13" s="2">
        <f t="shared" ref="H13:H14" si="5"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 t="shared" ref="P13:P14" si="6">0</f>
        <v>0</v>
      </c>
      <c r="Q13" s="2"/>
      <c r="R13" s="19"/>
      <c r="S13" s="2"/>
      <c r="T13" s="2">
        <f>--444.59</f>
        <v>444.59</v>
      </c>
      <c r="U13" s="2"/>
      <c r="V13" s="19"/>
      <c r="W13" s="2"/>
      <c r="X13" s="2">
        <f t="shared" si="2"/>
        <v>-444.59</v>
      </c>
      <c r="Y13" s="2"/>
      <c r="Z13" s="19">
        <f t="shared" si="3"/>
        <v>-1</v>
      </c>
    </row>
    <row r="14" spans="1:26" s="24" customFormat="1" hidden="1" outlineLevel="1" x14ac:dyDescent="0.3">
      <c r="A14" s="44"/>
      <c r="B14" s="11" t="str">
        <f>CONCATENATE("          ", "4132", " - ", "NON-TAXABLE SALES-JUICE")</f>
        <v xml:space="preserve">          4132 - NON-TAXABLE SALES-JUICE</v>
      </c>
      <c r="C14" s="11"/>
      <c r="D14" s="2">
        <f t="shared" si="4"/>
        <v>0</v>
      </c>
      <c r="E14" s="2"/>
      <c r="F14" s="19"/>
      <c r="G14" s="2"/>
      <c r="H14" s="2">
        <f t="shared" si="5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si="6"/>
        <v>0</v>
      </c>
      <c r="Q14" s="2"/>
      <c r="R14" s="19"/>
      <c r="S14" s="2"/>
      <c r="T14" s="2">
        <f>--2031.88</f>
        <v>2031.88</v>
      </c>
      <c r="U14" s="2"/>
      <c r="V14" s="19"/>
      <c r="W14" s="2"/>
      <c r="X14" s="2">
        <f t="shared" si="2"/>
        <v>-2031.88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8639</v>
      </c>
      <c r="E16" s="4"/>
      <c r="F16" s="12">
        <f t="shared" ref="F16:F18" si="7">IF(D$12=0,0,D16/D$12)</f>
        <v>0</v>
      </c>
      <c r="G16" s="4"/>
      <c r="H16" s="4">
        <f>SUM(OSRRefH16x_0)</f>
        <v>0</v>
      </c>
      <c r="I16" s="4"/>
      <c r="J16" s="12">
        <f t="shared" ref="J16:J18" si="8">IF(H$12=0,0,H16/H$12)</f>
        <v>0</v>
      </c>
      <c r="K16" s="4"/>
      <c r="L16" s="4">
        <f t="shared" ref="L16:L18" si="9">+D16-H16</f>
        <v>8639</v>
      </c>
      <c r="M16" s="4"/>
      <c r="N16" s="12">
        <f t="shared" ref="N16:N18" si="10">IF(H16=0,0,L16/H16)</f>
        <v>0</v>
      </c>
      <c r="O16" s="10"/>
      <c r="P16" s="4">
        <f>SUM(OSRRefP16x_0)</f>
        <v>8639</v>
      </c>
      <c r="Q16" s="4"/>
      <c r="R16" s="12">
        <f t="shared" ref="R16:R18" si="11">IF(P$12=0,0,P16/P$12)</f>
        <v>0</v>
      </c>
      <c r="S16" s="4"/>
      <c r="T16" s="4">
        <f>SUM(OSRRefT16x_0)</f>
        <v>-238.52</v>
      </c>
      <c r="U16" s="4"/>
      <c r="V16" s="12">
        <f t="shared" ref="V16:V18" si="12">IF(T$12=0,0,T16/T$12)</f>
        <v>-9.6314512188720225E-2</v>
      </c>
      <c r="W16" s="4"/>
      <c r="X16" s="4">
        <f t="shared" ref="X16:X18" si="13">+P16-T16</f>
        <v>8877.52</v>
      </c>
      <c r="Y16" s="4"/>
      <c r="Z16" s="12">
        <f t="shared" ref="Z16:Z18" si="14">IF(T16=0,0,X16/T16)</f>
        <v>-37.219184974006374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7"/>
        <v>0</v>
      </c>
      <c r="G17" s="2"/>
      <c r="H17" s="2"/>
      <c r="I17" s="2"/>
      <c r="J17" s="19">
        <f t="shared" si="8"/>
        <v>0</v>
      </c>
      <c r="K17" s="2"/>
      <c r="L17" s="2">
        <f t="shared" si="9"/>
        <v>0</v>
      </c>
      <c r="M17" s="2"/>
      <c r="N17" s="19">
        <f t="shared" si="10"/>
        <v>0</v>
      </c>
      <c r="O17" s="11"/>
      <c r="P17" s="2"/>
      <c r="Q17" s="2"/>
      <c r="R17" s="19">
        <f t="shared" si="11"/>
        <v>0</v>
      </c>
      <c r="S17" s="2"/>
      <c r="T17" s="2">
        <v>-238.52</v>
      </c>
      <c r="U17" s="2"/>
      <c r="V17" s="19">
        <f t="shared" si="12"/>
        <v>-9.6314512188720225E-2</v>
      </c>
      <c r="W17" s="2"/>
      <c r="X17" s="2">
        <f t="shared" si="13"/>
        <v>238.52</v>
      </c>
      <c r="Y17" s="2"/>
      <c r="Z17" s="19">
        <f t="shared" si="14"/>
        <v>-1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8639</v>
      </c>
      <c r="E18" s="2"/>
      <c r="F18" s="19">
        <f t="shared" si="7"/>
        <v>0</v>
      </c>
      <c r="G18" s="2"/>
      <c r="H18" s="2"/>
      <c r="I18" s="2"/>
      <c r="J18" s="19">
        <f t="shared" si="8"/>
        <v>0</v>
      </c>
      <c r="K18" s="2"/>
      <c r="L18" s="2">
        <f t="shared" si="9"/>
        <v>8639</v>
      </c>
      <c r="M18" s="2"/>
      <c r="N18" s="19">
        <f t="shared" si="10"/>
        <v>0</v>
      </c>
      <c r="O18" s="11"/>
      <c r="P18" s="2">
        <v>8639</v>
      </c>
      <c r="Q18" s="2"/>
      <c r="R18" s="19">
        <f t="shared" si="11"/>
        <v>0</v>
      </c>
      <c r="S18" s="2"/>
      <c r="T18" s="2"/>
      <c r="U18" s="2"/>
      <c r="V18" s="19">
        <f t="shared" si="12"/>
        <v>0</v>
      </c>
      <c r="W18" s="2"/>
      <c r="X18" s="2">
        <f t="shared" si="13"/>
        <v>8639</v>
      </c>
      <c r="Y18" s="2"/>
      <c r="Z18" s="19">
        <f t="shared" si="14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-8639</v>
      </c>
      <c r="E20" s="13"/>
      <c r="F20" s="22">
        <f>IF(D$12=0,0,D20/D$12)</f>
        <v>0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-8639</v>
      </c>
      <c r="M20" s="16"/>
      <c r="N20" s="22">
        <f>IF(H20=0,0,L20/H20)</f>
        <v>0</v>
      </c>
      <c r="O20" s="26"/>
      <c r="P20" s="21">
        <f>P12-P16</f>
        <v>-8639</v>
      </c>
      <c r="Q20" s="13"/>
      <c r="R20" s="22">
        <f>IF(P$12=0,0,P20/P$12)</f>
        <v>0</v>
      </c>
      <c r="S20" s="13"/>
      <c r="T20" s="21">
        <f>T12-T16</f>
        <v>2714.9900000000002</v>
      </c>
      <c r="U20" s="13"/>
      <c r="V20" s="22">
        <f>IF(T$12=0,0,T20/T$12)</f>
        <v>1.0963145121887201</v>
      </c>
      <c r="W20" s="16"/>
      <c r="X20" s="21">
        <f>+P20-T20</f>
        <v>-11353.99</v>
      </c>
      <c r="Y20" s="16"/>
      <c r="Z20" s="22">
        <f>IF(T20=0,0,X20/T20)</f>
        <v>-4.1819638378041901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1101.8700000000001</v>
      </c>
      <c r="E22" s="20"/>
      <c r="F22" s="32">
        <f t="shared" ref="F22:F31" si="15">IF(D$12=0,0,D22/D$12)</f>
        <v>0</v>
      </c>
      <c r="G22" s="20"/>
      <c r="H22" s="20">
        <f>SUM(OSRRefH22x_0)</f>
        <v>4495.3099999999995</v>
      </c>
      <c r="I22" s="20"/>
      <c r="J22" s="32">
        <f t="shared" ref="J22:J31" si="16">IF(H$12=0,0,H22/H$12)</f>
        <v>0</v>
      </c>
      <c r="K22" s="4"/>
      <c r="L22" s="20">
        <f t="shared" ref="L22:L31" si="17">+D22-H22</f>
        <v>-3393.4399999999996</v>
      </c>
      <c r="M22" s="4"/>
      <c r="N22" s="32">
        <f t="shared" ref="N22:N31" si="18">IF(H22=0,0,L22/H22)</f>
        <v>-0.7548845352155914</v>
      </c>
      <c r="O22" s="10"/>
      <c r="P22" s="20">
        <f>SUM(OSRRefP22x_0)</f>
        <v>7485.66</v>
      </c>
      <c r="Q22" s="20"/>
      <c r="R22" s="32">
        <f t="shared" ref="R22:R31" si="19">IF(P$12=0,0,P22/P$12)</f>
        <v>0</v>
      </c>
      <c r="S22" s="20"/>
      <c r="T22" s="20">
        <f>SUM(OSRRefT22x_0)</f>
        <v>32171.810000000005</v>
      </c>
      <c r="U22" s="20"/>
      <c r="V22" s="32">
        <f t="shared" ref="V22:V31" si="20">IF(T$12=0,0,T22/T$12)</f>
        <v>12.99099524726728</v>
      </c>
      <c r="W22" s="4"/>
      <c r="X22" s="20">
        <f t="shared" ref="X22:X31" si="21">+P22-T22</f>
        <v>-24686.150000000005</v>
      </c>
      <c r="Y22" s="4"/>
      <c r="Z22" s="32">
        <f t="shared" ref="Z22:Z31" si="22">IF(T22=0,0,X22/T22)</f>
        <v>-0.76732238565377586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233.15000000000003</v>
      </c>
      <c r="E23" s="1"/>
      <c r="F23" s="5">
        <f t="shared" si="15"/>
        <v>0</v>
      </c>
      <c r="G23" s="1"/>
      <c r="H23" s="1">
        <f>SUM(OSRRefH22_0x_0)</f>
        <v>1358.35</v>
      </c>
      <c r="I23" s="1"/>
      <c r="J23" s="5">
        <f t="shared" si="16"/>
        <v>0</v>
      </c>
      <c r="K23" s="1"/>
      <c r="L23" s="1">
        <f t="shared" si="17"/>
        <v>-1125.1999999999998</v>
      </c>
      <c r="M23" s="1"/>
      <c r="N23" s="5">
        <f t="shared" si="18"/>
        <v>-0.82835793425847526</v>
      </c>
      <c r="O23" s="14"/>
      <c r="P23" s="1">
        <f>SUM(OSRRefP22_0x_0)</f>
        <v>318.14</v>
      </c>
      <c r="Q23" s="1"/>
      <c r="R23" s="5">
        <f t="shared" si="19"/>
        <v>0</v>
      </c>
      <c r="S23" s="1"/>
      <c r="T23" s="1">
        <f>SUM(OSRRefT22_0x_0)</f>
        <v>8101.4900000000007</v>
      </c>
      <c r="U23" s="1"/>
      <c r="V23" s="5">
        <f t="shared" si="20"/>
        <v>3.2713862877402109</v>
      </c>
      <c r="W23" s="1"/>
      <c r="X23" s="1">
        <f t="shared" si="21"/>
        <v>-7783.35</v>
      </c>
      <c r="Y23" s="1"/>
      <c r="Z23" s="5">
        <f t="shared" si="22"/>
        <v>-0.96073068040570309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35.72</v>
      </c>
      <c r="E24" s="2"/>
      <c r="F24" s="7">
        <f t="shared" si="15"/>
        <v>0</v>
      </c>
      <c r="G24" s="2"/>
      <c r="H24" s="6">
        <v>159.12</v>
      </c>
      <c r="I24" s="2"/>
      <c r="J24" s="7">
        <f t="shared" si="16"/>
        <v>0</v>
      </c>
      <c r="K24" s="2"/>
      <c r="L24" s="6">
        <f t="shared" si="17"/>
        <v>-123.4</v>
      </c>
      <c r="M24" s="2"/>
      <c r="N24" s="7">
        <f t="shared" si="18"/>
        <v>-0.77551533433886377</v>
      </c>
      <c r="O24" s="11"/>
      <c r="P24" s="6">
        <v>42.63</v>
      </c>
      <c r="Q24" s="2"/>
      <c r="R24" s="7">
        <f t="shared" si="19"/>
        <v>0</v>
      </c>
      <c r="S24" s="2"/>
      <c r="T24" s="6">
        <v>1667.09</v>
      </c>
      <c r="U24" s="2"/>
      <c r="V24" s="7">
        <f t="shared" si="20"/>
        <v>0.67317189386505782</v>
      </c>
      <c r="W24" s="2"/>
      <c r="X24" s="6">
        <f t="shared" si="21"/>
        <v>-1624.4599999999998</v>
      </c>
      <c r="Y24" s="2"/>
      <c r="Z24" s="7">
        <f t="shared" si="22"/>
        <v>-0.97442849516222874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16.809999999999999</v>
      </c>
      <c r="E25" s="2"/>
      <c r="F25" s="7">
        <f t="shared" si="15"/>
        <v>0</v>
      </c>
      <c r="G25" s="2"/>
      <c r="H25" s="6">
        <v>23.77</v>
      </c>
      <c r="I25" s="2"/>
      <c r="J25" s="7">
        <f t="shared" si="16"/>
        <v>0</v>
      </c>
      <c r="K25" s="2"/>
      <c r="L25" s="6">
        <f t="shared" si="17"/>
        <v>-6.9600000000000009</v>
      </c>
      <c r="M25" s="2"/>
      <c r="N25" s="7">
        <f t="shared" si="18"/>
        <v>-0.29280605805637361</v>
      </c>
      <c r="O25" s="11"/>
      <c r="P25" s="6">
        <v>16.809999999999999</v>
      </c>
      <c r="Q25" s="2"/>
      <c r="R25" s="7">
        <f t="shared" si="19"/>
        <v>0</v>
      </c>
      <c r="S25" s="2"/>
      <c r="T25" s="6">
        <v>331.61</v>
      </c>
      <c r="U25" s="2"/>
      <c r="V25" s="7">
        <f t="shared" si="20"/>
        <v>0.13390430734069056</v>
      </c>
      <c r="W25" s="2"/>
      <c r="X25" s="6">
        <f t="shared" si="21"/>
        <v>-314.8</v>
      </c>
      <c r="Y25" s="2"/>
      <c r="Z25" s="7">
        <f t="shared" si="22"/>
        <v>-0.94930792195651514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5"/>
        <v>0</v>
      </c>
      <c r="G26" s="2"/>
      <c r="H26" s="6">
        <v>683.68</v>
      </c>
      <c r="I26" s="2"/>
      <c r="J26" s="7">
        <f t="shared" si="16"/>
        <v>0</v>
      </c>
      <c r="K26" s="2"/>
      <c r="L26" s="6">
        <f t="shared" si="17"/>
        <v>-683.68</v>
      </c>
      <c r="M26" s="2"/>
      <c r="N26" s="7">
        <f t="shared" si="18"/>
        <v>-1</v>
      </c>
      <c r="O26" s="11"/>
      <c r="P26" s="6"/>
      <c r="Q26" s="2"/>
      <c r="R26" s="7">
        <f t="shared" si="19"/>
        <v>0</v>
      </c>
      <c r="S26" s="2"/>
      <c r="T26" s="6">
        <v>2734.72</v>
      </c>
      <c r="U26" s="2"/>
      <c r="V26" s="7">
        <f t="shared" si="20"/>
        <v>1.1042814974540371</v>
      </c>
      <c r="W26" s="2"/>
      <c r="X26" s="6">
        <f t="shared" si="21"/>
        <v>-2734.72</v>
      </c>
      <c r="Y26" s="2"/>
      <c r="Z26" s="7">
        <f t="shared" si="22"/>
        <v>-1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1.21</v>
      </c>
      <c r="E27" s="2"/>
      <c r="F27" s="7">
        <f t="shared" si="15"/>
        <v>0</v>
      </c>
      <c r="G27" s="2"/>
      <c r="H27" s="6">
        <v>18.73</v>
      </c>
      <c r="I27" s="2"/>
      <c r="J27" s="7">
        <f t="shared" si="16"/>
        <v>0</v>
      </c>
      <c r="K27" s="2"/>
      <c r="L27" s="6">
        <f t="shared" si="17"/>
        <v>-17.52</v>
      </c>
      <c r="M27" s="2"/>
      <c r="N27" s="7">
        <f t="shared" si="18"/>
        <v>-0.93539775760811528</v>
      </c>
      <c r="O27" s="11"/>
      <c r="P27" s="6">
        <v>1.21</v>
      </c>
      <c r="Q27" s="2"/>
      <c r="R27" s="7">
        <f t="shared" si="19"/>
        <v>0</v>
      </c>
      <c r="S27" s="2"/>
      <c r="T27" s="6">
        <v>62.01</v>
      </c>
      <c r="U27" s="2"/>
      <c r="V27" s="7">
        <f t="shared" si="20"/>
        <v>2.5039673406098192E-2</v>
      </c>
      <c r="W27" s="2"/>
      <c r="X27" s="6">
        <f t="shared" si="21"/>
        <v>-60.8</v>
      </c>
      <c r="Y27" s="2"/>
      <c r="Z27" s="7">
        <f t="shared" si="22"/>
        <v>-0.98048701822286721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5"/>
        <v>0</v>
      </c>
      <c r="G28" s="2"/>
      <c r="H28" s="6">
        <v>257.25</v>
      </c>
      <c r="I28" s="2"/>
      <c r="J28" s="7">
        <f t="shared" si="16"/>
        <v>0</v>
      </c>
      <c r="K28" s="2"/>
      <c r="L28" s="6">
        <f t="shared" si="17"/>
        <v>-257.25</v>
      </c>
      <c r="M28" s="2"/>
      <c r="N28" s="7">
        <f t="shared" si="18"/>
        <v>-1</v>
      </c>
      <c r="O28" s="11"/>
      <c r="P28" s="6"/>
      <c r="Q28" s="2"/>
      <c r="R28" s="7">
        <f t="shared" si="19"/>
        <v>0</v>
      </c>
      <c r="S28" s="2"/>
      <c r="T28" s="6">
        <v>1254.1099999999999</v>
      </c>
      <c r="U28" s="2"/>
      <c r="V28" s="7">
        <f t="shared" si="20"/>
        <v>0.50641033406421232</v>
      </c>
      <c r="W28" s="2"/>
      <c r="X28" s="6">
        <f t="shared" si="21"/>
        <v>-1254.1099999999999</v>
      </c>
      <c r="Y28" s="2"/>
      <c r="Z28" s="7">
        <f t="shared" si="22"/>
        <v>-1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6">
        <v>81.62</v>
      </c>
      <c r="E29" s="2"/>
      <c r="F29" s="7">
        <f t="shared" si="15"/>
        <v>0</v>
      </c>
      <c r="G29" s="2"/>
      <c r="H29" s="6">
        <v>119.86</v>
      </c>
      <c r="I29" s="2"/>
      <c r="J29" s="7">
        <f t="shared" si="16"/>
        <v>0</v>
      </c>
      <c r="K29" s="2"/>
      <c r="L29" s="6">
        <f t="shared" si="17"/>
        <v>-38.239999999999995</v>
      </c>
      <c r="M29" s="2"/>
      <c r="N29" s="7">
        <f t="shared" si="18"/>
        <v>-0.31903887869180708</v>
      </c>
      <c r="O29" s="11"/>
      <c r="P29" s="6">
        <v>81.62</v>
      </c>
      <c r="Q29" s="2"/>
      <c r="R29" s="7">
        <f t="shared" si="19"/>
        <v>0</v>
      </c>
      <c r="S29" s="2"/>
      <c r="T29" s="6">
        <v>958.88</v>
      </c>
      <c r="U29" s="2"/>
      <c r="V29" s="7">
        <f t="shared" si="20"/>
        <v>0.38719629149555612</v>
      </c>
      <c r="W29" s="2"/>
      <c r="X29" s="6">
        <f t="shared" si="21"/>
        <v>-877.26</v>
      </c>
      <c r="Y29" s="2"/>
      <c r="Z29" s="7">
        <f t="shared" si="22"/>
        <v>-0.91487985983647591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6">
        <v>97.79</v>
      </c>
      <c r="E30" s="2"/>
      <c r="F30" s="7">
        <f t="shared" si="15"/>
        <v>0</v>
      </c>
      <c r="G30" s="2"/>
      <c r="H30" s="6">
        <v>95.94</v>
      </c>
      <c r="I30" s="2"/>
      <c r="J30" s="7">
        <f t="shared" si="16"/>
        <v>0</v>
      </c>
      <c r="K30" s="2"/>
      <c r="L30" s="6">
        <f t="shared" si="17"/>
        <v>1.8500000000000085</v>
      </c>
      <c r="M30" s="2"/>
      <c r="N30" s="7">
        <f t="shared" si="18"/>
        <v>1.9282885136543762E-2</v>
      </c>
      <c r="O30" s="11"/>
      <c r="P30" s="6">
        <v>97.79</v>
      </c>
      <c r="Q30" s="2"/>
      <c r="R30" s="7">
        <f t="shared" si="19"/>
        <v>0</v>
      </c>
      <c r="S30" s="2"/>
      <c r="T30" s="6">
        <v>767.52</v>
      </c>
      <c r="U30" s="2"/>
      <c r="V30" s="7">
        <f t="shared" si="20"/>
        <v>0.30992501423397006</v>
      </c>
      <c r="W30" s="2"/>
      <c r="X30" s="6">
        <f t="shared" si="21"/>
        <v>-669.73</v>
      </c>
      <c r="Y30" s="2"/>
      <c r="Z30" s="7">
        <f t="shared" si="22"/>
        <v>-0.8725896393579321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6"/>
      <c r="E31" s="2"/>
      <c r="F31" s="7">
        <f t="shared" si="15"/>
        <v>0</v>
      </c>
      <c r="G31" s="2"/>
      <c r="H31" s="6"/>
      <c r="I31" s="2"/>
      <c r="J31" s="7">
        <f t="shared" si="16"/>
        <v>0</v>
      </c>
      <c r="K31" s="2"/>
      <c r="L31" s="6">
        <f t="shared" si="17"/>
        <v>0</v>
      </c>
      <c r="M31" s="2"/>
      <c r="N31" s="7">
        <f t="shared" si="18"/>
        <v>0</v>
      </c>
      <c r="O31" s="11"/>
      <c r="P31" s="6">
        <v>78.08</v>
      </c>
      <c r="Q31" s="2"/>
      <c r="R31" s="7">
        <f t="shared" si="19"/>
        <v>0</v>
      </c>
      <c r="S31" s="2"/>
      <c r="T31" s="6">
        <v>325.55</v>
      </c>
      <c r="U31" s="2"/>
      <c r="V31" s="7">
        <f t="shared" si="20"/>
        <v>0.13145727588058809</v>
      </c>
      <c r="W31" s="2"/>
      <c r="X31" s="6">
        <f t="shared" si="21"/>
        <v>-247.47000000000003</v>
      </c>
      <c r="Y31" s="2"/>
      <c r="Z31" s="7">
        <f t="shared" si="22"/>
        <v>-0.76015972968821999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466.93</v>
      </c>
      <c r="E32" s="1"/>
      <c r="F32" s="5">
        <f t="shared" ref="F32:F36" si="23">IF(D$12=0,0,D32/D$12)</f>
        <v>0</v>
      </c>
      <c r="G32" s="1"/>
      <c r="H32" s="1">
        <f>SUM(OSRRefH22_1x_0)</f>
        <v>1664</v>
      </c>
      <c r="I32" s="1"/>
      <c r="J32" s="5">
        <f t="shared" ref="J32:J36" si="24">IF(H$12=0,0,H32/H$12)</f>
        <v>0</v>
      </c>
      <c r="K32" s="1"/>
      <c r="L32" s="1">
        <f t="shared" ref="L32:L36" si="25">+D32-H32</f>
        <v>-1197.07</v>
      </c>
      <c r="M32" s="1"/>
      <c r="N32" s="5">
        <f t="shared" ref="N32:N36" si="26">IF(H32=0,0,L32/H32)</f>
        <v>-0.71939302884615386</v>
      </c>
      <c r="O32" s="14"/>
      <c r="P32" s="1">
        <f>SUM(OSRRefP22_1x_0)</f>
        <v>557.23</v>
      </c>
      <c r="Q32" s="1"/>
      <c r="R32" s="5">
        <f t="shared" ref="R32:R36" si="27">IF(P$12=0,0,P32/P$12)</f>
        <v>0</v>
      </c>
      <c r="S32" s="1"/>
      <c r="T32" s="1">
        <f>SUM(OSRRefT22_1x_0)</f>
        <v>15859.96</v>
      </c>
      <c r="U32" s="1"/>
      <c r="V32" s="5">
        <f t="shared" ref="V32:V36" si="28">IF(T$12=0,0,T32/T$12)</f>
        <v>6.404260903624917</v>
      </c>
      <c r="W32" s="1"/>
      <c r="X32" s="1">
        <f t="shared" ref="X32:X36" si="29">+P32-T32</f>
        <v>-15302.73</v>
      </c>
      <c r="Y32" s="1"/>
      <c r="Z32" s="5">
        <f t="shared" ref="Z32:Z36" si="30">IF(T32=0,0,X32/T32)</f>
        <v>-0.96486561126257575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3"/>
        <v>0</v>
      </c>
      <c r="G33" s="2"/>
      <c r="H33" s="6">
        <v>1664</v>
      </c>
      <c r="I33" s="2"/>
      <c r="J33" s="7">
        <f t="shared" si="24"/>
        <v>0</v>
      </c>
      <c r="K33" s="2"/>
      <c r="L33" s="6">
        <f t="shared" si="25"/>
        <v>-1664</v>
      </c>
      <c r="M33" s="2"/>
      <c r="N33" s="7">
        <f t="shared" si="26"/>
        <v>-1</v>
      </c>
      <c r="O33" s="11"/>
      <c r="P33" s="6"/>
      <c r="Q33" s="2"/>
      <c r="R33" s="7">
        <f t="shared" si="27"/>
        <v>0</v>
      </c>
      <c r="S33" s="2"/>
      <c r="T33" s="6">
        <v>13728</v>
      </c>
      <c r="U33" s="2"/>
      <c r="V33" s="7">
        <f t="shared" si="28"/>
        <v>5.5433742383311726</v>
      </c>
      <c r="W33" s="2"/>
      <c r="X33" s="6">
        <f t="shared" si="29"/>
        <v>-13728</v>
      </c>
      <c r="Y33" s="2"/>
      <c r="Z33" s="7">
        <f t="shared" si="30"/>
        <v>-1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466.93</v>
      </c>
      <c r="E34" s="2"/>
      <c r="F34" s="7">
        <f t="shared" si="23"/>
        <v>0</v>
      </c>
      <c r="G34" s="2"/>
      <c r="H34" s="6"/>
      <c r="I34" s="2"/>
      <c r="J34" s="7">
        <f t="shared" si="24"/>
        <v>0</v>
      </c>
      <c r="K34" s="2"/>
      <c r="L34" s="6">
        <f t="shared" si="25"/>
        <v>466.93</v>
      </c>
      <c r="M34" s="2"/>
      <c r="N34" s="7">
        <f t="shared" si="26"/>
        <v>0</v>
      </c>
      <c r="O34" s="11"/>
      <c r="P34" s="6">
        <v>466.93</v>
      </c>
      <c r="Q34" s="2"/>
      <c r="R34" s="7">
        <f t="shared" si="27"/>
        <v>0</v>
      </c>
      <c r="S34" s="2"/>
      <c r="T34" s="6"/>
      <c r="U34" s="2"/>
      <c r="V34" s="7">
        <f t="shared" si="28"/>
        <v>0</v>
      </c>
      <c r="W34" s="2"/>
      <c r="X34" s="6">
        <f t="shared" si="29"/>
        <v>466.93</v>
      </c>
      <c r="Y34" s="2"/>
      <c r="Z34" s="7">
        <f t="shared" si="30"/>
        <v>0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/>
      <c r="E35" s="2"/>
      <c r="F35" s="7">
        <f t="shared" si="23"/>
        <v>0</v>
      </c>
      <c r="G35" s="2"/>
      <c r="H35" s="6"/>
      <c r="I35" s="2"/>
      <c r="J35" s="7">
        <f t="shared" si="24"/>
        <v>0</v>
      </c>
      <c r="K35" s="2"/>
      <c r="L35" s="6">
        <f t="shared" si="25"/>
        <v>0</v>
      </c>
      <c r="M35" s="2"/>
      <c r="N35" s="7">
        <f t="shared" si="26"/>
        <v>0</v>
      </c>
      <c r="O35" s="11"/>
      <c r="P35" s="6">
        <v>90.3</v>
      </c>
      <c r="Q35" s="2"/>
      <c r="R35" s="7">
        <f t="shared" si="27"/>
        <v>0</v>
      </c>
      <c r="S35" s="2"/>
      <c r="T35" s="6">
        <v>2131.96</v>
      </c>
      <c r="U35" s="2"/>
      <c r="V35" s="7">
        <f t="shared" si="28"/>
        <v>0.86088666529374469</v>
      </c>
      <c r="W35" s="2"/>
      <c r="X35" s="6">
        <f t="shared" si="29"/>
        <v>-2041.66</v>
      </c>
      <c r="Y35" s="2"/>
      <c r="Z35" s="7">
        <f t="shared" si="30"/>
        <v>-0.95764460871686152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/>
      <c r="E36" s="2"/>
      <c r="F36" s="7">
        <f t="shared" si="23"/>
        <v>0</v>
      </c>
      <c r="G36" s="2"/>
      <c r="H36" s="6"/>
      <c r="I36" s="2"/>
      <c r="J36" s="7">
        <f t="shared" si="24"/>
        <v>0</v>
      </c>
      <c r="K36" s="2"/>
      <c r="L36" s="6">
        <f t="shared" si="25"/>
        <v>0</v>
      </c>
      <c r="M36" s="2"/>
      <c r="N36" s="7">
        <f t="shared" si="26"/>
        <v>0</v>
      </c>
      <c r="O36" s="11"/>
      <c r="P36" s="6"/>
      <c r="Q36" s="2"/>
      <c r="R36" s="7">
        <f t="shared" si="27"/>
        <v>0</v>
      </c>
      <c r="S36" s="2"/>
      <c r="T36" s="6">
        <v>0</v>
      </c>
      <c r="U36" s="2"/>
      <c r="V36" s="7">
        <f t="shared" si="28"/>
        <v>0</v>
      </c>
      <c r="W36" s="2"/>
      <c r="X36" s="6">
        <f t="shared" si="29"/>
        <v>0</v>
      </c>
      <c r="Y36" s="2"/>
      <c r="Z36" s="7">
        <f t="shared" si="30"/>
        <v>0</v>
      </c>
    </row>
    <row r="37" spans="1:26" s="29" customFormat="1" outlineLevel="1" collapsed="1" x14ac:dyDescent="0.3">
      <c r="A37" s="28"/>
      <c r="B37" s="14" t="str">
        <f>CONCATENATE("     ","Bad Debts/Over/Short                              ")</f>
        <v xml:space="preserve">     Bad Debts/Over/Short                              </v>
      </c>
      <c r="C37" s="14"/>
      <c r="D37" s="1">
        <f>SUM(OSRRefD22_2x_0)</f>
        <v>0</v>
      </c>
      <c r="E37" s="1"/>
      <c r="F37" s="5">
        <f t="shared" ref="F37:F47" si="31">IF(D$12=0,0,D37/D$12)</f>
        <v>0</v>
      </c>
      <c r="G37" s="1"/>
      <c r="H37" s="1">
        <f>SUM(OSRRefH22_2x_0)</f>
        <v>0</v>
      </c>
      <c r="I37" s="1"/>
      <c r="J37" s="5">
        <f t="shared" ref="J37:J47" si="32">IF(H$12=0,0,H37/H$12)</f>
        <v>0</v>
      </c>
      <c r="K37" s="1"/>
      <c r="L37" s="1">
        <f t="shared" ref="L37:L47" si="33">+D37-H37</f>
        <v>0</v>
      </c>
      <c r="M37" s="1"/>
      <c r="N37" s="5">
        <f t="shared" ref="N37:N47" si="34">IF(H37=0,0,L37/H37)</f>
        <v>0</v>
      </c>
      <c r="O37" s="14"/>
      <c r="P37" s="1">
        <f>SUM(OSRRefP22_2x_0)</f>
        <v>0</v>
      </c>
      <c r="Q37" s="1"/>
      <c r="R37" s="5">
        <f t="shared" ref="R37:R47" si="35">IF(P$12=0,0,P37/P$12)</f>
        <v>0</v>
      </c>
      <c r="S37" s="1"/>
      <c r="T37" s="1">
        <f>SUM(OSRRefT22_2x_0)</f>
        <v>3.31</v>
      </c>
      <c r="U37" s="1"/>
      <c r="V37" s="5">
        <f t="shared" ref="V37:V47" si="36">IF(T$12=0,0,T37/T$12)</f>
        <v>1.3365798899239642E-3</v>
      </c>
      <c r="W37" s="1"/>
      <c r="X37" s="1">
        <f t="shared" ref="X37:X47" si="37">+P37-T37</f>
        <v>-3.31</v>
      </c>
      <c r="Y37" s="1"/>
      <c r="Z37" s="5">
        <f t="shared" ref="Z37:Z47" si="38">IF(T37=0,0,X37/T37)</f>
        <v>-1</v>
      </c>
    </row>
    <row r="38" spans="1:26" s="24" customFormat="1" hidden="1" outlineLevel="2" x14ac:dyDescent="0.3">
      <c r="A38" s="27"/>
      <c r="B38" s="11" t="str">
        <f>CONCATENATE("          ", "6272", " - ", "CASH (OVER/SHORT)")</f>
        <v xml:space="preserve">          6272 - CASH (OVER/SHORT)</v>
      </c>
      <c r="C38" s="11"/>
      <c r="D38" s="6"/>
      <c r="E38" s="2"/>
      <c r="F38" s="7">
        <f t="shared" si="31"/>
        <v>0</v>
      </c>
      <c r="G38" s="2"/>
      <c r="H38" s="6"/>
      <c r="I38" s="2"/>
      <c r="J38" s="7">
        <f t="shared" si="32"/>
        <v>0</v>
      </c>
      <c r="K38" s="2"/>
      <c r="L38" s="6">
        <f t="shared" si="33"/>
        <v>0</v>
      </c>
      <c r="M38" s="2"/>
      <c r="N38" s="7">
        <f t="shared" si="34"/>
        <v>0</v>
      </c>
      <c r="O38" s="11"/>
      <c r="P38" s="6"/>
      <c r="Q38" s="2"/>
      <c r="R38" s="7">
        <f t="shared" si="35"/>
        <v>0</v>
      </c>
      <c r="S38" s="2"/>
      <c r="T38" s="6">
        <v>3.31</v>
      </c>
      <c r="U38" s="2"/>
      <c r="V38" s="7">
        <f t="shared" si="36"/>
        <v>1.3365798899239642E-3</v>
      </c>
      <c r="W38" s="2"/>
      <c r="X38" s="6">
        <f t="shared" si="37"/>
        <v>-3.31</v>
      </c>
      <c r="Y38" s="2"/>
      <c r="Z38" s="7">
        <f t="shared" si="38"/>
        <v>-1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25</v>
      </c>
      <c r="E39" s="1"/>
      <c r="F39" s="5">
        <f t="shared" si="31"/>
        <v>0</v>
      </c>
      <c r="G39" s="1"/>
      <c r="H39" s="1">
        <f>SUM(OSRRefH22_3x_0)</f>
        <v>205.09</v>
      </c>
      <c r="I39" s="1"/>
      <c r="J39" s="5">
        <f t="shared" si="32"/>
        <v>0</v>
      </c>
      <c r="K39" s="1"/>
      <c r="L39" s="1">
        <f t="shared" si="33"/>
        <v>-180.09</v>
      </c>
      <c r="M39" s="1"/>
      <c r="N39" s="5">
        <f t="shared" si="34"/>
        <v>-0.87810229655273297</v>
      </c>
      <c r="O39" s="14"/>
      <c r="P39" s="1">
        <f>SUM(OSRRefP22_3x_0)</f>
        <v>400.36</v>
      </c>
      <c r="Q39" s="1"/>
      <c r="R39" s="5">
        <f t="shared" si="35"/>
        <v>0</v>
      </c>
      <c r="S39" s="1"/>
      <c r="T39" s="1">
        <f>SUM(OSRRefT22_3x_0)</f>
        <v>399.33</v>
      </c>
      <c r="U39" s="1"/>
      <c r="V39" s="5">
        <f t="shared" si="36"/>
        <v>0.16124968200705034</v>
      </c>
      <c r="W39" s="1"/>
      <c r="X39" s="1">
        <f t="shared" si="37"/>
        <v>1.0300000000000296</v>
      </c>
      <c r="Y39" s="1"/>
      <c r="Z39" s="5">
        <f t="shared" si="38"/>
        <v>2.5793203616057635E-3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6">
        <v>25</v>
      </c>
      <c r="E40" s="2"/>
      <c r="F40" s="7">
        <f t="shared" si="31"/>
        <v>0</v>
      </c>
      <c r="G40" s="2"/>
      <c r="H40" s="6">
        <v>205.09</v>
      </c>
      <c r="I40" s="2"/>
      <c r="J40" s="7">
        <f t="shared" si="32"/>
        <v>0</v>
      </c>
      <c r="K40" s="2"/>
      <c r="L40" s="6">
        <f t="shared" si="33"/>
        <v>-180.09</v>
      </c>
      <c r="M40" s="2"/>
      <c r="N40" s="7">
        <f t="shared" si="34"/>
        <v>-0.87810229655273297</v>
      </c>
      <c r="O40" s="11"/>
      <c r="P40" s="6">
        <v>400.36</v>
      </c>
      <c r="Q40" s="2"/>
      <c r="R40" s="7">
        <f t="shared" si="35"/>
        <v>0</v>
      </c>
      <c r="S40" s="2"/>
      <c r="T40" s="6">
        <v>399.33</v>
      </c>
      <c r="U40" s="2"/>
      <c r="V40" s="7">
        <f t="shared" si="36"/>
        <v>0.16124968200705034</v>
      </c>
      <c r="W40" s="2"/>
      <c r="X40" s="6">
        <f t="shared" si="37"/>
        <v>1.0300000000000296</v>
      </c>
      <c r="Y40" s="2"/>
      <c r="Z40" s="7">
        <f t="shared" si="38"/>
        <v>2.5793203616057635E-3</v>
      </c>
    </row>
    <row r="41" spans="1:26" s="29" customFormat="1" outlineLevel="1" collapsed="1" x14ac:dyDescent="0.3">
      <c r="A41" s="28"/>
      <c r="B41" s="14" t="str">
        <f>CONCATENATE("     ","Depreciation                                      ")</f>
        <v xml:space="preserve">     Depreciation                                      </v>
      </c>
      <c r="C41" s="14"/>
      <c r="D41" s="1">
        <f>SUM(OSRRefD22_4x_0)</f>
        <v>264.60000000000002</v>
      </c>
      <c r="E41" s="1"/>
      <c r="F41" s="5">
        <f t="shared" si="31"/>
        <v>0</v>
      </c>
      <c r="G41" s="1"/>
      <c r="H41" s="1">
        <f>SUM(OSRRefH22_4x_0)</f>
        <v>1075.3699999999999</v>
      </c>
      <c r="I41" s="1"/>
      <c r="J41" s="5">
        <f t="shared" si="32"/>
        <v>0</v>
      </c>
      <c r="K41" s="1"/>
      <c r="L41" s="1">
        <f t="shared" si="33"/>
        <v>-810.76999999999987</v>
      </c>
      <c r="M41" s="1"/>
      <c r="N41" s="5">
        <f t="shared" si="34"/>
        <v>-0.753945153761031</v>
      </c>
      <c r="O41" s="14"/>
      <c r="P41" s="1">
        <f>SUM(OSRRefP22_4x_0)</f>
        <v>3755.36</v>
      </c>
      <c r="Q41" s="1"/>
      <c r="R41" s="5">
        <f t="shared" si="35"/>
        <v>0</v>
      </c>
      <c r="S41" s="1"/>
      <c r="T41" s="1">
        <f>SUM(OSRRefT22_4x_0)</f>
        <v>5376.85</v>
      </c>
      <c r="U41" s="1"/>
      <c r="V41" s="5">
        <f t="shared" si="36"/>
        <v>2.1711751000415913</v>
      </c>
      <c r="W41" s="1"/>
      <c r="X41" s="1">
        <f t="shared" si="37"/>
        <v>-1621.4900000000002</v>
      </c>
      <c r="Y41" s="1"/>
      <c r="Z41" s="5">
        <f t="shared" si="38"/>
        <v>-0.30156876237946012</v>
      </c>
    </row>
    <row r="42" spans="1:26" s="24" customFormat="1" hidden="1" outlineLevel="2" x14ac:dyDescent="0.3">
      <c r="A42" s="27"/>
      <c r="B42" s="11" t="str">
        <f>CONCATENATE("          ", "6322", " - ", "EQUIPMENT DEPRECIATION EXPENSE")</f>
        <v xml:space="preserve">          6322 - EQUIPMENT DEPRECIATION EXPENSE</v>
      </c>
      <c r="C42" s="11"/>
      <c r="D42" s="6">
        <v>264.60000000000002</v>
      </c>
      <c r="E42" s="2"/>
      <c r="F42" s="7">
        <f t="shared" si="31"/>
        <v>0</v>
      </c>
      <c r="G42" s="2"/>
      <c r="H42" s="6">
        <v>1075.3699999999999</v>
      </c>
      <c r="I42" s="2"/>
      <c r="J42" s="7">
        <f t="shared" si="32"/>
        <v>0</v>
      </c>
      <c r="K42" s="2"/>
      <c r="L42" s="6">
        <f t="shared" si="33"/>
        <v>-810.76999999999987</v>
      </c>
      <c r="M42" s="2"/>
      <c r="N42" s="7">
        <f t="shared" si="34"/>
        <v>-0.753945153761031</v>
      </c>
      <c r="O42" s="11"/>
      <c r="P42" s="6">
        <v>3755.36</v>
      </c>
      <c r="Q42" s="2"/>
      <c r="R42" s="7">
        <f t="shared" si="35"/>
        <v>0</v>
      </c>
      <c r="S42" s="2"/>
      <c r="T42" s="6">
        <v>5376.85</v>
      </c>
      <c r="U42" s="2"/>
      <c r="V42" s="7">
        <f t="shared" si="36"/>
        <v>2.1711751000415913</v>
      </c>
      <c r="W42" s="2"/>
      <c r="X42" s="6">
        <f t="shared" si="37"/>
        <v>-1621.4900000000002</v>
      </c>
      <c r="Y42" s="2"/>
      <c r="Z42" s="7">
        <f t="shared" si="38"/>
        <v>-0.30156876237946012</v>
      </c>
    </row>
    <row r="43" spans="1:26" s="29" customFormat="1" outlineLevel="1" collapsed="1" x14ac:dyDescent="0.3">
      <c r="A43" s="28"/>
      <c r="B43" s="14" t="str">
        <f>CONCATENATE("     ","General                                           ")</f>
        <v xml:space="preserve">     General                                           </v>
      </c>
      <c r="C43" s="14"/>
      <c r="D43" s="1">
        <f>SUM(OSRRefD22_5x_0)</f>
        <v>112.19</v>
      </c>
      <c r="E43" s="1"/>
      <c r="F43" s="5">
        <f t="shared" si="31"/>
        <v>0</v>
      </c>
      <c r="G43" s="1"/>
      <c r="H43" s="1">
        <f>SUM(OSRRefH22_5x_0)</f>
        <v>0</v>
      </c>
      <c r="I43" s="1"/>
      <c r="J43" s="5">
        <f t="shared" si="32"/>
        <v>0</v>
      </c>
      <c r="K43" s="1"/>
      <c r="L43" s="1">
        <f t="shared" si="33"/>
        <v>112.19</v>
      </c>
      <c r="M43" s="1"/>
      <c r="N43" s="5">
        <f t="shared" si="34"/>
        <v>0</v>
      </c>
      <c r="O43" s="14"/>
      <c r="P43" s="1">
        <f>SUM(OSRRefP22_5x_0)</f>
        <v>881.74</v>
      </c>
      <c r="Q43" s="1"/>
      <c r="R43" s="5">
        <f t="shared" si="35"/>
        <v>0</v>
      </c>
      <c r="S43" s="1"/>
      <c r="T43" s="1">
        <f>SUM(OSRRefT22_5x_0)</f>
        <v>754.55</v>
      </c>
      <c r="U43" s="1"/>
      <c r="V43" s="5">
        <f t="shared" si="36"/>
        <v>0.3046877208284372</v>
      </c>
      <c r="W43" s="1"/>
      <c r="X43" s="1">
        <f t="shared" si="37"/>
        <v>127.19000000000005</v>
      </c>
      <c r="Y43" s="1"/>
      <c r="Z43" s="5">
        <f t="shared" si="38"/>
        <v>0.16856404479491097</v>
      </c>
    </row>
    <row r="44" spans="1:26" s="24" customFormat="1" hidden="1" outlineLevel="2" x14ac:dyDescent="0.3">
      <c r="A44" s="27"/>
      <c r="B44" s="11" t="str">
        <f>CONCATENATE("          ", "6279", " - ", "GENERAL EXPENSE")</f>
        <v xml:space="preserve">          6279 - GENERAL EXPENSE</v>
      </c>
      <c r="C44" s="11"/>
      <c r="D44" s="6">
        <v>112.19</v>
      </c>
      <c r="E44" s="2"/>
      <c r="F44" s="7">
        <f t="shared" si="31"/>
        <v>0</v>
      </c>
      <c r="G44" s="2"/>
      <c r="H44" s="6"/>
      <c r="I44" s="2"/>
      <c r="J44" s="7">
        <f t="shared" si="32"/>
        <v>0</v>
      </c>
      <c r="K44" s="2"/>
      <c r="L44" s="6">
        <f t="shared" si="33"/>
        <v>112.19</v>
      </c>
      <c r="M44" s="2"/>
      <c r="N44" s="7">
        <f t="shared" si="34"/>
        <v>0</v>
      </c>
      <c r="O44" s="11"/>
      <c r="P44" s="6">
        <v>881.74</v>
      </c>
      <c r="Q44" s="2"/>
      <c r="R44" s="7">
        <f t="shared" si="35"/>
        <v>0</v>
      </c>
      <c r="S44" s="2"/>
      <c r="T44" s="6">
        <v>754.55</v>
      </c>
      <c r="U44" s="2"/>
      <c r="V44" s="7">
        <f t="shared" si="36"/>
        <v>0.3046877208284372</v>
      </c>
      <c r="W44" s="2"/>
      <c r="X44" s="6">
        <f t="shared" si="37"/>
        <v>127.19000000000005</v>
      </c>
      <c r="Y44" s="2"/>
      <c r="Z44" s="7">
        <f t="shared" si="38"/>
        <v>0.16856404479491097</v>
      </c>
    </row>
    <row r="45" spans="1:26" s="29" customFormat="1" outlineLevel="1" collapsed="1" x14ac:dyDescent="0.3">
      <c r="A45" s="28"/>
      <c r="B45" s="14" t="str">
        <f>CONCATENATE("     ","Repair and Maintenance                            ")</f>
        <v xml:space="preserve">     Repair and Maintenance                            </v>
      </c>
      <c r="C45" s="14"/>
      <c r="D45" s="1">
        <f>SUM(OSRRefD22_6x_0)</f>
        <v>0</v>
      </c>
      <c r="E45" s="1"/>
      <c r="F45" s="5">
        <f t="shared" si="31"/>
        <v>0</v>
      </c>
      <c r="G45" s="1"/>
      <c r="H45" s="1">
        <f>SUM(OSRRefH22_6x_0)</f>
        <v>0</v>
      </c>
      <c r="I45" s="1"/>
      <c r="J45" s="5">
        <f t="shared" si="32"/>
        <v>0</v>
      </c>
      <c r="K45" s="1"/>
      <c r="L45" s="1">
        <f t="shared" si="33"/>
        <v>0</v>
      </c>
      <c r="M45" s="1"/>
      <c r="N45" s="5">
        <f t="shared" si="34"/>
        <v>0</v>
      </c>
      <c r="O45" s="14"/>
      <c r="P45" s="1">
        <f>SUM(OSRRefP22_6x_0)</f>
        <v>47.9</v>
      </c>
      <c r="Q45" s="1"/>
      <c r="R45" s="5">
        <f t="shared" si="35"/>
        <v>0</v>
      </c>
      <c r="S45" s="1"/>
      <c r="T45" s="1">
        <f>SUM(OSRRefT22_6x_0)</f>
        <v>444.39</v>
      </c>
      <c r="U45" s="1"/>
      <c r="V45" s="5">
        <f t="shared" si="36"/>
        <v>0.17944493573513912</v>
      </c>
      <c r="W45" s="1"/>
      <c r="X45" s="1">
        <f t="shared" si="37"/>
        <v>-396.49</v>
      </c>
      <c r="Y45" s="1"/>
      <c r="Z45" s="5">
        <f t="shared" si="38"/>
        <v>-0.89221179594500333</v>
      </c>
    </row>
    <row r="46" spans="1:26" s="24" customFormat="1" hidden="1" outlineLevel="2" x14ac:dyDescent="0.3">
      <c r="A46" s="27"/>
      <c r="B46" s="11" t="str">
        <f>CONCATENATE("          ", "6373", " - ", "MAINTENANCE CONTRACTS")</f>
        <v xml:space="preserve">          6373 - MAINTENANCE CONTRACTS</v>
      </c>
      <c r="C46" s="11"/>
      <c r="D46" s="6"/>
      <c r="E46" s="2"/>
      <c r="F46" s="7">
        <f t="shared" si="31"/>
        <v>0</v>
      </c>
      <c r="G46" s="2"/>
      <c r="H46" s="6"/>
      <c r="I46" s="2"/>
      <c r="J46" s="7">
        <f t="shared" si="32"/>
        <v>0</v>
      </c>
      <c r="K46" s="2"/>
      <c r="L46" s="6">
        <f t="shared" si="33"/>
        <v>0</v>
      </c>
      <c r="M46" s="2"/>
      <c r="N46" s="7">
        <f t="shared" si="34"/>
        <v>0</v>
      </c>
      <c r="O46" s="11"/>
      <c r="P46" s="6">
        <v>47.9</v>
      </c>
      <c r="Q46" s="2"/>
      <c r="R46" s="7">
        <f t="shared" si="35"/>
        <v>0</v>
      </c>
      <c r="S46" s="2"/>
      <c r="T46" s="6">
        <v>126.83</v>
      </c>
      <c r="U46" s="2"/>
      <c r="V46" s="7">
        <f t="shared" si="36"/>
        <v>5.1214026416633349E-2</v>
      </c>
      <c r="W46" s="2"/>
      <c r="X46" s="6">
        <f t="shared" si="37"/>
        <v>-78.930000000000007</v>
      </c>
      <c r="Y46" s="2"/>
      <c r="Z46" s="7">
        <f t="shared" si="38"/>
        <v>-0.62232910194748881</v>
      </c>
    </row>
    <row r="47" spans="1:26" s="24" customFormat="1" hidden="1" outlineLevel="2" x14ac:dyDescent="0.3">
      <c r="A47" s="27"/>
      <c r="B47" s="11" t="str">
        <f>CONCATENATE("          ", "6375", " - ", "OUTSIDE REPAIRS &amp; MAINTENANCE")</f>
        <v xml:space="preserve">          6375 - OUTSIDE REPAIRS &amp; MAINTENANCE</v>
      </c>
      <c r="C47" s="11"/>
      <c r="D47" s="6"/>
      <c r="E47" s="2"/>
      <c r="F47" s="7">
        <f t="shared" si="31"/>
        <v>0</v>
      </c>
      <c r="G47" s="2"/>
      <c r="H47" s="6"/>
      <c r="I47" s="2"/>
      <c r="J47" s="7">
        <f t="shared" si="32"/>
        <v>0</v>
      </c>
      <c r="K47" s="2"/>
      <c r="L47" s="6">
        <f t="shared" si="33"/>
        <v>0</v>
      </c>
      <c r="M47" s="2"/>
      <c r="N47" s="7">
        <f t="shared" si="34"/>
        <v>0</v>
      </c>
      <c r="O47" s="11"/>
      <c r="P47" s="6"/>
      <c r="Q47" s="2"/>
      <c r="R47" s="7">
        <f t="shared" si="35"/>
        <v>0</v>
      </c>
      <c r="S47" s="2"/>
      <c r="T47" s="6">
        <v>317.56</v>
      </c>
      <c r="U47" s="2"/>
      <c r="V47" s="7">
        <f t="shared" si="36"/>
        <v>0.12823090931850575</v>
      </c>
      <c r="W47" s="2"/>
      <c r="X47" s="6">
        <f t="shared" si="37"/>
        <v>-317.56</v>
      </c>
      <c r="Y47" s="2"/>
      <c r="Z47" s="7">
        <f t="shared" si="38"/>
        <v>-1</v>
      </c>
    </row>
    <row r="48" spans="1:26" s="29" customFormat="1" outlineLevel="1" collapsed="1" x14ac:dyDescent="0.3">
      <c r="A48" s="28"/>
      <c r="B48" s="14" t="str">
        <f>CONCATENATE("     ","Royalty &amp; Commissions                             ")</f>
        <v xml:space="preserve">     Royalty &amp; Commissions                             </v>
      </c>
      <c r="C48" s="14"/>
      <c r="D48" s="1">
        <f>SUM(OSRRefD22_7x_0)</f>
        <v>0</v>
      </c>
      <c r="E48" s="1"/>
      <c r="F48" s="5">
        <f t="shared" ref="F48:F52" si="39">IF(D$12=0,0,D48/D$12)</f>
        <v>0</v>
      </c>
      <c r="G48" s="1"/>
      <c r="H48" s="1">
        <f>SUM(OSRRefH22_7x_0)</f>
        <v>0</v>
      </c>
      <c r="I48" s="1"/>
      <c r="J48" s="5">
        <f t="shared" ref="J48:J52" si="40">IF(H$12=0,0,H48/H$12)</f>
        <v>0</v>
      </c>
      <c r="K48" s="1"/>
      <c r="L48" s="1">
        <f t="shared" ref="L48:L52" si="41">+D48-H48</f>
        <v>0</v>
      </c>
      <c r="M48" s="1"/>
      <c r="N48" s="5">
        <f t="shared" ref="N48:N52" si="42">IF(H48=0,0,L48/H48)</f>
        <v>0</v>
      </c>
      <c r="O48" s="14"/>
      <c r="P48" s="1">
        <f>SUM(OSRRefP22_7x_0)</f>
        <v>0</v>
      </c>
      <c r="Q48" s="1"/>
      <c r="R48" s="5">
        <f t="shared" ref="R48:R52" si="43">IF(P$12=0,0,P48/P$12)</f>
        <v>0</v>
      </c>
      <c r="S48" s="1"/>
      <c r="T48" s="1">
        <f>SUM(OSRRefT22_7x_0)</f>
        <v>185.7</v>
      </c>
      <c r="U48" s="1"/>
      <c r="V48" s="5">
        <f t="shared" ref="V48:V52" si="44">IF(T$12=0,0,T48/T$12)</f>
        <v>7.4985766029873155E-2</v>
      </c>
      <c r="W48" s="1"/>
      <c r="X48" s="1">
        <f t="shared" ref="X48:X52" si="45">+P48-T48</f>
        <v>-185.7</v>
      </c>
      <c r="Y48" s="1"/>
      <c r="Z48" s="5">
        <f t="shared" ref="Z48:Z52" si="46">IF(T48=0,0,X48/T48)</f>
        <v>-1</v>
      </c>
    </row>
    <row r="49" spans="1:26" s="24" customFormat="1" hidden="1" outlineLevel="2" x14ac:dyDescent="0.3">
      <c r="A49" s="27"/>
      <c r="B49" s="11" t="str">
        <f>CONCATENATE("          ", "6254", " - ", "ROYALTY &amp; COMMISSIONS")</f>
        <v xml:space="preserve">          6254 - ROYALTY &amp; COMMISSIONS</v>
      </c>
      <c r="C49" s="11"/>
      <c r="D49" s="6"/>
      <c r="E49" s="2"/>
      <c r="F49" s="7">
        <f t="shared" si="39"/>
        <v>0</v>
      </c>
      <c r="G49" s="2"/>
      <c r="H49" s="6"/>
      <c r="I49" s="2"/>
      <c r="J49" s="7">
        <f t="shared" si="40"/>
        <v>0</v>
      </c>
      <c r="K49" s="2"/>
      <c r="L49" s="6">
        <f t="shared" si="41"/>
        <v>0</v>
      </c>
      <c r="M49" s="2"/>
      <c r="N49" s="7">
        <f t="shared" si="42"/>
        <v>0</v>
      </c>
      <c r="O49" s="11"/>
      <c r="P49" s="6"/>
      <c r="Q49" s="2"/>
      <c r="R49" s="7">
        <f t="shared" si="43"/>
        <v>0</v>
      </c>
      <c r="S49" s="2"/>
      <c r="T49" s="6">
        <v>185.7</v>
      </c>
      <c r="U49" s="2"/>
      <c r="V49" s="7">
        <f t="shared" si="44"/>
        <v>7.4985766029873155E-2</v>
      </c>
      <c r="W49" s="2"/>
      <c r="X49" s="6">
        <f t="shared" si="45"/>
        <v>-185.7</v>
      </c>
      <c r="Y49" s="2"/>
      <c r="Z49" s="7">
        <f t="shared" si="46"/>
        <v>-1</v>
      </c>
    </row>
    <row r="50" spans="1:26" s="29" customFormat="1" outlineLevel="1" collapsed="1" x14ac:dyDescent="0.3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SUM(OSRRefD22_8x_0)</f>
        <v>0</v>
      </c>
      <c r="E50" s="1"/>
      <c r="F50" s="5">
        <f t="shared" si="39"/>
        <v>0</v>
      </c>
      <c r="G50" s="1"/>
      <c r="H50" s="1">
        <f>SUM(OSRRefH22_8x_0)</f>
        <v>41</v>
      </c>
      <c r="I50" s="1"/>
      <c r="J50" s="5">
        <f t="shared" si="40"/>
        <v>0</v>
      </c>
      <c r="K50" s="1"/>
      <c r="L50" s="1">
        <f t="shared" si="41"/>
        <v>-41</v>
      </c>
      <c r="M50" s="1"/>
      <c r="N50" s="5">
        <f t="shared" si="42"/>
        <v>-1</v>
      </c>
      <c r="O50" s="14"/>
      <c r="P50" s="1">
        <f>SUM(OSRRefP22_8x_0)</f>
        <v>103.2</v>
      </c>
      <c r="Q50" s="1"/>
      <c r="R50" s="5">
        <f t="shared" si="43"/>
        <v>0</v>
      </c>
      <c r="S50" s="1"/>
      <c r="T50" s="1">
        <f>SUM(OSRRefT22_8x_0)</f>
        <v>-63.319999999999993</v>
      </c>
      <c r="U50" s="1"/>
      <c r="V50" s="5">
        <f t="shared" si="44"/>
        <v>-2.556865215407414E-2</v>
      </c>
      <c r="W50" s="1"/>
      <c r="X50" s="1">
        <f t="shared" si="45"/>
        <v>166.51999999999998</v>
      </c>
      <c r="Y50" s="1"/>
      <c r="Z50" s="5">
        <f t="shared" si="46"/>
        <v>-2.6298168035375871</v>
      </c>
    </row>
    <row r="51" spans="1:26" s="24" customFormat="1" hidden="1" outlineLevel="2" x14ac:dyDescent="0.3">
      <c r="A51" s="27"/>
      <c r="B51" s="11" t="str">
        <f>CONCATENATE("          ", "6282", " - ", "JANITORIAL/EXTERMINATOR EXPENS")</f>
        <v xml:space="preserve">          6282 - JANITORIAL/EXTERMINATOR EXPENS</v>
      </c>
      <c r="C51" s="11"/>
      <c r="D51" s="6"/>
      <c r="E51" s="2"/>
      <c r="F51" s="7">
        <f t="shared" si="39"/>
        <v>0</v>
      </c>
      <c r="G51" s="2"/>
      <c r="H51" s="6">
        <v>41</v>
      </c>
      <c r="I51" s="2"/>
      <c r="J51" s="7">
        <f t="shared" si="40"/>
        <v>0</v>
      </c>
      <c r="K51" s="2"/>
      <c r="L51" s="6">
        <f t="shared" si="41"/>
        <v>-41</v>
      </c>
      <c r="M51" s="2"/>
      <c r="N51" s="7">
        <f t="shared" si="42"/>
        <v>-1</v>
      </c>
      <c r="O51" s="11"/>
      <c r="P51" s="6"/>
      <c r="Q51" s="2"/>
      <c r="R51" s="7">
        <f t="shared" si="43"/>
        <v>0</v>
      </c>
      <c r="S51" s="2"/>
      <c r="T51" s="6">
        <v>82</v>
      </c>
      <c r="U51" s="2"/>
      <c r="V51" s="7">
        <f t="shared" si="44"/>
        <v>3.3111646819868598E-2</v>
      </c>
      <c r="W51" s="2"/>
      <c r="X51" s="6">
        <f t="shared" si="45"/>
        <v>-82</v>
      </c>
      <c r="Y51" s="2"/>
      <c r="Z51" s="7">
        <f t="shared" si="46"/>
        <v>-1</v>
      </c>
    </row>
    <row r="52" spans="1:26" s="24" customFormat="1" hidden="1" outlineLevel="2" x14ac:dyDescent="0.3">
      <c r="A52" s="27"/>
      <c r="B52" s="11" t="str">
        <f>CONCATENATE("          ", "6285", " - ", "JANITORIAL SERVICES")</f>
        <v xml:space="preserve">          6285 - JANITORIAL SERVICES</v>
      </c>
      <c r="C52" s="11"/>
      <c r="D52" s="6"/>
      <c r="E52" s="2"/>
      <c r="F52" s="7">
        <f t="shared" si="39"/>
        <v>0</v>
      </c>
      <c r="G52" s="2"/>
      <c r="H52" s="6"/>
      <c r="I52" s="2"/>
      <c r="J52" s="7">
        <f t="shared" si="40"/>
        <v>0</v>
      </c>
      <c r="K52" s="2"/>
      <c r="L52" s="6">
        <f t="shared" si="41"/>
        <v>0</v>
      </c>
      <c r="M52" s="2"/>
      <c r="N52" s="7">
        <f t="shared" si="42"/>
        <v>0</v>
      </c>
      <c r="O52" s="11"/>
      <c r="P52" s="6">
        <v>103.2</v>
      </c>
      <c r="Q52" s="2"/>
      <c r="R52" s="7">
        <f t="shared" si="43"/>
        <v>0</v>
      </c>
      <c r="S52" s="2"/>
      <c r="T52" s="6">
        <v>-145.32</v>
      </c>
      <c r="U52" s="2"/>
      <c r="V52" s="7">
        <f t="shared" si="44"/>
        <v>-5.8680298973942738E-2</v>
      </c>
      <c r="W52" s="2"/>
      <c r="X52" s="6">
        <f t="shared" si="45"/>
        <v>248.51999999999998</v>
      </c>
      <c r="Y52" s="2"/>
      <c r="Z52" s="7">
        <f t="shared" si="46"/>
        <v>-1.7101568951279933</v>
      </c>
    </row>
    <row r="53" spans="1:26" s="29" customFormat="1" outlineLevel="1" collapsed="1" x14ac:dyDescent="0.3">
      <c r="A53" s="28"/>
      <c r="B53" s="14" t="str">
        <f>CONCATENATE("     ","Supplies                                          ")</f>
        <v xml:space="preserve">     Supplies                                          </v>
      </c>
      <c r="C53" s="14"/>
      <c r="D53" s="1">
        <f>SUM(OSRRefD22_9x_0)</f>
        <v>0</v>
      </c>
      <c r="E53" s="1"/>
      <c r="F53" s="5">
        <f t="shared" ref="F53:F58" si="47">IF(D$12=0,0,D53/D$12)</f>
        <v>0</v>
      </c>
      <c r="G53" s="1"/>
      <c r="H53" s="1">
        <f>SUM(OSRRefH22_9x_0)</f>
        <v>0</v>
      </c>
      <c r="I53" s="1"/>
      <c r="J53" s="5">
        <f t="shared" ref="J53:J58" si="48">IF(H$12=0,0,H53/H$12)</f>
        <v>0</v>
      </c>
      <c r="K53" s="1"/>
      <c r="L53" s="1">
        <f t="shared" ref="L53:L58" si="49">+D53-H53</f>
        <v>0</v>
      </c>
      <c r="M53" s="1"/>
      <c r="N53" s="5">
        <f t="shared" ref="N53:N58" si="50">IF(H53=0,0,L53/H53)</f>
        <v>0</v>
      </c>
      <c r="O53" s="14"/>
      <c r="P53" s="1">
        <f>SUM(OSRRefP22_9x_0)</f>
        <v>1237.73</v>
      </c>
      <c r="Q53" s="1"/>
      <c r="R53" s="5">
        <f t="shared" ref="R53:R58" si="51">IF(P$12=0,0,P53/P$12)</f>
        <v>0</v>
      </c>
      <c r="S53" s="1"/>
      <c r="T53" s="1">
        <f>SUM(OSRRefT22_9x_0)</f>
        <v>328.55</v>
      </c>
      <c r="U53" s="1"/>
      <c r="V53" s="5">
        <f t="shared" ref="V53:V58" si="52">IF(T$12=0,0,T53/T$12)</f>
        <v>0.13266867759351011</v>
      </c>
      <c r="W53" s="1"/>
      <c r="X53" s="1">
        <f t="shared" ref="X53:X58" si="53">+P53-T53</f>
        <v>909.18000000000006</v>
      </c>
      <c r="Y53" s="1"/>
      <c r="Z53" s="5">
        <f t="shared" ref="Z53:Z58" si="54">IF(T53=0,0,X53/T53)</f>
        <v>2.7672500380459595</v>
      </c>
    </row>
    <row r="54" spans="1:26" s="24" customFormat="1" hidden="1" outlineLevel="2" x14ac:dyDescent="0.3">
      <c r="A54" s="27"/>
      <c r="B54" s="11" t="str">
        <f>CONCATENATE("          ", "6234", " - ", "EXPENDABLE SUPPLIES &amp; EQUIPMEN")</f>
        <v xml:space="preserve">          6234 - EXPENDABLE SUPPLIES &amp; EQUIPMEN</v>
      </c>
      <c r="C54" s="11"/>
      <c r="D54" s="6"/>
      <c r="E54" s="2"/>
      <c r="F54" s="7">
        <f t="shared" si="47"/>
        <v>0</v>
      </c>
      <c r="G54" s="2"/>
      <c r="H54" s="6"/>
      <c r="I54" s="2"/>
      <c r="J54" s="7">
        <f t="shared" si="48"/>
        <v>0</v>
      </c>
      <c r="K54" s="2"/>
      <c r="L54" s="6">
        <f t="shared" si="49"/>
        <v>0</v>
      </c>
      <c r="M54" s="2"/>
      <c r="N54" s="7">
        <f t="shared" si="50"/>
        <v>0</v>
      </c>
      <c r="O54" s="11"/>
      <c r="P54" s="6">
        <v>1194.8900000000001</v>
      </c>
      <c r="Q54" s="2"/>
      <c r="R54" s="7">
        <f t="shared" si="51"/>
        <v>0</v>
      </c>
      <c r="S54" s="2"/>
      <c r="T54" s="6"/>
      <c r="U54" s="2"/>
      <c r="V54" s="7">
        <f t="shared" si="52"/>
        <v>0</v>
      </c>
      <c r="W54" s="2"/>
      <c r="X54" s="6">
        <f t="shared" si="53"/>
        <v>1194.8900000000001</v>
      </c>
      <c r="Y54" s="2"/>
      <c r="Z54" s="7">
        <f t="shared" si="54"/>
        <v>0</v>
      </c>
    </row>
    <row r="55" spans="1:26" s="24" customFormat="1" hidden="1" outlineLevel="2" x14ac:dyDescent="0.3">
      <c r="A55" s="27"/>
      <c r="B55" s="11" t="str">
        <f>CONCATENATE("          ", "6235", " - ", "COVID-19 EXPENSES")</f>
        <v xml:space="preserve">          6235 - COVID-19 EXPENSES</v>
      </c>
      <c r="C55" s="11"/>
      <c r="D55" s="6"/>
      <c r="E55" s="2"/>
      <c r="F55" s="7">
        <f t="shared" si="47"/>
        <v>0</v>
      </c>
      <c r="G55" s="2"/>
      <c r="H55" s="6"/>
      <c r="I55" s="2"/>
      <c r="J55" s="7">
        <f t="shared" si="48"/>
        <v>0</v>
      </c>
      <c r="K55" s="2"/>
      <c r="L55" s="6">
        <f t="shared" si="49"/>
        <v>0</v>
      </c>
      <c r="M55" s="2"/>
      <c r="N55" s="7">
        <f t="shared" si="50"/>
        <v>0</v>
      </c>
      <c r="O55" s="11"/>
      <c r="P55" s="6"/>
      <c r="Q55" s="2"/>
      <c r="R55" s="7">
        <f t="shared" si="51"/>
        <v>0</v>
      </c>
      <c r="S55" s="2"/>
      <c r="T55" s="6">
        <v>207.27</v>
      </c>
      <c r="U55" s="2"/>
      <c r="V55" s="7">
        <f t="shared" si="52"/>
        <v>8.3695744345782502E-2</v>
      </c>
      <c r="W55" s="2"/>
      <c r="X55" s="6">
        <f t="shared" si="53"/>
        <v>-207.27</v>
      </c>
      <c r="Y55" s="2"/>
      <c r="Z55" s="7">
        <f t="shared" si="54"/>
        <v>-1</v>
      </c>
    </row>
    <row r="56" spans="1:26" s="24" customFormat="1" hidden="1" outlineLevel="2" x14ac:dyDescent="0.3">
      <c r="A56" s="27"/>
      <c r="B56" s="11" t="str">
        <f>CONCATENATE("          ", "6237", " - ", "JANITORIAL SUPPLIES")</f>
        <v xml:space="preserve">          6237 - JANITORIAL SUPPLIES</v>
      </c>
      <c r="C56" s="11"/>
      <c r="D56" s="6"/>
      <c r="E56" s="2"/>
      <c r="F56" s="7">
        <f t="shared" si="47"/>
        <v>0</v>
      </c>
      <c r="G56" s="2"/>
      <c r="H56" s="6"/>
      <c r="I56" s="2"/>
      <c r="J56" s="7">
        <f t="shared" si="48"/>
        <v>0</v>
      </c>
      <c r="K56" s="2"/>
      <c r="L56" s="6">
        <f t="shared" si="49"/>
        <v>0</v>
      </c>
      <c r="M56" s="2"/>
      <c r="N56" s="7">
        <f t="shared" si="50"/>
        <v>0</v>
      </c>
      <c r="O56" s="11"/>
      <c r="P56" s="6">
        <v>38.340000000000003</v>
      </c>
      <c r="Q56" s="2"/>
      <c r="R56" s="7">
        <f t="shared" si="51"/>
        <v>0</v>
      </c>
      <c r="S56" s="2"/>
      <c r="T56" s="6"/>
      <c r="U56" s="2"/>
      <c r="V56" s="7">
        <f t="shared" si="52"/>
        <v>0</v>
      </c>
      <c r="W56" s="2"/>
      <c r="X56" s="6">
        <f t="shared" si="53"/>
        <v>38.340000000000003</v>
      </c>
      <c r="Y56" s="2"/>
      <c r="Z56" s="7">
        <f t="shared" si="54"/>
        <v>0</v>
      </c>
    </row>
    <row r="57" spans="1:26" s="24" customFormat="1" hidden="1" outlineLevel="2" x14ac:dyDescent="0.3">
      <c r="A57" s="27"/>
      <c r="B57" s="11" t="str">
        <f>CONCATENATE("          ", "6241", " - ", "OFFICE EXPENSE")</f>
        <v xml:space="preserve">          6241 - OFFICE EXPENSE</v>
      </c>
      <c r="C57" s="11"/>
      <c r="D57" s="6"/>
      <c r="E57" s="2"/>
      <c r="F57" s="7">
        <f t="shared" si="47"/>
        <v>0</v>
      </c>
      <c r="G57" s="2"/>
      <c r="H57" s="6"/>
      <c r="I57" s="2"/>
      <c r="J57" s="7">
        <f t="shared" si="48"/>
        <v>0</v>
      </c>
      <c r="K57" s="2"/>
      <c r="L57" s="6">
        <f t="shared" si="49"/>
        <v>0</v>
      </c>
      <c r="M57" s="2"/>
      <c r="N57" s="7">
        <f t="shared" si="50"/>
        <v>0</v>
      </c>
      <c r="O57" s="11"/>
      <c r="P57" s="6">
        <v>4.5</v>
      </c>
      <c r="Q57" s="2"/>
      <c r="R57" s="7">
        <f t="shared" si="51"/>
        <v>0</v>
      </c>
      <c r="S57" s="2"/>
      <c r="T57" s="6"/>
      <c r="U57" s="2"/>
      <c r="V57" s="7">
        <f t="shared" si="52"/>
        <v>0</v>
      </c>
      <c r="W57" s="2"/>
      <c r="X57" s="6">
        <f t="shared" si="53"/>
        <v>4.5</v>
      </c>
      <c r="Y57" s="2"/>
      <c r="Z57" s="7">
        <f t="shared" si="54"/>
        <v>0</v>
      </c>
    </row>
    <row r="58" spans="1:26" s="24" customFormat="1" hidden="1" outlineLevel="2" x14ac:dyDescent="0.3">
      <c r="A58" s="27"/>
      <c r="B58" s="11" t="str">
        <f>CONCATENATE("          ", "6247", " - ", "STORE SUPPLIES")</f>
        <v xml:space="preserve">          6247 - STORE SUPPLIES</v>
      </c>
      <c r="C58" s="11"/>
      <c r="D58" s="6"/>
      <c r="E58" s="2"/>
      <c r="F58" s="7">
        <f t="shared" si="47"/>
        <v>0</v>
      </c>
      <c r="G58" s="2"/>
      <c r="H58" s="6"/>
      <c r="I58" s="2"/>
      <c r="J58" s="7">
        <f t="shared" si="48"/>
        <v>0</v>
      </c>
      <c r="K58" s="2"/>
      <c r="L58" s="6">
        <f t="shared" si="49"/>
        <v>0</v>
      </c>
      <c r="M58" s="2"/>
      <c r="N58" s="7">
        <f t="shared" si="50"/>
        <v>0</v>
      </c>
      <c r="O58" s="11"/>
      <c r="P58" s="6"/>
      <c r="Q58" s="2"/>
      <c r="R58" s="7">
        <f t="shared" si="51"/>
        <v>0</v>
      </c>
      <c r="S58" s="2"/>
      <c r="T58" s="6">
        <v>121.28</v>
      </c>
      <c r="U58" s="2"/>
      <c r="V58" s="7">
        <f t="shared" si="52"/>
        <v>4.8972933247727606E-2</v>
      </c>
      <c r="W58" s="2"/>
      <c r="X58" s="6">
        <f t="shared" si="53"/>
        <v>-121.28</v>
      </c>
      <c r="Y58" s="2"/>
      <c r="Z58" s="7">
        <f t="shared" si="54"/>
        <v>-1</v>
      </c>
    </row>
    <row r="59" spans="1:26" s="29" customFormat="1" outlineLevel="1" collapsed="1" x14ac:dyDescent="0.3">
      <c r="A59" s="28"/>
      <c r="B59" s="14" t="str">
        <f>CONCATENATE("     ","Telephone/Data Lines                              ")</f>
        <v xml:space="preserve">     Telephone/Data Lines                              </v>
      </c>
      <c r="C59" s="14"/>
      <c r="D59" s="1">
        <f>SUM(OSRRefD22_10x_0)</f>
        <v>0</v>
      </c>
      <c r="E59" s="1"/>
      <c r="F59" s="5">
        <f t="shared" ref="F59:F62" si="55">IF(D$12=0,0,D59/D$12)</f>
        <v>0</v>
      </c>
      <c r="G59" s="1"/>
      <c r="H59" s="1">
        <f>SUM(OSRRefH22_10x_0)</f>
        <v>101.5</v>
      </c>
      <c r="I59" s="1"/>
      <c r="J59" s="5">
        <f t="shared" ref="J59:J62" si="56">IF(H$12=0,0,H59/H$12)</f>
        <v>0</v>
      </c>
      <c r="K59" s="1"/>
      <c r="L59" s="1">
        <f t="shared" ref="L59:L62" si="57">+D59-H59</f>
        <v>-101.5</v>
      </c>
      <c r="M59" s="1"/>
      <c r="N59" s="5">
        <f t="shared" ref="N59:N62" si="58">IF(H59=0,0,L59/H59)</f>
        <v>-1</v>
      </c>
      <c r="O59" s="14"/>
      <c r="P59" s="1">
        <f>SUM(OSRRefP22_10x_0)</f>
        <v>184</v>
      </c>
      <c r="Q59" s="1"/>
      <c r="R59" s="5">
        <f t="shared" ref="R59:R62" si="59">IF(P$12=0,0,P59/P$12)</f>
        <v>0</v>
      </c>
      <c r="S59" s="1"/>
      <c r="T59" s="1">
        <f>SUM(OSRRefT22_10x_0)</f>
        <v>531</v>
      </c>
      <c r="U59" s="1"/>
      <c r="V59" s="5">
        <f t="shared" ref="V59:V62" si="60">IF(T$12=0,0,T59/T$12)</f>
        <v>0.21441810318719789</v>
      </c>
      <c r="W59" s="1"/>
      <c r="X59" s="1">
        <f t="shared" ref="X59:X62" si="61">+P59-T59</f>
        <v>-347</v>
      </c>
      <c r="Y59" s="1"/>
      <c r="Z59" s="5">
        <f t="shared" ref="Z59:Z62" si="62">IF(T59=0,0,X59/T59)</f>
        <v>-0.65348399246704336</v>
      </c>
    </row>
    <row r="60" spans="1:26" s="24" customFormat="1" hidden="1" outlineLevel="2" x14ac:dyDescent="0.3">
      <c r="A60" s="27"/>
      <c r="B60" s="11" t="str">
        <f>CONCATENATE("          ", "6309", " - ", "TELEPHONE")</f>
        <v xml:space="preserve">          6309 - TELEPHONE</v>
      </c>
      <c r="C60" s="11"/>
      <c r="D60" s="6">
        <v>0</v>
      </c>
      <c r="E60" s="2"/>
      <c r="F60" s="7">
        <f t="shared" si="55"/>
        <v>0</v>
      </c>
      <c r="G60" s="2"/>
      <c r="H60" s="6">
        <v>101.5</v>
      </c>
      <c r="I60" s="2"/>
      <c r="J60" s="7">
        <f t="shared" si="56"/>
        <v>0</v>
      </c>
      <c r="K60" s="2"/>
      <c r="L60" s="6">
        <f t="shared" si="57"/>
        <v>-101.5</v>
      </c>
      <c r="M60" s="2"/>
      <c r="N60" s="7">
        <f t="shared" si="58"/>
        <v>-1</v>
      </c>
      <c r="O60" s="11"/>
      <c r="P60" s="6">
        <v>184</v>
      </c>
      <c r="Q60" s="2"/>
      <c r="R60" s="7">
        <f t="shared" si="59"/>
        <v>0</v>
      </c>
      <c r="S60" s="2"/>
      <c r="T60" s="6">
        <v>531</v>
      </c>
      <c r="U60" s="2"/>
      <c r="V60" s="7">
        <f t="shared" si="60"/>
        <v>0.21441810318719789</v>
      </c>
      <c r="W60" s="2"/>
      <c r="X60" s="6">
        <f t="shared" si="61"/>
        <v>-347</v>
      </c>
      <c r="Y60" s="2"/>
      <c r="Z60" s="7">
        <f t="shared" si="62"/>
        <v>-0.65348399246704336</v>
      </c>
    </row>
    <row r="61" spans="1:26" s="29" customFormat="1" outlineLevel="1" collapsed="1" x14ac:dyDescent="0.3">
      <c r="A61" s="28"/>
      <c r="B61" s="14" t="str">
        <f>CONCATENATE("     ","Utilities                                         ")</f>
        <v xml:space="preserve">     Utilities                                         </v>
      </c>
      <c r="C61" s="14"/>
      <c r="D61" s="1">
        <f>SUM(OSRRefD22_11x_0)</f>
        <v>0</v>
      </c>
      <c r="E61" s="1"/>
      <c r="F61" s="5">
        <f t="shared" si="55"/>
        <v>0</v>
      </c>
      <c r="G61" s="1"/>
      <c r="H61" s="1">
        <f>SUM(OSRRefH22_11x_0)</f>
        <v>50</v>
      </c>
      <c r="I61" s="1"/>
      <c r="J61" s="5">
        <f t="shared" si="56"/>
        <v>0</v>
      </c>
      <c r="K61" s="1"/>
      <c r="L61" s="1">
        <f t="shared" si="57"/>
        <v>-50</v>
      </c>
      <c r="M61" s="1"/>
      <c r="N61" s="5">
        <f t="shared" si="58"/>
        <v>-1</v>
      </c>
      <c r="O61" s="14"/>
      <c r="P61" s="1">
        <f>SUM(OSRRefP22_11x_0)</f>
        <v>0</v>
      </c>
      <c r="Q61" s="1"/>
      <c r="R61" s="5">
        <f t="shared" si="59"/>
        <v>0</v>
      </c>
      <c r="S61" s="1"/>
      <c r="T61" s="1">
        <f>SUM(OSRRefT22_11x_0)</f>
        <v>250</v>
      </c>
      <c r="U61" s="1"/>
      <c r="V61" s="5">
        <f t="shared" si="60"/>
        <v>0.10095014274350182</v>
      </c>
      <c r="W61" s="1"/>
      <c r="X61" s="1">
        <f t="shared" si="61"/>
        <v>-250</v>
      </c>
      <c r="Y61" s="1"/>
      <c r="Z61" s="5">
        <f t="shared" si="62"/>
        <v>-1</v>
      </c>
    </row>
    <row r="62" spans="1:26" s="24" customFormat="1" hidden="1" outlineLevel="2" x14ac:dyDescent="0.3">
      <c r="A62" s="27"/>
      <c r="B62" s="11" t="str">
        <f>CONCATENATE("          ", "6274", " - ", "UTILITIES")</f>
        <v xml:space="preserve">          6274 - UTILITIES</v>
      </c>
      <c r="C62" s="11"/>
      <c r="D62" s="6"/>
      <c r="E62" s="2"/>
      <c r="F62" s="7">
        <f t="shared" si="55"/>
        <v>0</v>
      </c>
      <c r="G62" s="2"/>
      <c r="H62" s="6">
        <v>50</v>
      </c>
      <c r="I62" s="2"/>
      <c r="J62" s="7">
        <f t="shared" si="56"/>
        <v>0</v>
      </c>
      <c r="K62" s="2"/>
      <c r="L62" s="6">
        <f t="shared" si="57"/>
        <v>-50</v>
      </c>
      <c r="M62" s="2"/>
      <c r="N62" s="7">
        <f t="shared" si="58"/>
        <v>-1</v>
      </c>
      <c r="O62" s="11"/>
      <c r="P62" s="6"/>
      <c r="Q62" s="2"/>
      <c r="R62" s="7">
        <f t="shared" si="59"/>
        <v>0</v>
      </c>
      <c r="S62" s="2"/>
      <c r="T62" s="6">
        <v>250</v>
      </c>
      <c r="U62" s="2"/>
      <c r="V62" s="7">
        <f t="shared" si="60"/>
        <v>0.10095014274350182</v>
      </c>
      <c r="W62" s="2"/>
      <c r="X62" s="6">
        <f t="shared" si="61"/>
        <v>-250</v>
      </c>
      <c r="Y62" s="2"/>
      <c r="Z62" s="7">
        <f t="shared" si="62"/>
        <v>-1</v>
      </c>
    </row>
    <row r="63" spans="1:26" s="62" customFormat="1" x14ac:dyDescent="0.3">
      <c r="A63" s="37"/>
      <c r="B63" s="37"/>
      <c r="C63" s="37"/>
      <c r="D63" s="1"/>
      <c r="E63" s="1"/>
      <c r="F63" s="5"/>
      <c r="G63" s="1"/>
      <c r="H63" s="1"/>
      <c r="I63" s="1"/>
      <c r="J63" s="5"/>
      <c r="K63" s="1"/>
      <c r="L63" s="1"/>
      <c r="M63" s="1"/>
      <c r="N63" s="5"/>
      <c r="O63" s="37"/>
      <c r="P63" s="1"/>
      <c r="Q63" s="1"/>
      <c r="R63" s="5"/>
      <c r="S63" s="1"/>
      <c r="T63" s="1"/>
      <c r="U63" s="1"/>
      <c r="V63" s="5"/>
      <c r="W63" s="1"/>
      <c r="X63" s="1"/>
      <c r="Y63" s="1"/>
      <c r="Z63" s="5"/>
    </row>
    <row r="64" spans="1:26" s="23" customFormat="1" x14ac:dyDescent="0.3">
      <c r="A64" s="10"/>
      <c r="B64" s="26" t="s">
        <v>292</v>
      </c>
      <c r="C64" s="10"/>
      <c r="D64" s="4">
        <f>SUM(0)</f>
        <v>0</v>
      </c>
      <c r="E64" s="4"/>
      <c r="F64" s="12">
        <f>IF(D$12=0,0,D64/D$12)</f>
        <v>0</v>
      </c>
      <c r="G64" s="4"/>
      <c r="H64" s="4">
        <f>SUM(0)</f>
        <v>0</v>
      </c>
      <c r="I64" s="4"/>
      <c r="J64" s="12">
        <f>IF(H$12=0,0,H64/H$12)</f>
        <v>0</v>
      </c>
      <c r="K64" s="4"/>
      <c r="L64" s="4">
        <f>+D64-H64</f>
        <v>0</v>
      </c>
      <c r="M64" s="4"/>
      <c r="N64" s="12">
        <f>IF(H64=0,0,L64/H64)</f>
        <v>0</v>
      </c>
      <c r="O64" s="10"/>
      <c r="P64" s="4">
        <f>SUM(0)</f>
        <v>0</v>
      </c>
      <c r="Q64" s="4"/>
      <c r="R64" s="12">
        <f>IF(P$12=0,0,P64/P$12)</f>
        <v>0</v>
      </c>
      <c r="S64" s="4"/>
      <c r="T64" s="4">
        <f>SUM(0)</f>
        <v>0</v>
      </c>
      <c r="U64" s="4"/>
      <c r="V64" s="12">
        <f>IF(T$12=0,0,T64/T$12)</f>
        <v>0</v>
      </c>
      <c r="W64" s="4"/>
      <c r="X64" s="4">
        <f>+P64-T64</f>
        <v>0</v>
      </c>
      <c r="Y64" s="4"/>
      <c r="Z64" s="12">
        <f>IF(T64=0,0,X64/T64)</f>
        <v>0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5" t="s">
        <v>276</v>
      </c>
      <c r="C66" s="25"/>
      <c r="D66" s="21">
        <f>+D20-D22+D64</f>
        <v>-9740.8700000000008</v>
      </c>
      <c r="E66" s="13"/>
      <c r="F66" s="22">
        <f>IF(D$12=0,0,D66/D$12)</f>
        <v>0</v>
      </c>
      <c r="G66" s="13"/>
      <c r="H66" s="21">
        <f>+H20-H22+H64</f>
        <v>-4495.3099999999995</v>
      </c>
      <c r="I66" s="13"/>
      <c r="J66" s="22">
        <f>IF(H$12=0,0,H66/H$12)</f>
        <v>0</v>
      </c>
      <c r="K66" s="16"/>
      <c r="L66" s="21">
        <f>+D66-H66</f>
        <v>-5245.5600000000013</v>
      </c>
      <c r="M66" s="16"/>
      <c r="N66" s="22">
        <f>IF(H66=0,0,L66/H66)</f>
        <v>1.1668961651143084</v>
      </c>
      <c r="O66" s="26"/>
      <c r="P66" s="21">
        <f>+P20-P22+P64</f>
        <v>-16124.66</v>
      </c>
      <c r="Q66" s="13"/>
      <c r="R66" s="22">
        <f>IF(P$12=0,0,P66/P$12)</f>
        <v>0</v>
      </c>
      <c r="S66" s="13"/>
      <c r="T66" s="21">
        <f>+T20-T22+T64</f>
        <v>-29456.820000000003</v>
      </c>
      <c r="U66" s="13"/>
      <c r="V66" s="22">
        <f>IF(T$12=0,0,T66/T$12)</f>
        <v>-11.894680735078559</v>
      </c>
      <c r="W66" s="16"/>
      <c r="X66" s="21">
        <f>+P66-T66</f>
        <v>13332.160000000003</v>
      </c>
      <c r="Y66" s="16"/>
      <c r="Z66" s="22">
        <f>IF(T66=0,0,X66/T66)</f>
        <v>-0.45260011094205016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>
        <v>-142.94999999999999</v>
      </c>
      <c r="I68" s="4"/>
      <c r="J68" s="12">
        <f>IF(H$12=0,0,H68/H$12)</f>
        <v>0</v>
      </c>
      <c r="K68" s="4"/>
      <c r="L68" s="4">
        <f>+D68-H68</f>
        <v>142.94999999999999</v>
      </c>
      <c r="M68" s="4"/>
      <c r="N68" s="12">
        <f>IF(H68=0,0,L68/H68)</f>
        <v>-1</v>
      </c>
      <c r="O68" s="10"/>
      <c r="P68" s="4"/>
      <c r="Q68" s="4"/>
      <c r="R68" s="12">
        <f>IF(P$12=0,0,P68/P$12)</f>
        <v>0</v>
      </c>
      <c r="S68" s="4"/>
      <c r="T68" s="4">
        <v>393.51</v>
      </c>
      <c r="U68" s="4"/>
      <c r="V68" s="12">
        <f>IF(T$12=0,0,T68/T$12)</f>
        <v>0.15889956268398162</v>
      </c>
      <c r="W68" s="4"/>
      <c r="X68" s="4">
        <f>+P68-T68</f>
        <v>-393.51</v>
      </c>
      <c r="Y68" s="4"/>
      <c r="Z68" s="12">
        <f>IF(T68=0,0,X68/T68)</f>
        <v>-1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125</v>
      </c>
      <c r="C70" s="25"/>
      <c r="D70" s="35">
        <f>+D66-D68</f>
        <v>-9740.8700000000008</v>
      </c>
      <c r="E70" s="13"/>
      <c r="F70" s="31">
        <f>IF(D$12=0,0,D70/D$12)</f>
        <v>0</v>
      </c>
      <c r="G70" s="13"/>
      <c r="H70" s="35">
        <f>+H66-H68</f>
        <v>-4352.3599999999997</v>
      </c>
      <c r="I70" s="13"/>
      <c r="J70" s="31">
        <f>IF(H$12=0,0,H70/H$12)</f>
        <v>0</v>
      </c>
      <c r="K70" s="16"/>
      <c r="L70" s="35">
        <f>D70-H70</f>
        <v>-5388.5100000000011</v>
      </c>
      <c r="M70" s="16"/>
      <c r="N70" s="31">
        <f>IF(H70=0,0,L70/H70)</f>
        <v>1.2380662445202146</v>
      </c>
      <c r="O70" s="26"/>
      <c r="P70" s="35">
        <f>+P66-P68</f>
        <v>-16124.66</v>
      </c>
      <c r="Q70" s="13"/>
      <c r="R70" s="31">
        <f>IF(P$12=0,0,P70/P$12)</f>
        <v>0</v>
      </c>
      <c r="S70" s="13"/>
      <c r="T70" s="35">
        <f>+T66-T68</f>
        <v>-29850.33</v>
      </c>
      <c r="U70" s="13"/>
      <c r="V70" s="31">
        <f>IF(T$12=0,0,T70/T$12)</f>
        <v>-12.05358029776254</v>
      </c>
      <c r="W70" s="16"/>
      <c r="X70" s="35">
        <f>P70-T70</f>
        <v>13725.670000000002</v>
      </c>
      <c r="Y70" s="16"/>
      <c r="Z70" s="31">
        <f>IF(T70=0,0,X70/T70)</f>
        <v>-0.45981635713910035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5" t="s">
        <v>293</v>
      </c>
      <c r="C73" s="25"/>
      <c r="D73" s="36">
        <f>SUM(D70:D72)</f>
        <v>-9740.8700000000008</v>
      </c>
      <c r="E73" s="13"/>
      <c r="F73" s="33">
        <f>IF(D$12=0,0,D73/D$12)</f>
        <v>0</v>
      </c>
      <c r="G73" s="13"/>
      <c r="H73" s="36">
        <f>SUM(H70:H72)</f>
        <v>-4352.3599999999997</v>
      </c>
      <c r="I73" s="13"/>
      <c r="J73" s="33">
        <f>IF(H$12=0,0,H73/H$12)</f>
        <v>0</v>
      </c>
      <c r="K73" s="16"/>
      <c r="L73" s="36">
        <f>+D73-H73</f>
        <v>-5388.5100000000011</v>
      </c>
      <c r="M73" s="16"/>
      <c r="N73" s="33">
        <f>IF(H73=0,0,L73/H73)</f>
        <v>1.2380662445202146</v>
      </c>
      <c r="O73" s="26"/>
      <c r="P73" s="36">
        <f>SUM(P70:P72)</f>
        <v>-16124.66</v>
      </c>
      <c r="Q73" s="13"/>
      <c r="R73" s="33">
        <f>IF(P$12=0,0,P73/P$12)</f>
        <v>0</v>
      </c>
      <c r="S73" s="13"/>
      <c r="T73" s="36">
        <f>SUM(T70:T72)</f>
        <v>-29850.33</v>
      </c>
      <c r="U73" s="13"/>
      <c r="V73" s="33">
        <f>IF(T$12=0,0,T73/T$12)</f>
        <v>-12.05358029776254</v>
      </c>
      <c r="W73" s="16"/>
      <c r="X73" s="36">
        <f>+P73-T73</f>
        <v>13725.670000000002</v>
      </c>
      <c r="Y73" s="16"/>
      <c r="Z73" s="33">
        <f>IF(T73=0,0,X73/T73)</f>
        <v>-0.45981635713910035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2">
        <v>44543.765594675926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9" t="s">
        <v>56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61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92D050"/>
    <outlinePr summaryBelow="0" summaryRight="0"/>
  </sheetPr>
  <dimension ref="A2:Z5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","322", " - ", "Beach Hut")</f>
        <v>Department 322 - Beach Hut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0</v>
      </c>
      <c r="Q14" s="4"/>
      <c r="R14" s="12">
        <f t="shared" ref="R14:R15" si="4">IF(P$12=0,0,P14/P$12)</f>
        <v>0</v>
      </c>
      <c r="S14" s="4"/>
      <c r="T14" s="4">
        <f>SUM(OSRRefT16x_0)</f>
        <v>-1222.33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1222.33</v>
      </c>
      <c r="Y14" s="4"/>
      <c r="Z14" s="12">
        <f t="shared" ref="Z14:Z15" si="7">IF(T14=0,0,X14/T14)</f>
        <v>-1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/>
      <c r="Q15" s="2"/>
      <c r="R15" s="19">
        <f t="shared" si="4"/>
        <v>0</v>
      </c>
      <c r="S15" s="2"/>
      <c r="T15" s="2">
        <v>-1222.33</v>
      </c>
      <c r="U15" s="2"/>
      <c r="V15" s="19">
        <f t="shared" si="5"/>
        <v>0</v>
      </c>
      <c r="W15" s="2"/>
      <c r="X15" s="2">
        <f t="shared" si="6"/>
        <v>1222.33</v>
      </c>
      <c r="Y15" s="2"/>
      <c r="Z15" s="19">
        <f t="shared" si="7"/>
        <v>-1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0</v>
      </c>
      <c r="Q17" s="13"/>
      <c r="R17" s="22">
        <f>IF(P$12=0,0,P17/P$12)</f>
        <v>0</v>
      </c>
      <c r="S17" s="13"/>
      <c r="T17" s="21">
        <f>T12-T14</f>
        <v>1222.33</v>
      </c>
      <c r="U17" s="13"/>
      <c r="V17" s="22">
        <f>IF(T$12=0,0,T17/T$12)</f>
        <v>0</v>
      </c>
      <c r="W17" s="16"/>
      <c r="X17" s="21">
        <f>+P17-T17</f>
        <v>-1222.33</v>
      </c>
      <c r="Y17" s="16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0</v>
      </c>
      <c r="E19" s="20"/>
      <c r="F19" s="32">
        <f t="shared" ref="F19:F25" si="8">IF(D$12=0,0,D19/D$12)</f>
        <v>0</v>
      </c>
      <c r="G19" s="20"/>
      <c r="H19" s="20">
        <f>SUM(OSRRefH22x_0)</f>
        <v>2225.34</v>
      </c>
      <c r="I19" s="20"/>
      <c r="J19" s="32">
        <f t="shared" ref="J19:J25" si="9">IF(H$12=0,0,H19/H$12)</f>
        <v>0</v>
      </c>
      <c r="K19" s="4"/>
      <c r="L19" s="20">
        <f t="shared" ref="L19:L25" si="10">+D19-H19</f>
        <v>-2225.34</v>
      </c>
      <c r="M19" s="4"/>
      <c r="N19" s="32">
        <f t="shared" ref="N19:N25" si="11">IF(H19=0,0,L19/H19)</f>
        <v>-1</v>
      </c>
      <c r="O19" s="10"/>
      <c r="P19" s="20">
        <f>SUM(OSRRefP22x_0)</f>
        <v>0</v>
      </c>
      <c r="Q19" s="20"/>
      <c r="R19" s="32">
        <f t="shared" ref="R19:R25" si="12">IF(P$12=0,0,P19/P$12)</f>
        <v>0</v>
      </c>
      <c r="S19" s="20"/>
      <c r="T19" s="20">
        <f>SUM(OSRRefT22x_0)</f>
        <v>13492.6</v>
      </c>
      <c r="U19" s="20"/>
      <c r="V19" s="32">
        <f t="shared" ref="V19:V25" si="13">IF(T$12=0,0,T19/T$12)</f>
        <v>0</v>
      </c>
      <c r="W19" s="4"/>
      <c r="X19" s="20">
        <f t="shared" ref="X19:X25" si="14">+P19-T19</f>
        <v>-13492.6</v>
      </c>
      <c r="Y19" s="4"/>
      <c r="Z19" s="32">
        <f t="shared" ref="Z19:Z25" si="15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8"/>
        <v>0</v>
      </c>
      <c r="G20" s="1"/>
      <c r="H20" s="1">
        <f>SUM(OSRRefH22_0x_0)</f>
        <v>0</v>
      </c>
      <c r="I20" s="1"/>
      <c r="J20" s="5">
        <f t="shared" si="9"/>
        <v>0</v>
      </c>
      <c r="K20" s="1"/>
      <c r="L20" s="1">
        <f t="shared" si="10"/>
        <v>0</v>
      </c>
      <c r="M20" s="1"/>
      <c r="N20" s="5">
        <f t="shared" si="11"/>
        <v>0</v>
      </c>
      <c r="O20" s="14"/>
      <c r="P20" s="1">
        <f>SUM(OSRRefP22_0x_0)</f>
        <v>0</v>
      </c>
      <c r="Q20" s="1"/>
      <c r="R20" s="5">
        <f t="shared" si="12"/>
        <v>0</v>
      </c>
      <c r="S20" s="1"/>
      <c r="T20" s="1">
        <f>SUM(OSRRefT22_0x_0)</f>
        <v>1595.9699999999998</v>
      </c>
      <c r="U20" s="1"/>
      <c r="V20" s="5">
        <f t="shared" si="13"/>
        <v>0</v>
      </c>
      <c r="W20" s="1"/>
      <c r="X20" s="1">
        <f t="shared" si="14"/>
        <v>-1595.9699999999998</v>
      </c>
      <c r="Y20" s="1"/>
      <c r="Z20" s="5">
        <f t="shared" si="15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8"/>
        <v>0</v>
      </c>
      <c r="G21" s="2"/>
      <c r="H21" s="6"/>
      <c r="I21" s="2"/>
      <c r="J21" s="7">
        <f t="shared" si="9"/>
        <v>0</v>
      </c>
      <c r="K21" s="2"/>
      <c r="L21" s="6">
        <f t="shared" si="10"/>
        <v>0</v>
      </c>
      <c r="M21" s="2"/>
      <c r="N21" s="7">
        <f t="shared" si="11"/>
        <v>0</v>
      </c>
      <c r="O21" s="11"/>
      <c r="P21" s="6"/>
      <c r="Q21" s="2"/>
      <c r="R21" s="7">
        <f t="shared" si="12"/>
        <v>0</v>
      </c>
      <c r="S21" s="2"/>
      <c r="T21" s="6">
        <v>159.12</v>
      </c>
      <c r="U21" s="2"/>
      <c r="V21" s="7">
        <f t="shared" si="13"/>
        <v>0</v>
      </c>
      <c r="W21" s="2"/>
      <c r="X21" s="6">
        <f t="shared" si="14"/>
        <v>-159.12</v>
      </c>
      <c r="Y21" s="2"/>
      <c r="Z21" s="7">
        <f t="shared" si="15"/>
        <v>-1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/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0</v>
      </c>
      <c r="M22" s="2"/>
      <c r="N22" s="7">
        <f t="shared" si="11"/>
        <v>0</v>
      </c>
      <c r="O22" s="11"/>
      <c r="P22" s="6"/>
      <c r="Q22" s="2"/>
      <c r="R22" s="7">
        <f t="shared" si="12"/>
        <v>0</v>
      </c>
      <c r="S22" s="2"/>
      <c r="T22" s="6">
        <v>683.68</v>
      </c>
      <c r="U22" s="2"/>
      <c r="V22" s="7">
        <f t="shared" si="13"/>
        <v>0</v>
      </c>
      <c r="W22" s="2"/>
      <c r="X22" s="6">
        <f t="shared" si="14"/>
        <v>-683.68</v>
      </c>
      <c r="Y22" s="2"/>
      <c r="Z22" s="7">
        <f t="shared" si="15"/>
        <v>-1</v>
      </c>
    </row>
    <row r="23" spans="1:26" s="24" customFormat="1" hidden="1" outlineLevel="2" x14ac:dyDescent="0.3">
      <c r="A23" s="27"/>
      <c r="B23" s="11" t="str">
        <f>CONCATENATE("          ", "6115", " - ", "P.E.R.S.")</f>
        <v xml:space="preserve">          6115 - P.E.R.S.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/>
      <c r="Q23" s="2"/>
      <c r="R23" s="7">
        <f t="shared" si="12"/>
        <v>0</v>
      </c>
      <c r="S23" s="2"/>
      <c r="T23" s="6">
        <v>321.57</v>
      </c>
      <c r="U23" s="2"/>
      <c r="V23" s="7">
        <f t="shared" si="13"/>
        <v>0</v>
      </c>
      <c r="W23" s="2"/>
      <c r="X23" s="6">
        <f t="shared" si="14"/>
        <v>-321.57</v>
      </c>
      <c r="Y23" s="2"/>
      <c r="Z23" s="7">
        <f t="shared" si="15"/>
        <v>-1</v>
      </c>
    </row>
    <row r="24" spans="1:26" s="24" customFormat="1" hidden="1" outlineLevel="2" x14ac:dyDescent="0.3">
      <c r="A24" s="27"/>
      <c r="B24" s="11" t="str">
        <f>CONCATENATE("          ", "6118", " - ", "VACATION")</f>
        <v xml:space="preserve">          6118 - VACATION</v>
      </c>
      <c r="C24" s="11"/>
      <c r="D24" s="6"/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0</v>
      </c>
      <c r="M24" s="2"/>
      <c r="N24" s="7">
        <f t="shared" si="11"/>
        <v>0</v>
      </c>
      <c r="O24" s="11"/>
      <c r="P24" s="6"/>
      <c r="Q24" s="2"/>
      <c r="R24" s="7">
        <f t="shared" si="12"/>
        <v>0</v>
      </c>
      <c r="S24" s="2"/>
      <c r="T24" s="6">
        <v>239.72</v>
      </c>
      <c r="U24" s="2"/>
      <c r="V24" s="7">
        <f t="shared" si="13"/>
        <v>0</v>
      </c>
      <c r="W24" s="2"/>
      <c r="X24" s="6">
        <f t="shared" si="14"/>
        <v>-239.72</v>
      </c>
      <c r="Y24" s="2"/>
      <c r="Z24" s="7">
        <f t="shared" si="15"/>
        <v>-1</v>
      </c>
    </row>
    <row r="25" spans="1:26" s="24" customFormat="1" hidden="1" outlineLevel="2" x14ac:dyDescent="0.3">
      <c r="A25" s="27"/>
      <c r="B25" s="11" t="str">
        <f>CONCATENATE("          ", "6119", " - ", "SICK LEAVE")</f>
        <v xml:space="preserve">          6119 - SICK LEAVE</v>
      </c>
      <c r="C25" s="11"/>
      <c r="D25" s="6"/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0</v>
      </c>
      <c r="M25" s="2"/>
      <c r="N25" s="7">
        <f t="shared" si="11"/>
        <v>0</v>
      </c>
      <c r="O25" s="11"/>
      <c r="P25" s="6"/>
      <c r="Q25" s="2"/>
      <c r="R25" s="7">
        <f t="shared" si="12"/>
        <v>0</v>
      </c>
      <c r="S25" s="2"/>
      <c r="T25" s="6">
        <v>191.88</v>
      </c>
      <c r="U25" s="2"/>
      <c r="V25" s="7">
        <f t="shared" si="13"/>
        <v>0</v>
      </c>
      <c r="W25" s="2"/>
      <c r="X25" s="6">
        <f t="shared" si="14"/>
        <v>-191.88</v>
      </c>
      <c r="Y25" s="2"/>
      <c r="Z25" s="7">
        <f t="shared" si="15"/>
        <v>-1</v>
      </c>
    </row>
    <row r="26" spans="1:26" s="29" customFormat="1" outlineLevel="1" collapsed="1" x14ac:dyDescent="0.3">
      <c r="A26" s="28"/>
      <c r="B26" s="14" t="str">
        <f>CONCATENATE("     ","*Payroll                                          ")</f>
        <v xml:space="preserve">     *Payroll                                          </v>
      </c>
      <c r="C26" s="14"/>
      <c r="D26" s="1">
        <f>SUM(OSRRefD22_1x_0)</f>
        <v>0</v>
      </c>
      <c r="E26" s="1"/>
      <c r="F26" s="5">
        <f t="shared" ref="F26:F34" si="16">IF(D$12=0,0,D26/D$12)</f>
        <v>0</v>
      </c>
      <c r="G26" s="1"/>
      <c r="H26" s="1">
        <f>SUM(OSRRefH22_1x_0)</f>
        <v>0</v>
      </c>
      <c r="I26" s="1"/>
      <c r="J26" s="5">
        <f t="shared" ref="J26:J34" si="17">IF(H$12=0,0,H26/H$12)</f>
        <v>0</v>
      </c>
      <c r="K26" s="1"/>
      <c r="L26" s="1">
        <f t="shared" ref="L26:L34" si="18">+D26-H26</f>
        <v>0</v>
      </c>
      <c r="M26" s="1"/>
      <c r="N26" s="5">
        <f t="shared" ref="N26:N34" si="19">IF(H26=0,0,L26/H26)</f>
        <v>0</v>
      </c>
      <c r="O26" s="14"/>
      <c r="P26" s="1">
        <f>SUM(OSRRefP22_1x_0)</f>
        <v>0</v>
      </c>
      <c r="Q26" s="1"/>
      <c r="R26" s="5">
        <f t="shared" ref="R26:R34" si="20">IF(P$12=0,0,P26/P$12)</f>
        <v>0</v>
      </c>
      <c r="S26" s="1"/>
      <c r="T26" s="1">
        <f>SUM(OSRRefT22_1x_0)</f>
        <v>2080</v>
      </c>
      <c r="U26" s="1"/>
      <c r="V26" s="5">
        <f t="shared" ref="V26:V34" si="21">IF(T$12=0,0,T26/T$12)</f>
        <v>0</v>
      </c>
      <c r="W26" s="1"/>
      <c r="X26" s="1">
        <f t="shared" ref="X26:X34" si="22">+P26-T26</f>
        <v>-2080</v>
      </c>
      <c r="Y26" s="1"/>
      <c r="Z26" s="5">
        <f t="shared" ref="Z26:Z34" si="23">IF(T26=0,0,X26/T26)</f>
        <v>-1</v>
      </c>
    </row>
    <row r="27" spans="1:26" s="24" customFormat="1" hidden="1" outlineLevel="2" x14ac:dyDescent="0.3">
      <c r="A27" s="27"/>
      <c r="B27" s="11" t="str">
        <f>CONCATENATE("          ", "6002", " - ", "STAFF SALARIES")</f>
        <v xml:space="preserve">          6002 - STAFF SALARIES</v>
      </c>
      <c r="C27" s="11"/>
      <c r="D27" s="6"/>
      <c r="E27" s="2"/>
      <c r="F27" s="7">
        <f t="shared" si="16"/>
        <v>0</v>
      </c>
      <c r="G27" s="2"/>
      <c r="H27" s="6"/>
      <c r="I27" s="2"/>
      <c r="J27" s="7">
        <f t="shared" si="17"/>
        <v>0</v>
      </c>
      <c r="K27" s="2"/>
      <c r="L27" s="6">
        <f t="shared" si="18"/>
        <v>0</v>
      </c>
      <c r="M27" s="2"/>
      <c r="N27" s="7">
        <f t="shared" si="19"/>
        <v>0</v>
      </c>
      <c r="O27" s="11"/>
      <c r="P27" s="6"/>
      <c r="Q27" s="2"/>
      <c r="R27" s="7">
        <f t="shared" si="20"/>
        <v>0</v>
      </c>
      <c r="S27" s="2"/>
      <c r="T27" s="6">
        <v>2080</v>
      </c>
      <c r="U27" s="2"/>
      <c r="V27" s="7">
        <f t="shared" si="21"/>
        <v>0</v>
      </c>
      <c r="W27" s="2"/>
      <c r="X27" s="6">
        <f t="shared" si="22"/>
        <v>-2080</v>
      </c>
      <c r="Y27" s="2"/>
      <c r="Z27" s="7">
        <f t="shared" si="23"/>
        <v>-1</v>
      </c>
    </row>
    <row r="28" spans="1:26" s="29" customFormat="1" outlineLevel="1" collapsed="1" x14ac:dyDescent="0.3">
      <c r="A28" s="28"/>
      <c r="B28" s="14" t="str">
        <f>CONCATENATE("     ","Depreciation                                      ")</f>
        <v xml:space="preserve">     Depreciation                                      </v>
      </c>
      <c r="C28" s="14"/>
      <c r="D28" s="1">
        <f>SUM(OSRRefD22_2x_0)</f>
        <v>0</v>
      </c>
      <c r="E28" s="1"/>
      <c r="F28" s="5">
        <f t="shared" si="16"/>
        <v>0</v>
      </c>
      <c r="G28" s="1"/>
      <c r="H28" s="1">
        <f>SUM(OSRRefH22_2x_0)</f>
        <v>2017.34</v>
      </c>
      <c r="I28" s="1"/>
      <c r="J28" s="5">
        <f t="shared" si="17"/>
        <v>0</v>
      </c>
      <c r="K28" s="1"/>
      <c r="L28" s="1">
        <f t="shared" si="18"/>
        <v>-2017.34</v>
      </c>
      <c r="M28" s="1"/>
      <c r="N28" s="5">
        <f t="shared" si="19"/>
        <v>-1</v>
      </c>
      <c r="O28" s="14"/>
      <c r="P28" s="1">
        <f>SUM(OSRRefP22_2x_0)</f>
        <v>0</v>
      </c>
      <c r="Q28" s="1"/>
      <c r="R28" s="5">
        <f t="shared" si="20"/>
        <v>0</v>
      </c>
      <c r="S28" s="1"/>
      <c r="T28" s="1">
        <f>SUM(OSRRefT22_2x_0)</f>
        <v>10086.700000000001</v>
      </c>
      <c r="U28" s="1"/>
      <c r="V28" s="5">
        <f t="shared" si="21"/>
        <v>0</v>
      </c>
      <c r="W28" s="1"/>
      <c r="X28" s="1">
        <f t="shared" si="22"/>
        <v>-10086.700000000001</v>
      </c>
      <c r="Y28" s="1"/>
      <c r="Z28" s="5">
        <f t="shared" si="23"/>
        <v>-1</v>
      </c>
    </row>
    <row r="29" spans="1:26" s="24" customFormat="1" hidden="1" outlineLevel="2" x14ac:dyDescent="0.3">
      <c r="A29" s="27"/>
      <c r="B29" s="11" t="str">
        <f>CONCATENATE("          ", "6322", " - ", "EQUIPMENT DEPRECIATION EXPENSE")</f>
        <v xml:space="preserve">          6322 - EQUIPMENT DEPRECIATION EXPENSE</v>
      </c>
      <c r="C29" s="11"/>
      <c r="D29" s="6"/>
      <c r="E29" s="2"/>
      <c r="F29" s="7">
        <f t="shared" si="16"/>
        <v>0</v>
      </c>
      <c r="G29" s="2"/>
      <c r="H29" s="6">
        <v>2017.34</v>
      </c>
      <c r="I29" s="2"/>
      <c r="J29" s="7">
        <f t="shared" si="17"/>
        <v>0</v>
      </c>
      <c r="K29" s="2"/>
      <c r="L29" s="6">
        <f t="shared" si="18"/>
        <v>-2017.34</v>
      </c>
      <c r="M29" s="2"/>
      <c r="N29" s="7">
        <f t="shared" si="19"/>
        <v>-1</v>
      </c>
      <c r="O29" s="11"/>
      <c r="P29" s="6"/>
      <c r="Q29" s="2"/>
      <c r="R29" s="7">
        <f t="shared" si="20"/>
        <v>0</v>
      </c>
      <c r="S29" s="2"/>
      <c r="T29" s="6">
        <v>10086.700000000001</v>
      </c>
      <c r="U29" s="2"/>
      <c r="V29" s="7">
        <f t="shared" si="21"/>
        <v>0</v>
      </c>
      <c r="W29" s="2"/>
      <c r="X29" s="6">
        <f t="shared" si="22"/>
        <v>-10086.700000000001</v>
      </c>
      <c r="Y29" s="2"/>
      <c r="Z29" s="7">
        <f t="shared" si="23"/>
        <v>-1</v>
      </c>
    </row>
    <row r="30" spans="1:26" s="29" customFormat="1" outlineLevel="1" collapsed="1" x14ac:dyDescent="0.3">
      <c r="A30" s="28"/>
      <c r="B30" s="14" t="str">
        <f>CONCATENATE("     ","Repair and Maintenance                            ")</f>
        <v xml:space="preserve">     Repair and Maintenance                            </v>
      </c>
      <c r="C30" s="14"/>
      <c r="D30" s="1">
        <f>SUM(OSRRefD22_3x_0)</f>
        <v>0</v>
      </c>
      <c r="E30" s="1"/>
      <c r="F30" s="5">
        <f t="shared" si="16"/>
        <v>0</v>
      </c>
      <c r="G30" s="1"/>
      <c r="H30" s="1">
        <f>SUM(OSRRefH22_3x_0)</f>
        <v>0</v>
      </c>
      <c r="I30" s="1"/>
      <c r="J30" s="5">
        <f t="shared" si="17"/>
        <v>0</v>
      </c>
      <c r="K30" s="1"/>
      <c r="L30" s="1">
        <f t="shared" si="18"/>
        <v>0</v>
      </c>
      <c r="M30" s="1"/>
      <c r="N30" s="5">
        <f t="shared" si="19"/>
        <v>0</v>
      </c>
      <c r="O30" s="14"/>
      <c r="P30" s="1">
        <f>SUM(OSRRefP22_3x_0)</f>
        <v>0</v>
      </c>
      <c r="Q30" s="1"/>
      <c r="R30" s="5">
        <f t="shared" si="20"/>
        <v>0</v>
      </c>
      <c r="S30" s="1"/>
      <c r="T30" s="1">
        <f>SUM(OSRRefT22_3x_0)</f>
        <v>150.94999999999999</v>
      </c>
      <c r="U30" s="1"/>
      <c r="V30" s="5">
        <f t="shared" si="21"/>
        <v>0</v>
      </c>
      <c r="W30" s="1"/>
      <c r="X30" s="1">
        <f t="shared" si="22"/>
        <v>-150.94999999999999</v>
      </c>
      <c r="Y30" s="1"/>
      <c r="Z30" s="5">
        <f t="shared" si="23"/>
        <v>-1</v>
      </c>
    </row>
    <row r="31" spans="1:26" s="24" customFormat="1" hidden="1" outlineLevel="2" x14ac:dyDescent="0.3">
      <c r="A31" s="27"/>
      <c r="B31" s="11" t="str">
        <f>CONCATENATE("          ", "6373", " - ", "MAINTENANCE CONTRACTS")</f>
        <v xml:space="preserve">          6373 - MAINTENANCE CONTRACTS</v>
      </c>
      <c r="C31" s="11"/>
      <c r="D31" s="6"/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0</v>
      </c>
      <c r="M31" s="2"/>
      <c r="N31" s="7">
        <f t="shared" si="19"/>
        <v>0</v>
      </c>
      <c r="O31" s="11"/>
      <c r="P31" s="6">
        <v>0</v>
      </c>
      <c r="Q31" s="2"/>
      <c r="R31" s="7">
        <f t="shared" si="20"/>
        <v>0</v>
      </c>
      <c r="S31" s="2"/>
      <c r="T31" s="6">
        <v>150.94999999999999</v>
      </c>
      <c r="U31" s="2"/>
      <c r="V31" s="7">
        <f t="shared" si="21"/>
        <v>0</v>
      </c>
      <c r="W31" s="2"/>
      <c r="X31" s="6">
        <f t="shared" si="22"/>
        <v>-150.94999999999999</v>
      </c>
      <c r="Y31" s="2"/>
      <c r="Z31" s="7">
        <f t="shared" si="23"/>
        <v>-1</v>
      </c>
    </row>
    <row r="32" spans="1:26" s="29" customFormat="1" outlineLevel="1" collapsed="1" x14ac:dyDescent="0.3">
      <c r="A32" s="28"/>
      <c r="B32" s="14" t="str">
        <f>CONCATENATE("     ","Services                                          ")</f>
        <v xml:space="preserve">     Services                                          </v>
      </c>
      <c r="C32" s="14"/>
      <c r="D32" s="1">
        <f>SUM(OSRRefD22_4x_0)</f>
        <v>0</v>
      </c>
      <c r="E32" s="1"/>
      <c r="F32" s="5">
        <f t="shared" si="16"/>
        <v>0</v>
      </c>
      <c r="G32" s="1"/>
      <c r="H32" s="1">
        <f>SUM(OSRRefH22_4x_0)</f>
        <v>0</v>
      </c>
      <c r="I32" s="1"/>
      <c r="J32" s="5">
        <f t="shared" si="17"/>
        <v>0</v>
      </c>
      <c r="K32" s="1"/>
      <c r="L32" s="1">
        <f t="shared" si="18"/>
        <v>0</v>
      </c>
      <c r="M32" s="1"/>
      <c r="N32" s="5">
        <f t="shared" si="19"/>
        <v>0</v>
      </c>
      <c r="O32" s="14"/>
      <c r="P32" s="1">
        <f>SUM(OSRRefP22_4x_0)</f>
        <v>0</v>
      </c>
      <c r="Q32" s="1"/>
      <c r="R32" s="5">
        <f t="shared" si="20"/>
        <v>0</v>
      </c>
      <c r="S32" s="1"/>
      <c r="T32" s="1">
        <f>SUM(OSRRefT22_4x_0)</f>
        <v>-1053.52</v>
      </c>
      <c r="U32" s="1"/>
      <c r="V32" s="5">
        <f t="shared" si="21"/>
        <v>0</v>
      </c>
      <c r="W32" s="1"/>
      <c r="X32" s="1">
        <f t="shared" si="22"/>
        <v>1053.52</v>
      </c>
      <c r="Y32" s="1"/>
      <c r="Z32" s="5">
        <f t="shared" si="23"/>
        <v>-1</v>
      </c>
    </row>
    <row r="33" spans="1:26" s="24" customFormat="1" hidden="1" outlineLevel="2" x14ac:dyDescent="0.3">
      <c r="A33" s="27"/>
      <c r="B33" s="11" t="str">
        <f>CONCATENATE("          ", "6282", " - ", "JANITORIAL/EXTERMINATOR EXPENS")</f>
        <v xml:space="preserve">          6282 - JANITORIAL/EXTERMINATOR EXPENS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/>
      <c r="Q33" s="2"/>
      <c r="R33" s="7">
        <f t="shared" si="20"/>
        <v>0</v>
      </c>
      <c r="S33" s="2"/>
      <c r="T33" s="6">
        <v>-567.28</v>
      </c>
      <c r="U33" s="2"/>
      <c r="V33" s="7">
        <f t="shared" si="21"/>
        <v>0</v>
      </c>
      <c r="W33" s="2"/>
      <c r="X33" s="6">
        <f t="shared" si="22"/>
        <v>567.28</v>
      </c>
      <c r="Y33" s="2"/>
      <c r="Z33" s="7">
        <f t="shared" si="23"/>
        <v>-1</v>
      </c>
    </row>
    <row r="34" spans="1:26" s="24" customFormat="1" hidden="1" outlineLevel="2" x14ac:dyDescent="0.3">
      <c r="A34" s="27"/>
      <c r="B34" s="11" t="str">
        <f>CONCATENATE("          ", "6285", " - ", "JANITORIAL SERVICES")</f>
        <v xml:space="preserve">          6285 - JANITORIAL SERVICES</v>
      </c>
      <c r="C34" s="11"/>
      <c r="D34" s="6"/>
      <c r="E34" s="2"/>
      <c r="F34" s="7">
        <f t="shared" si="16"/>
        <v>0</v>
      </c>
      <c r="G34" s="2"/>
      <c r="H34" s="6"/>
      <c r="I34" s="2"/>
      <c r="J34" s="7">
        <f t="shared" si="17"/>
        <v>0</v>
      </c>
      <c r="K34" s="2"/>
      <c r="L34" s="6">
        <f t="shared" si="18"/>
        <v>0</v>
      </c>
      <c r="M34" s="2"/>
      <c r="N34" s="7">
        <f t="shared" si="19"/>
        <v>0</v>
      </c>
      <c r="O34" s="11"/>
      <c r="P34" s="6"/>
      <c r="Q34" s="2"/>
      <c r="R34" s="7">
        <f t="shared" si="20"/>
        <v>0</v>
      </c>
      <c r="S34" s="2"/>
      <c r="T34" s="6">
        <v>-486.24</v>
      </c>
      <c r="U34" s="2"/>
      <c r="V34" s="7">
        <f t="shared" si="21"/>
        <v>0</v>
      </c>
      <c r="W34" s="2"/>
      <c r="X34" s="6">
        <f t="shared" si="22"/>
        <v>486.24</v>
      </c>
      <c r="Y34" s="2"/>
      <c r="Z34" s="7">
        <f t="shared" si="23"/>
        <v>-1</v>
      </c>
    </row>
    <row r="35" spans="1:26" s="29" customFormat="1" outlineLevel="1" collapsed="1" x14ac:dyDescent="0.3">
      <c r="A35" s="28"/>
      <c r="B35" s="14" t="str">
        <f>CONCATENATE("     ","Supplies                                          ")</f>
        <v xml:space="preserve">     Supplies                                          </v>
      </c>
      <c r="C35" s="14"/>
      <c r="D35" s="1">
        <f>SUM(OSRRefD22_5x_0)</f>
        <v>0</v>
      </c>
      <c r="E35" s="1"/>
      <c r="F35" s="5">
        <f t="shared" ref="F35:F40" si="24">IF(D$12=0,0,D35/D$12)</f>
        <v>0</v>
      </c>
      <c r="G35" s="1"/>
      <c r="H35" s="1">
        <f>SUM(OSRRefH22_5x_0)</f>
        <v>0</v>
      </c>
      <c r="I35" s="1"/>
      <c r="J35" s="5">
        <f t="shared" ref="J35:J40" si="25">IF(H$12=0,0,H35/H$12)</f>
        <v>0</v>
      </c>
      <c r="K35" s="1"/>
      <c r="L35" s="1">
        <f t="shared" ref="L35:L40" si="26">+D35-H35</f>
        <v>0</v>
      </c>
      <c r="M35" s="1"/>
      <c r="N35" s="5">
        <f t="shared" ref="N35:N40" si="27">IF(H35=0,0,L35/H35)</f>
        <v>0</v>
      </c>
      <c r="O35" s="14"/>
      <c r="P35" s="1">
        <f>SUM(OSRRefP22_5x_0)</f>
        <v>0</v>
      </c>
      <c r="Q35" s="1"/>
      <c r="R35" s="5">
        <f t="shared" ref="R35:R40" si="28">IF(P$12=0,0,P35/P$12)</f>
        <v>0</v>
      </c>
      <c r="S35" s="1"/>
      <c r="T35" s="1">
        <f>SUM(OSRRefT22_5x_0)</f>
        <v>131.30000000000001</v>
      </c>
      <c r="U35" s="1"/>
      <c r="V35" s="5">
        <f t="shared" ref="V35:V40" si="29">IF(T$12=0,0,T35/T$12)</f>
        <v>0</v>
      </c>
      <c r="W35" s="1"/>
      <c r="X35" s="1">
        <f t="shared" ref="X35:X40" si="30">+P35-T35</f>
        <v>-131.30000000000001</v>
      </c>
      <c r="Y35" s="1"/>
      <c r="Z35" s="5">
        <f t="shared" ref="Z35:Z40" si="31">IF(T35=0,0,X35/T35)</f>
        <v>-1</v>
      </c>
    </row>
    <row r="36" spans="1:26" s="24" customFormat="1" hidden="1" outlineLevel="2" x14ac:dyDescent="0.3">
      <c r="A36" s="27"/>
      <c r="B36" s="11" t="str">
        <f>CONCATENATE("          ", "6241", " - ", "OFFICE EXPENSE")</f>
        <v xml:space="preserve">          6241 - OFFICE EXPENSE</v>
      </c>
      <c r="C36" s="11"/>
      <c r="D36" s="6"/>
      <c r="E36" s="2"/>
      <c r="F36" s="7">
        <f t="shared" si="24"/>
        <v>0</v>
      </c>
      <c r="G36" s="2"/>
      <c r="H36" s="6"/>
      <c r="I36" s="2"/>
      <c r="J36" s="7">
        <f t="shared" si="25"/>
        <v>0</v>
      </c>
      <c r="K36" s="2"/>
      <c r="L36" s="6">
        <f t="shared" si="26"/>
        <v>0</v>
      </c>
      <c r="M36" s="2"/>
      <c r="N36" s="7">
        <f t="shared" si="27"/>
        <v>0</v>
      </c>
      <c r="O36" s="11"/>
      <c r="P36" s="6"/>
      <c r="Q36" s="2"/>
      <c r="R36" s="7">
        <f t="shared" si="28"/>
        <v>0</v>
      </c>
      <c r="S36" s="2"/>
      <c r="T36" s="6">
        <v>131.30000000000001</v>
      </c>
      <c r="U36" s="2"/>
      <c r="V36" s="7">
        <f t="shared" si="29"/>
        <v>0</v>
      </c>
      <c r="W36" s="2"/>
      <c r="X36" s="6">
        <f t="shared" si="30"/>
        <v>-131.30000000000001</v>
      </c>
      <c r="Y36" s="2"/>
      <c r="Z36" s="7">
        <f t="shared" si="31"/>
        <v>-1</v>
      </c>
    </row>
    <row r="37" spans="1:26" s="29" customFormat="1" outlineLevel="1" collapsed="1" x14ac:dyDescent="0.3">
      <c r="A37" s="28"/>
      <c r="B37" s="14" t="str">
        <f>CONCATENATE("     ","Telephone/Data Lines                              ")</f>
        <v xml:space="preserve">     Telephone/Data Lines                              </v>
      </c>
      <c r="C37" s="14"/>
      <c r="D37" s="1">
        <f>SUM(OSRRefD22_6x_0)</f>
        <v>0</v>
      </c>
      <c r="E37" s="1"/>
      <c r="F37" s="5">
        <f t="shared" si="24"/>
        <v>0</v>
      </c>
      <c r="G37" s="1"/>
      <c r="H37" s="1">
        <f>SUM(OSRRefH22_6x_0)</f>
        <v>0</v>
      </c>
      <c r="I37" s="1"/>
      <c r="J37" s="5">
        <f t="shared" si="25"/>
        <v>0</v>
      </c>
      <c r="K37" s="1"/>
      <c r="L37" s="1">
        <f t="shared" si="26"/>
        <v>0</v>
      </c>
      <c r="M37" s="1"/>
      <c r="N37" s="5">
        <f t="shared" si="27"/>
        <v>0</v>
      </c>
      <c r="O37" s="14"/>
      <c r="P37" s="1">
        <f>SUM(OSRRefP22_6x_0)</f>
        <v>0</v>
      </c>
      <c r="Q37" s="1"/>
      <c r="R37" s="5">
        <f t="shared" si="28"/>
        <v>0</v>
      </c>
      <c r="S37" s="1"/>
      <c r="T37" s="1">
        <f>SUM(OSRRefT22_6x_0)</f>
        <v>85.2</v>
      </c>
      <c r="U37" s="1"/>
      <c r="V37" s="5">
        <f t="shared" si="29"/>
        <v>0</v>
      </c>
      <c r="W37" s="1"/>
      <c r="X37" s="1">
        <f t="shared" si="30"/>
        <v>-85.2</v>
      </c>
      <c r="Y37" s="1"/>
      <c r="Z37" s="5">
        <f t="shared" si="31"/>
        <v>-1</v>
      </c>
    </row>
    <row r="38" spans="1:26" s="24" customFormat="1" hidden="1" outlineLevel="2" x14ac:dyDescent="0.3">
      <c r="A38" s="27"/>
      <c r="B38" s="11" t="str">
        <f>CONCATENATE("          ", "6309", " - ", "TELEPHONE")</f>
        <v xml:space="preserve">          6309 - TELEPHONE</v>
      </c>
      <c r="C38" s="11"/>
      <c r="D38" s="6"/>
      <c r="E38" s="2"/>
      <c r="F38" s="7">
        <f t="shared" si="24"/>
        <v>0</v>
      </c>
      <c r="G38" s="2"/>
      <c r="H38" s="6"/>
      <c r="I38" s="2"/>
      <c r="J38" s="7">
        <f t="shared" si="25"/>
        <v>0</v>
      </c>
      <c r="K38" s="2"/>
      <c r="L38" s="6">
        <f t="shared" si="26"/>
        <v>0</v>
      </c>
      <c r="M38" s="2"/>
      <c r="N38" s="7">
        <f t="shared" si="27"/>
        <v>0</v>
      </c>
      <c r="O38" s="11"/>
      <c r="P38" s="6"/>
      <c r="Q38" s="2"/>
      <c r="R38" s="7">
        <f t="shared" si="28"/>
        <v>0</v>
      </c>
      <c r="S38" s="2"/>
      <c r="T38" s="6">
        <v>85.2</v>
      </c>
      <c r="U38" s="2"/>
      <c r="V38" s="7">
        <f t="shared" si="29"/>
        <v>0</v>
      </c>
      <c r="W38" s="2"/>
      <c r="X38" s="6">
        <f t="shared" si="30"/>
        <v>-85.2</v>
      </c>
      <c r="Y38" s="2"/>
      <c r="Z38" s="7">
        <f t="shared" si="31"/>
        <v>-1</v>
      </c>
    </row>
    <row r="39" spans="1:26" s="29" customFormat="1" outlineLevel="1" collapsed="1" x14ac:dyDescent="0.3">
      <c r="A39" s="28"/>
      <c r="B39" s="14" t="str">
        <f>CONCATENATE("     ","Utilities                                         ")</f>
        <v xml:space="preserve">     Utilities                                         </v>
      </c>
      <c r="C39" s="14"/>
      <c r="D39" s="1">
        <f>SUM(OSRRefD22_7x_0)</f>
        <v>0</v>
      </c>
      <c r="E39" s="1"/>
      <c r="F39" s="5">
        <f t="shared" si="24"/>
        <v>0</v>
      </c>
      <c r="G39" s="1"/>
      <c r="H39" s="1">
        <f>SUM(OSRRefH22_7x_0)</f>
        <v>208</v>
      </c>
      <c r="I39" s="1"/>
      <c r="J39" s="5">
        <f t="shared" si="25"/>
        <v>0</v>
      </c>
      <c r="K39" s="1"/>
      <c r="L39" s="1">
        <f t="shared" si="26"/>
        <v>-208</v>
      </c>
      <c r="M39" s="1"/>
      <c r="N39" s="5">
        <f t="shared" si="27"/>
        <v>-1</v>
      </c>
      <c r="O39" s="14"/>
      <c r="P39" s="1">
        <f>SUM(OSRRefP22_7x_0)</f>
        <v>0</v>
      </c>
      <c r="Q39" s="1"/>
      <c r="R39" s="5">
        <f t="shared" si="28"/>
        <v>0</v>
      </c>
      <c r="S39" s="1"/>
      <c r="T39" s="1">
        <f>SUM(OSRRefT22_7x_0)</f>
        <v>416</v>
      </c>
      <c r="U39" s="1"/>
      <c r="V39" s="5">
        <f t="shared" si="29"/>
        <v>0</v>
      </c>
      <c r="W39" s="1"/>
      <c r="X39" s="1">
        <f t="shared" si="30"/>
        <v>-416</v>
      </c>
      <c r="Y39" s="1"/>
      <c r="Z39" s="5">
        <f t="shared" si="31"/>
        <v>-1</v>
      </c>
    </row>
    <row r="40" spans="1:26" s="24" customFormat="1" hidden="1" outlineLevel="2" x14ac:dyDescent="0.3">
      <c r="A40" s="27"/>
      <c r="B40" s="11" t="str">
        <f>CONCATENATE("          ", "6274", " - ", "UTILITIES")</f>
        <v xml:space="preserve">          6274 - UTILITIES</v>
      </c>
      <c r="C40" s="11"/>
      <c r="D40" s="6"/>
      <c r="E40" s="2"/>
      <c r="F40" s="7">
        <f t="shared" si="24"/>
        <v>0</v>
      </c>
      <c r="G40" s="2"/>
      <c r="H40" s="6">
        <v>208</v>
      </c>
      <c r="I40" s="2"/>
      <c r="J40" s="7">
        <f t="shared" si="25"/>
        <v>0</v>
      </c>
      <c r="K40" s="2"/>
      <c r="L40" s="6">
        <f t="shared" si="26"/>
        <v>-208</v>
      </c>
      <c r="M40" s="2"/>
      <c r="N40" s="7">
        <f t="shared" si="27"/>
        <v>-1</v>
      </c>
      <c r="O40" s="11"/>
      <c r="P40" s="6"/>
      <c r="Q40" s="2"/>
      <c r="R40" s="7">
        <f t="shared" si="28"/>
        <v>0</v>
      </c>
      <c r="S40" s="2"/>
      <c r="T40" s="6">
        <v>416</v>
      </c>
      <c r="U40" s="2"/>
      <c r="V40" s="7">
        <f t="shared" si="29"/>
        <v>0</v>
      </c>
      <c r="W40" s="2"/>
      <c r="X40" s="6">
        <f t="shared" si="30"/>
        <v>-416</v>
      </c>
      <c r="Y40" s="2"/>
      <c r="Z40" s="7">
        <f t="shared" si="31"/>
        <v>-1</v>
      </c>
    </row>
    <row r="41" spans="1:26" s="62" customFormat="1" x14ac:dyDescent="0.3">
      <c r="A41" s="37"/>
      <c r="B41" s="37"/>
      <c r="C41" s="37"/>
      <c r="D41" s="1"/>
      <c r="E41" s="1"/>
      <c r="F41" s="5"/>
      <c r="G41" s="1"/>
      <c r="H41" s="1"/>
      <c r="I41" s="1"/>
      <c r="J41" s="5"/>
      <c r="K41" s="1"/>
      <c r="L41" s="1"/>
      <c r="M41" s="1"/>
      <c r="N41" s="5"/>
      <c r="O41" s="37"/>
      <c r="P41" s="1"/>
      <c r="Q41" s="1"/>
      <c r="R41" s="5"/>
      <c r="S41" s="1"/>
      <c r="T41" s="1"/>
      <c r="U41" s="1"/>
      <c r="V41" s="5"/>
      <c r="W41" s="1"/>
      <c r="X41" s="1"/>
      <c r="Y41" s="1"/>
      <c r="Z41" s="5"/>
    </row>
    <row r="42" spans="1:26" s="23" customFormat="1" x14ac:dyDescent="0.3">
      <c r="A42" s="10"/>
      <c r="B42" s="26" t="s">
        <v>292</v>
      </c>
      <c r="C42" s="10"/>
      <c r="D42" s="4">
        <f>SUM(0)</f>
        <v>0</v>
      </c>
      <c r="E42" s="4"/>
      <c r="F42" s="12">
        <f>IF(D$12=0,0,D42/D$12)</f>
        <v>0</v>
      </c>
      <c r="G42" s="4"/>
      <c r="H42" s="4">
        <f>SUM(0)</f>
        <v>0</v>
      </c>
      <c r="I42" s="4"/>
      <c r="J42" s="12">
        <f>IF(H$12=0,0,H42/H$12)</f>
        <v>0</v>
      </c>
      <c r="K42" s="4"/>
      <c r="L42" s="4">
        <f>+D42-H42</f>
        <v>0</v>
      </c>
      <c r="M42" s="4"/>
      <c r="N42" s="12">
        <f>IF(H42=0,0,L42/H42)</f>
        <v>0</v>
      </c>
      <c r="O42" s="10"/>
      <c r="P42" s="4">
        <f>SUM(0)</f>
        <v>0</v>
      </c>
      <c r="Q42" s="4"/>
      <c r="R42" s="12">
        <f>IF(P$12=0,0,P42/P$12)</f>
        <v>0</v>
      </c>
      <c r="S42" s="4"/>
      <c r="T42" s="4">
        <f>SUM(0)</f>
        <v>0</v>
      </c>
      <c r="U42" s="4"/>
      <c r="V42" s="12">
        <f>IF(T$12=0,0,T42/T$12)</f>
        <v>0</v>
      </c>
      <c r="W42" s="4"/>
      <c r="X42" s="4">
        <f>+P42-T42</f>
        <v>0</v>
      </c>
      <c r="Y42" s="4"/>
      <c r="Z42" s="12">
        <f>IF(T42=0,0,X42/T42)</f>
        <v>0</v>
      </c>
    </row>
    <row r="43" spans="1:26" x14ac:dyDescent="0.3">
      <c r="A43" s="9"/>
      <c r="B43" s="10"/>
      <c r="C43" s="10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O43" s="10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s="23" customFormat="1" x14ac:dyDescent="0.3">
      <c r="A44" s="10"/>
      <c r="B44" s="25" t="s">
        <v>276</v>
      </c>
      <c r="C44" s="25"/>
      <c r="D44" s="21">
        <f>+D17-D19+D42</f>
        <v>0</v>
      </c>
      <c r="E44" s="13"/>
      <c r="F44" s="22">
        <f>IF(D$12=0,0,D44/D$12)</f>
        <v>0</v>
      </c>
      <c r="G44" s="13"/>
      <c r="H44" s="21">
        <f>+H17-H19+H42</f>
        <v>-2225.34</v>
      </c>
      <c r="I44" s="13"/>
      <c r="J44" s="22">
        <f>IF(H$12=0,0,H44/H$12)</f>
        <v>0</v>
      </c>
      <c r="K44" s="16"/>
      <c r="L44" s="21">
        <f>+D44-H44</f>
        <v>2225.34</v>
      </c>
      <c r="M44" s="16"/>
      <c r="N44" s="22">
        <f>IF(H44=0,0,L44/H44)</f>
        <v>-1</v>
      </c>
      <c r="O44" s="26"/>
      <c r="P44" s="21">
        <f>+P17-P19+P42</f>
        <v>0</v>
      </c>
      <c r="Q44" s="13"/>
      <c r="R44" s="22">
        <f>IF(P$12=0,0,P44/P$12)</f>
        <v>0</v>
      </c>
      <c r="S44" s="13"/>
      <c r="T44" s="21">
        <f>+T17-T19+T42</f>
        <v>-12270.27</v>
      </c>
      <c r="U44" s="13"/>
      <c r="V44" s="22">
        <f>IF(T$12=0,0,T44/T$12)</f>
        <v>0</v>
      </c>
      <c r="W44" s="16"/>
      <c r="X44" s="21">
        <f>+P44-T44</f>
        <v>12270.27</v>
      </c>
      <c r="Y44" s="16"/>
      <c r="Z44" s="22">
        <f>IF(T44=0,0,X44/T44)</f>
        <v>-1</v>
      </c>
    </row>
    <row r="45" spans="1:26" x14ac:dyDescent="0.3">
      <c r="A45" s="9"/>
      <c r="B45" s="10"/>
      <c r="C45" s="9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51"/>
      <c r="B46" s="10" t="s">
        <v>127</v>
      </c>
      <c r="C46" s="10"/>
      <c r="D46" s="4"/>
      <c r="E46" s="4"/>
      <c r="F46" s="12">
        <f>IF(D$12=0,0,D46/D$12)</f>
        <v>0</v>
      </c>
      <c r="G46" s="4"/>
      <c r="H46" s="4"/>
      <c r="I46" s="4"/>
      <c r="J46" s="12">
        <f>IF(H$12=0,0,H46/H$12)</f>
        <v>0</v>
      </c>
      <c r="K46" s="4"/>
      <c r="L46" s="4">
        <f>+D46-H46</f>
        <v>0</v>
      </c>
      <c r="M46" s="4"/>
      <c r="N46" s="12">
        <f>IF(H46=0,0,L46/H46)</f>
        <v>0</v>
      </c>
      <c r="O46" s="10"/>
      <c r="P46" s="4"/>
      <c r="Q46" s="4"/>
      <c r="R46" s="12">
        <f>IF(P$12=0,0,P46/P$12)</f>
        <v>0</v>
      </c>
      <c r="S46" s="4"/>
      <c r="T46" s="4"/>
      <c r="U46" s="4"/>
      <c r="V46" s="12">
        <f>IF(T$12=0,0,T46/T$12)</f>
        <v>0</v>
      </c>
      <c r="W46" s="4"/>
      <c r="X46" s="4">
        <f>+P46-T46</f>
        <v>0</v>
      </c>
      <c r="Y46" s="4"/>
      <c r="Z46" s="12">
        <f>IF(T46=0,0,X46/T46)</f>
        <v>0</v>
      </c>
    </row>
    <row r="47" spans="1:26" x14ac:dyDescent="0.3">
      <c r="A47" s="9"/>
      <c r="B47" s="10"/>
      <c r="C47" s="10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O47" s="10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ht="15" thickBot="1" x14ac:dyDescent="0.35">
      <c r="A48" s="10"/>
      <c r="B48" s="25" t="s">
        <v>125</v>
      </c>
      <c r="C48" s="25"/>
      <c r="D48" s="35">
        <f>+D44-D46</f>
        <v>0</v>
      </c>
      <c r="E48" s="13"/>
      <c r="F48" s="31">
        <f>IF(D$12=0,0,D48/D$12)</f>
        <v>0</v>
      </c>
      <c r="G48" s="13"/>
      <c r="H48" s="35">
        <f>+H44-H46</f>
        <v>-2225.34</v>
      </c>
      <c r="I48" s="13"/>
      <c r="J48" s="31">
        <f>IF(H$12=0,0,H48/H$12)</f>
        <v>0</v>
      </c>
      <c r="K48" s="16"/>
      <c r="L48" s="35">
        <f>D48-H48</f>
        <v>2225.34</v>
      </c>
      <c r="M48" s="16"/>
      <c r="N48" s="31">
        <f>IF(H48=0,0,L48/H48)</f>
        <v>-1</v>
      </c>
      <c r="O48" s="26"/>
      <c r="P48" s="35">
        <f>+P44-P46</f>
        <v>0</v>
      </c>
      <c r="Q48" s="13"/>
      <c r="R48" s="31">
        <f>IF(P$12=0,0,P48/P$12)</f>
        <v>0</v>
      </c>
      <c r="S48" s="13"/>
      <c r="T48" s="35">
        <f>+T44-T46</f>
        <v>-12270.27</v>
      </c>
      <c r="U48" s="13"/>
      <c r="V48" s="31">
        <f>IF(T$12=0,0,T48/T$12)</f>
        <v>0</v>
      </c>
      <c r="W48" s="16"/>
      <c r="X48" s="35">
        <f>P48-T48</f>
        <v>12270.27</v>
      </c>
      <c r="Y48" s="16"/>
      <c r="Z48" s="31">
        <f>IF(T48=0,0,X48/T48)</f>
        <v>-1</v>
      </c>
    </row>
    <row r="49" spans="1:26" ht="15" thickTop="1" x14ac:dyDescent="0.3">
      <c r="A49" s="9"/>
      <c r="B49" s="9"/>
      <c r="C49" s="9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x14ac:dyDescent="0.3">
      <c r="A50" s="9"/>
      <c r="B50" s="9"/>
      <c r="C50" s="9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293</v>
      </c>
      <c r="C51" s="25"/>
      <c r="D51" s="36">
        <f>SUM(D48:D50)</f>
        <v>0</v>
      </c>
      <c r="E51" s="13"/>
      <c r="F51" s="33">
        <f>IF(D$12=0,0,D51/D$12)</f>
        <v>0</v>
      </c>
      <c r="G51" s="13"/>
      <c r="H51" s="36">
        <f>SUM(H48:H50)</f>
        <v>-2225.34</v>
      </c>
      <c r="I51" s="13"/>
      <c r="J51" s="33">
        <f>IF(H$12=0,0,H51/H$12)</f>
        <v>0</v>
      </c>
      <c r="K51" s="16"/>
      <c r="L51" s="36">
        <f>+D51-H51</f>
        <v>2225.34</v>
      </c>
      <c r="M51" s="16"/>
      <c r="N51" s="33">
        <f>IF(H51=0,0,L51/H51)</f>
        <v>-1</v>
      </c>
      <c r="O51" s="26"/>
      <c r="P51" s="36">
        <f>SUM(P48:P50)</f>
        <v>0</v>
      </c>
      <c r="Q51" s="13"/>
      <c r="R51" s="33">
        <f>IF(P$12=0,0,P51/P$12)</f>
        <v>0</v>
      </c>
      <c r="S51" s="13"/>
      <c r="T51" s="36">
        <f>SUM(T48:T50)</f>
        <v>-12270.27</v>
      </c>
      <c r="U51" s="13"/>
      <c r="V51" s="33">
        <f>IF(T$12=0,0,T51/T$12)</f>
        <v>0</v>
      </c>
      <c r="W51" s="16"/>
      <c r="X51" s="36">
        <f>+P51-T51</f>
        <v>12270.27</v>
      </c>
      <c r="Y51" s="16"/>
      <c r="Z51" s="33">
        <f>IF(T51=0,0,X51/T51)</f>
        <v>-1</v>
      </c>
    </row>
    <row r="52" spans="1:26" ht="15" thickTop="1" x14ac:dyDescent="0.3">
      <c r="A52" s="9"/>
      <c r="C52" s="9"/>
      <c r="D52" s="17"/>
      <c r="E52" s="17"/>
      <c r="G52" s="17"/>
      <c r="H52" s="17"/>
      <c r="I52" s="17"/>
      <c r="J52" s="42"/>
      <c r="K52" s="17"/>
      <c r="L52" s="17"/>
      <c r="M52" s="17"/>
      <c r="P52" s="17"/>
      <c r="Q52" s="17"/>
      <c r="R52" s="42"/>
      <c r="S52" s="17"/>
      <c r="T52" s="17"/>
      <c r="U52" s="17"/>
      <c r="V52" s="42"/>
      <c r="W52" s="17"/>
      <c r="X52" s="17"/>
    </row>
    <row r="53" spans="1:26" x14ac:dyDescent="0.3">
      <c r="A53" s="9"/>
      <c r="B53" s="52">
        <v>44543.765594675926</v>
      </c>
      <c r="D53" s="17"/>
      <c r="E53" s="17"/>
      <c r="G53" s="17"/>
      <c r="H53" s="17"/>
      <c r="I53" s="17"/>
      <c r="J53" s="42"/>
      <c r="K53" s="17"/>
      <c r="L53" s="17"/>
      <c r="M53" s="17"/>
      <c r="P53" s="17"/>
      <c r="Q53" s="17"/>
      <c r="R53" s="42"/>
      <c r="S53" s="17"/>
      <c r="T53" s="17"/>
      <c r="U53" s="17"/>
      <c r="V53" s="42"/>
      <c r="W53" s="17"/>
      <c r="X53" s="17"/>
    </row>
    <row r="54" spans="1:26" x14ac:dyDescent="0.3">
      <c r="A54" s="9"/>
      <c r="B54" s="59" t="s">
        <v>56</v>
      </c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61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</sheetData>
  <pageMargins left="0.25" right="0.25" top="0.75" bottom="0.75" header="0.3" footer="0.3"/>
  <pageSetup scale="55" fitToWidth="2" orientation="landscape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92D050"/>
    <outlinePr summaryBelow="0" summaryRight="0"/>
  </sheetPr>
  <dimension ref="A2:Z8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","325", " - ", "Outpost C-Store")</f>
        <v>Department 325 - Outpost C-Store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15236.84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15236.84</v>
      </c>
      <c r="M12" s="4"/>
      <c r="N12" s="12">
        <f t="shared" ref="N12:N14" si="1">IF(H12=0,0,L12/H12)</f>
        <v>0</v>
      </c>
      <c r="O12" s="10"/>
      <c r="P12" s="4">
        <f>SUM(OSRRefP13x_0)</f>
        <v>63301.31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63301.31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2305.85</v>
      </c>
      <c r="M13" s="2"/>
      <c r="N13" s="19">
        <f t="shared" si="1"/>
        <v>0</v>
      </c>
      <c r="O13" s="11"/>
      <c r="P13" s="2">
        <f>--10622.35</f>
        <v>10622.35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10622.35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"4100", " - ", "NON-TAXABLE SALES")</f>
        <v xml:space="preserve">          4100 - NON-TAXABLE SALES</v>
      </c>
      <c r="C14" s="11"/>
      <c r="D14" s="2">
        <f>--12930.99</f>
        <v>12930.99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12930.99</v>
      </c>
      <c r="M14" s="2"/>
      <c r="N14" s="19">
        <f t="shared" si="1"/>
        <v>0</v>
      </c>
      <c r="O14" s="11"/>
      <c r="P14" s="2">
        <f>--52678.96</f>
        <v>52678.96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52678.96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6563.18</v>
      </c>
      <c r="E16" s="4"/>
      <c r="F16" s="12">
        <f t="shared" ref="F16:F18" si="6">IF(D$12=0,0,D16/D$12)</f>
        <v>0.43074417005100796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6563.18</v>
      </c>
      <c r="M16" s="4"/>
      <c r="N16" s="12">
        <f t="shared" ref="N16:N18" si="9">IF(H16=0,0,L16/H16)</f>
        <v>0</v>
      </c>
      <c r="O16" s="10"/>
      <c r="P16" s="4">
        <f>SUM(OSRRefP16x_0)</f>
        <v>30113.82</v>
      </c>
      <c r="Q16" s="4"/>
      <c r="R16" s="12">
        <f t="shared" ref="R16:R18" si="10">IF(P$12=0,0,P16/P$12)</f>
        <v>0.4757219084407574</v>
      </c>
      <c r="S16" s="4"/>
      <c r="T16" s="4">
        <f>SUM(OSRRefT16x_0)</f>
        <v>10847.87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19265.949999999997</v>
      </c>
      <c r="Y16" s="4"/>
      <c r="Z16" s="12">
        <f t="shared" ref="Z16:Z18" si="13">IF(T16=0,0,X16/T16)</f>
        <v>1.7760122494093307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3858.46</v>
      </c>
      <c r="E17" s="2"/>
      <c r="F17" s="19">
        <f t="shared" si="6"/>
        <v>0.25323229751050741</v>
      </c>
      <c r="G17" s="2"/>
      <c r="H17" s="2"/>
      <c r="I17" s="2"/>
      <c r="J17" s="19">
        <f t="shared" si="7"/>
        <v>0</v>
      </c>
      <c r="K17" s="2"/>
      <c r="L17" s="2">
        <f t="shared" si="8"/>
        <v>3858.46</v>
      </c>
      <c r="M17" s="2"/>
      <c r="N17" s="19">
        <f t="shared" si="9"/>
        <v>0</v>
      </c>
      <c r="O17" s="11"/>
      <c r="P17" s="2">
        <v>39896.46</v>
      </c>
      <c r="Q17" s="2"/>
      <c r="R17" s="19">
        <f t="shared" si="10"/>
        <v>0.63026278603081043</v>
      </c>
      <c r="S17" s="2"/>
      <c r="T17" s="2">
        <v>-781.13</v>
      </c>
      <c r="U17" s="2"/>
      <c r="V17" s="19">
        <f t="shared" si="11"/>
        <v>0</v>
      </c>
      <c r="W17" s="2"/>
      <c r="X17" s="2">
        <f t="shared" si="12"/>
        <v>40677.589999999997</v>
      </c>
      <c r="Y17" s="2"/>
      <c r="Z17" s="19">
        <f t="shared" si="13"/>
        <v>-52.075313968225515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2704.72</v>
      </c>
      <c r="E18" s="2"/>
      <c r="F18" s="19">
        <f t="shared" si="6"/>
        <v>0.17751187254050052</v>
      </c>
      <c r="G18" s="2"/>
      <c r="H18" s="2"/>
      <c r="I18" s="2"/>
      <c r="J18" s="19">
        <f t="shared" si="7"/>
        <v>0</v>
      </c>
      <c r="K18" s="2"/>
      <c r="L18" s="2">
        <f t="shared" si="8"/>
        <v>2704.72</v>
      </c>
      <c r="M18" s="2"/>
      <c r="N18" s="19">
        <f t="shared" si="9"/>
        <v>0</v>
      </c>
      <c r="O18" s="11"/>
      <c r="P18" s="2">
        <v>-9782.64</v>
      </c>
      <c r="Q18" s="2"/>
      <c r="R18" s="19">
        <f t="shared" si="10"/>
        <v>-0.15454087759005303</v>
      </c>
      <c r="S18" s="2"/>
      <c r="T18" s="2">
        <v>11629</v>
      </c>
      <c r="U18" s="2"/>
      <c r="V18" s="19">
        <f t="shared" si="11"/>
        <v>0</v>
      </c>
      <c r="W18" s="2"/>
      <c r="X18" s="2">
        <f t="shared" si="12"/>
        <v>-21411.64</v>
      </c>
      <c r="Y18" s="2"/>
      <c r="Z18" s="19">
        <f t="shared" si="13"/>
        <v>-1.8412279645713303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8673.66</v>
      </c>
      <c r="E20" s="13"/>
      <c r="F20" s="22">
        <f>IF(D$12=0,0,D20/D$12)</f>
        <v>0.56925582994899204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8673.66</v>
      </c>
      <c r="M20" s="16"/>
      <c r="N20" s="22">
        <f>IF(H20=0,0,L20/H20)</f>
        <v>0</v>
      </c>
      <c r="O20" s="26"/>
      <c r="P20" s="21">
        <f>P12-P16</f>
        <v>33187.49</v>
      </c>
      <c r="Q20" s="13"/>
      <c r="R20" s="22">
        <f>IF(P$12=0,0,P20/P$12)</f>
        <v>0.52427809155924265</v>
      </c>
      <c r="S20" s="13"/>
      <c r="T20" s="21">
        <f>T12-T16</f>
        <v>-10847.87</v>
      </c>
      <c r="U20" s="13"/>
      <c r="V20" s="22">
        <f>IF(T$12=0,0,T20/T$12)</f>
        <v>0</v>
      </c>
      <c r="W20" s="16"/>
      <c r="X20" s="21">
        <f>+P20-T20</f>
        <v>44035.360000000001</v>
      </c>
      <c r="Y20" s="16"/>
      <c r="Z20" s="22">
        <f>IF(T20=0,0,X20/T20)</f>
        <v>-4.0593554310661908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14854.970000000001</v>
      </c>
      <c r="E22" s="20"/>
      <c r="F22" s="32">
        <f t="shared" ref="F22:F31" si="14">IF(D$12=0,0,D22/D$12)</f>
        <v>0.97493771674441687</v>
      </c>
      <c r="G22" s="20"/>
      <c r="H22" s="20">
        <f>SUM(OSRRefH22x_0)</f>
        <v>10799.75</v>
      </c>
      <c r="I22" s="20"/>
      <c r="J22" s="32">
        <f t="shared" ref="J22:J31" si="15">IF(H$12=0,0,H22/H$12)</f>
        <v>0</v>
      </c>
      <c r="K22" s="4"/>
      <c r="L22" s="20">
        <f t="shared" ref="L22:L31" si="16">+D22-H22</f>
        <v>4055.2200000000012</v>
      </c>
      <c r="M22" s="4"/>
      <c r="N22" s="32">
        <f t="shared" ref="N22:N31" si="17">IF(H22=0,0,L22/H22)</f>
        <v>0.37549202527836301</v>
      </c>
      <c r="O22" s="10"/>
      <c r="P22" s="20">
        <f>SUM(OSRRefP22x_0)</f>
        <v>83829.45</v>
      </c>
      <c r="Q22" s="20"/>
      <c r="R22" s="32">
        <f t="shared" ref="R22:R31" si="18">IF(P$12=0,0,P22/P$12)</f>
        <v>1.3242924988440208</v>
      </c>
      <c r="S22" s="20"/>
      <c r="T22" s="20">
        <f>SUM(OSRRefT22x_0)</f>
        <v>57237.599999999999</v>
      </c>
      <c r="U22" s="20"/>
      <c r="V22" s="32">
        <f t="shared" ref="V22:V31" si="19">IF(T$12=0,0,T22/T$12)</f>
        <v>0</v>
      </c>
      <c r="W22" s="4"/>
      <c r="X22" s="20">
        <f t="shared" ref="X22:X31" si="20">+P22-T22</f>
        <v>26591.85</v>
      </c>
      <c r="Y22" s="4"/>
      <c r="Z22" s="32">
        <f t="shared" ref="Z22:Z31" si="21">IF(T22=0,0,X22/T22)</f>
        <v>0.46458708960543416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261.38</v>
      </c>
      <c r="E23" s="1"/>
      <c r="F23" s="5">
        <f t="shared" si="14"/>
        <v>1.7154475599927544E-2</v>
      </c>
      <c r="G23" s="1"/>
      <c r="H23" s="1">
        <f>SUM(OSRRefH22_0x_0)</f>
        <v>0</v>
      </c>
      <c r="I23" s="1"/>
      <c r="J23" s="5">
        <f t="shared" si="15"/>
        <v>0</v>
      </c>
      <c r="K23" s="1"/>
      <c r="L23" s="1">
        <f t="shared" si="16"/>
        <v>261.38</v>
      </c>
      <c r="M23" s="1"/>
      <c r="N23" s="5">
        <f t="shared" si="17"/>
        <v>0</v>
      </c>
      <c r="O23" s="14"/>
      <c r="P23" s="1">
        <f>SUM(OSRRefP22_0x_0)</f>
        <v>1261.29</v>
      </c>
      <c r="Q23" s="1"/>
      <c r="R23" s="5">
        <f t="shared" si="18"/>
        <v>1.992518006341417E-2</v>
      </c>
      <c r="S23" s="1"/>
      <c r="T23" s="1">
        <f>SUM(OSRRefT22_0x_0)</f>
        <v>2889.72</v>
      </c>
      <c r="U23" s="1"/>
      <c r="V23" s="5">
        <f t="shared" si="19"/>
        <v>0</v>
      </c>
      <c r="W23" s="1"/>
      <c r="X23" s="1">
        <f t="shared" si="20"/>
        <v>-1628.4299999999998</v>
      </c>
      <c r="Y23" s="1"/>
      <c r="Z23" s="5">
        <f t="shared" si="21"/>
        <v>-0.56352518583115319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174.68</v>
      </c>
      <c r="E24" s="2"/>
      <c r="F24" s="7">
        <f t="shared" si="14"/>
        <v>1.1464319373308376E-2</v>
      </c>
      <c r="G24" s="2"/>
      <c r="H24" s="6"/>
      <c r="I24" s="2"/>
      <c r="J24" s="7">
        <f t="shared" si="15"/>
        <v>0</v>
      </c>
      <c r="K24" s="2"/>
      <c r="L24" s="6">
        <f t="shared" si="16"/>
        <v>174.68</v>
      </c>
      <c r="M24" s="2"/>
      <c r="N24" s="7">
        <f t="shared" si="17"/>
        <v>0</v>
      </c>
      <c r="O24" s="11"/>
      <c r="P24" s="6">
        <v>858.49</v>
      </c>
      <c r="Q24" s="2"/>
      <c r="R24" s="7">
        <f t="shared" si="18"/>
        <v>1.3561962619730935E-2</v>
      </c>
      <c r="S24" s="2"/>
      <c r="T24" s="6">
        <v>159.12</v>
      </c>
      <c r="U24" s="2"/>
      <c r="V24" s="7">
        <f t="shared" si="19"/>
        <v>0</v>
      </c>
      <c r="W24" s="2"/>
      <c r="X24" s="6">
        <f t="shared" si="20"/>
        <v>699.37</v>
      </c>
      <c r="Y24" s="2"/>
      <c r="Z24" s="7">
        <f t="shared" si="21"/>
        <v>4.3952362996480643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56.73</v>
      </c>
      <c r="E25" s="2"/>
      <c r="F25" s="7">
        <f t="shared" si="14"/>
        <v>3.7232129496667286E-3</v>
      </c>
      <c r="G25" s="2"/>
      <c r="H25" s="6"/>
      <c r="I25" s="2"/>
      <c r="J25" s="7">
        <f t="shared" si="15"/>
        <v>0</v>
      </c>
      <c r="K25" s="2"/>
      <c r="L25" s="6">
        <f t="shared" si="16"/>
        <v>56.73</v>
      </c>
      <c r="M25" s="2"/>
      <c r="N25" s="7">
        <f t="shared" si="17"/>
        <v>0</v>
      </c>
      <c r="O25" s="11"/>
      <c r="P25" s="6">
        <v>292.98</v>
      </c>
      <c r="Q25" s="2"/>
      <c r="R25" s="7">
        <f t="shared" si="18"/>
        <v>4.6283402349809192E-3</v>
      </c>
      <c r="S25" s="2"/>
      <c r="T25" s="6"/>
      <c r="U25" s="2"/>
      <c r="V25" s="7">
        <f t="shared" si="19"/>
        <v>0</v>
      </c>
      <c r="W25" s="2"/>
      <c r="X25" s="6">
        <f t="shared" si="20"/>
        <v>292.98</v>
      </c>
      <c r="Y25" s="2"/>
      <c r="Z25" s="7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/>
      <c r="E26" s="2"/>
      <c r="F26" s="7">
        <f t="shared" si="14"/>
        <v>0</v>
      </c>
      <c r="G26" s="2"/>
      <c r="H26" s="6"/>
      <c r="I26" s="2"/>
      <c r="J26" s="7">
        <f t="shared" si="15"/>
        <v>0</v>
      </c>
      <c r="K26" s="2"/>
      <c r="L26" s="6">
        <f t="shared" si="16"/>
        <v>0</v>
      </c>
      <c r="M26" s="2"/>
      <c r="N26" s="7">
        <f t="shared" si="17"/>
        <v>0</v>
      </c>
      <c r="O26" s="11"/>
      <c r="P26" s="6"/>
      <c r="Q26" s="2"/>
      <c r="R26" s="7">
        <f t="shared" si="18"/>
        <v>0</v>
      </c>
      <c r="S26" s="2"/>
      <c r="T26" s="6">
        <v>1915.63</v>
      </c>
      <c r="U26" s="2"/>
      <c r="V26" s="7">
        <f t="shared" si="19"/>
        <v>0</v>
      </c>
      <c r="W26" s="2"/>
      <c r="X26" s="6">
        <f t="shared" si="20"/>
        <v>-1915.63</v>
      </c>
      <c r="Y26" s="2"/>
      <c r="Z26" s="7">
        <f t="shared" si="21"/>
        <v>-1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9.9700000000000006</v>
      </c>
      <c r="E27" s="2"/>
      <c r="F27" s="7">
        <f t="shared" si="14"/>
        <v>6.5433515085805199E-4</v>
      </c>
      <c r="G27" s="2"/>
      <c r="H27" s="6"/>
      <c r="I27" s="2"/>
      <c r="J27" s="7">
        <f t="shared" si="15"/>
        <v>0</v>
      </c>
      <c r="K27" s="2"/>
      <c r="L27" s="6">
        <f t="shared" si="16"/>
        <v>9.9700000000000006</v>
      </c>
      <c r="M27" s="2"/>
      <c r="N27" s="7">
        <f t="shared" si="17"/>
        <v>0</v>
      </c>
      <c r="O27" s="11"/>
      <c r="P27" s="6">
        <v>49.82</v>
      </c>
      <c r="Q27" s="2"/>
      <c r="R27" s="7">
        <f t="shared" si="18"/>
        <v>7.8702952592924228E-4</v>
      </c>
      <c r="S27" s="2"/>
      <c r="T27" s="6"/>
      <c r="U27" s="2"/>
      <c r="V27" s="7">
        <f t="shared" si="19"/>
        <v>0</v>
      </c>
      <c r="W27" s="2"/>
      <c r="X27" s="6">
        <f t="shared" si="20"/>
        <v>49.82</v>
      </c>
      <c r="Y27" s="2"/>
      <c r="Z27" s="7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/>
      <c r="E28" s="2"/>
      <c r="F28" s="7">
        <f t="shared" si="14"/>
        <v>0</v>
      </c>
      <c r="G28" s="2"/>
      <c r="H28" s="6"/>
      <c r="I28" s="2"/>
      <c r="J28" s="7">
        <f t="shared" si="15"/>
        <v>0</v>
      </c>
      <c r="K28" s="2"/>
      <c r="L28" s="6">
        <f t="shared" si="16"/>
        <v>0</v>
      </c>
      <c r="M28" s="2"/>
      <c r="N28" s="7">
        <f t="shared" si="17"/>
        <v>0</v>
      </c>
      <c r="O28" s="11"/>
      <c r="P28" s="6"/>
      <c r="Q28" s="2"/>
      <c r="R28" s="7">
        <f t="shared" si="18"/>
        <v>0</v>
      </c>
      <c r="S28" s="2"/>
      <c r="T28" s="6">
        <v>458.89</v>
      </c>
      <c r="U28" s="2"/>
      <c r="V28" s="7">
        <f t="shared" si="19"/>
        <v>0</v>
      </c>
      <c r="W28" s="2"/>
      <c r="X28" s="6">
        <f t="shared" si="20"/>
        <v>-458.89</v>
      </c>
      <c r="Y28" s="2"/>
      <c r="Z28" s="7">
        <f t="shared" si="21"/>
        <v>-1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6"/>
      <c r="E29" s="2"/>
      <c r="F29" s="7">
        <f t="shared" si="14"/>
        <v>0</v>
      </c>
      <c r="G29" s="2"/>
      <c r="H29" s="6"/>
      <c r="I29" s="2"/>
      <c r="J29" s="7">
        <f t="shared" si="15"/>
        <v>0</v>
      </c>
      <c r="K29" s="2"/>
      <c r="L29" s="6">
        <f t="shared" si="16"/>
        <v>0</v>
      </c>
      <c r="M29" s="2"/>
      <c r="N29" s="7">
        <f t="shared" si="17"/>
        <v>0</v>
      </c>
      <c r="O29" s="11"/>
      <c r="P29" s="6"/>
      <c r="Q29" s="2"/>
      <c r="R29" s="7">
        <f t="shared" si="18"/>
        <v>0</v>
      </c>
      <c r="S29" s="2"/>
      <c r="T29" s="6">
        <v>152.1</v>
      </c>
      <c r="U29" s="2"/>
      <c r="V29" s="7">
        <f t="shared" si="19"/>
        <v>0</v>
      </c>
      <c r="W29" s="2"/>
      <c r="X29" s="6">
        <f t="shared" si="20"/>
        <v>-152.1</v>
      </c>
      <c r="Y29" s="2"/>
      <c r="Z29" s="7">
        <f t="shared" si="21"/>
        <v>-1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6"/>
      <c r="E30" s="2"/>
      <c r="F30" s="7">
        <f t="shared" si="14"/>
        <v>0</v>
      </c>
      <c r="G30" s="2"/>
      <c r="H30" s="6"/>
      <c r="I30" s="2"/>
      <c r="J30" s="7">
        <f t="shared" si="15"/>
        <v>0</v>
      </c>
      <c r="K30" s="2"/>
      <c r="L30" s="6">
        <f t="shared" si="16"/>
        <v>0</v>
      </c>
      <c r="M30" s="2"/>
      <c r="N30" s="7">
        <f t="shared" si="17"/>
        <v>0</v>
      </c>
      <c r="O30" s="11"/>
      <c r="P30" s="6"/>
      <c r="Q30" s="2"/>
      <c r="R30" s="7">
        <f t="shared" si="18"/>
        <v>0</v>
      </c>
      <c r="S30" s="2"/>
      <c r="T30" s="6">
        <v>203.98</v>
      </c>
      <c r="U30" s="2"/>
      <c r="V30" s="7">
        <f t="shared" si="19"/>
        <v>0</v>
      </c>
      <c r="W30" s="2"/>
      <c r="X30" s="6">
        <f t="shared" si="20"/>
        <v>-203.98</v>
      </c>
      <c r="Y30" s="2"/>
      <c r="Z30" s="7">
        <f t="shared" si="21"/>
        <v>-1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6">
        <v>20</v>
      </c>
      <c r="E31" s="2"/>
      <c r="F31" s="7">
        <f t="shared" si="14"/>
        <v>1.3126081260943869E-3</v>
      </c>
      <c r="G31" s="2"/>
      <c r="H31" s="6"/>
      <c r="I31" s="2"/>
      <c r="J31" s="7">
        <f t="shared" si="15"/>
        <v>0</v>
      </c>
      <c r="K31" s="2"/>
      <c r="L31" s="6">
        <f t="shared" si="16"/>
        <v>20</v>
      </c>
      <c r="M31" s="2"/>
      <c r="N31" s="7">
        <f t="shared" si="17"/>
        <v>0</v>
      </c>
      <c r="O31" s="11"/>
      <c r="P31" s="6">
        <v>60</v>
      </c>
      <c r="Q31" s="2"/>
      <c r="R31" s="7">
        <f t="shared" si="18"/>
        <v>9.4784768277307379E-4</v>
      </c>
      <c r="S31" s="2"/>
      <c r="T31" s="6"/>
      <c r="U31" s="2"/>
      <c r="V31" s="7">
        <f t="shared" si="19"/>
        <v>0</v>
      </c>
      <c r="W31" s="2"/>
      <c r="X31" s="6">
        <f t="shared" si="20"/>
        <v>60</v>
      </c>
      <c r="Y31" s="2"/>
      <c r="Z31" s="7">
        <f t="shared" si="21"/>
        <v>0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3719.33</v>
      </c>
      <c r="E32" s="1"/>
      <c r="F32" s="5">
        <f t="shared" ref="F32:F35" si="22">IF(D$12=0,0,D32/D$12)</f>
        <v>0.24410113908133182</v>
      </c>
      <c r="G32" s="1"/>
      <c r="H32" s="1">
        <f>SUM(OSRRefH22_1x_0)</f>
        <v>0</v>
      </c>
      <c r="I32" s="1"/>
      <c r="J32" s="5">
        <f t="shared" ref="J32:J35" si="23">IF(H$12=0,0,H32/H$12)</f>
        <v>0</v>
      </c>
      <c r="K32" s="1"/>
      <c r="L32" s="1">
        <f t="shared" ref="L32:L35" si="24">+D32-H32</f>
        <v>3719.33</v>
      </c>
      <c r="M32" s="1"/>
      <c r="N32" s="5">
        <f t="shared" ref="N32:N35" si="25">IF(H32=0,0,L32/H32)</f>
        <v>0</v>
      </c>
      <c r="O32" s="14"/>
      <c r="P32" s="1">
        <f>SUM(OSRRefP22_1x_0)</f>
        <v>18000.79</v>
      </c>
      <c r="Q32" s="1"/>
      <c r="R32" s="5">
        <f t="shared" ref="R32:R35" si="26">IF(P$12=0,0,P32/P$12)</f>
        <v>0.28436678482641198</v>
      </c>
      <c r="S32" s="1"/>
      <c r="T32" s="1">
        <f>SUM(OSRRefT22_1x_0)</f>
        <v>884</v>
      </c>
      <c r="U32" s="1"/>
      <c r="V32" s="5">
        <f t="shared" ref="V32:V35" si="27">IF(T$12=0,0,T32/T$12)</f>
        <v>0</v>
      </c>
      <c r="W32" s="1"/>
      <c r="X32" s="1">
        <f t="shared" ref="X32:X35" si="28">+P32-T32</f>
        <v>17116.79</v>
      </c>
      <c r="Y32" s="1"/>
      <c r="Z32" s="5">
        <f t="shared" ref="Z32:Z35" si="29">IF(T32=0,0,X32/T32)</f>
        <v>19.362884615384615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/>
      <c r="E33" s="2"/>
      <c r="F33" s="7">
        <f t="shared" si="22"/>
        <v>0</v>
      </c>
      <c r="G33" s="2"/>
      <c r="H33" s="6"/>
      <c r="I33" s="2"/>
      <c r="J33" s="7">
        <f t="shared" si="23"/>
        <v>0</v>
      </c>
      <c r="K33" s="2"/>
      <c r="L33" s="6">
        <f t="shared" si="24"/>
        <v>0</v>
      </c>
      <c r="M33" s="2"/>
      <c r="N33" s="7">
        <f t="shared" si="25"/>
        <v>0</v>
      </c>
      <c r="O33" s="11"/>
      <c r="P33" s="6"/>
      <c r="Q33" s="2"/>
      <c r="R33" s="7">
        <f t="shared" si="26"/>
        <v>0</v>
      </c>
      <c r="S33" s="2"/>
      <c r="T33" s="6">
        <v>884</v>
      </c>
      <c r="U33" s="2"/>
      <c r="V33" s="7">
        <f t="shared" si="27"/>
        <v>0</v>
      </c>
      <c r="W33" s="2"/>
      <c r="X33" s="6">
        <f t="shared" si="28"/>
        <v>-884</v>
      </c>
      <c r="Y33" s="2"/>
      <c r="Z33" s="7">
        <f t="shared" si="29"/>
        <v>-1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2283.4499999999998</v>
      </c>
      <c r="E34" s="2"/>
      <c r="F34" s="7">
        <f t="shared" si="22"/>
        <v>0.14986375127651139</v>
      </c>
      <c r="G34" s="2"/>
      <c r="H34" s="6"/>
      <c r="I34" s="2"/>
      <c r="J34" s="7">
        <f t="shared" si="23"/>
        <v>0</v>
      </c>
      <c r="K34" s="2"/>
      <c r="L34" s="6">
        <f t="shared" si="24"/>
        <v>2283.4499999999998</v>
      </c>
      <c r="M34" s="2"/>
      <c r="N34" s="7">
        <f t="shared" si="25"/>
        <v>0</v>
      </c>
      <c r="O34" s="11"/>
      <c r="P34" s="6">
        <v>10373.549999999999</v>
      </c>
      <c r="Q34" s="2"/>
      <c r="R34" s="7">
        <f t="shared" si="26"/>
        <v>0.16387575549384364</v>
      </c>
      <c r="S34" s="2"/>
      <c r="T34" s="6"/>
      <c r="U34" s="2"/>
      <c r="V34" s="7">
        <f t="shared" si="27"/>
        <v>0</v>
      </c>
      <c r="W34" s="2"/>
      <c r="X34" s="6">
        <f t="shared" si="28"/>
        <v>10373.549999999999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>
        <v>1435.88</v>
      </c>
      <c r="E35" s="2"/>
      <c r="F35" s="7">
        <f t="shared" si="22"/>
        <v>9.4237387804820424E-2</v>
      </c>
      <c r="G35" s="2"/>
      <c r="H35" s="6"/>
      <c r="I35" s="2"/>
      <c r="J35" s="7">
        <f t="shared" si="23"/>
        <v>0</v>
      </c>
      <c r="K35" s="2"/>
      <c r="L35" s="6">
        <f t="shared" si="24"/>
        <v>1435.88</v>
      </c>
      <c r="M35" s="2"/>
      <c r="N35" s="7">
        <f t="shared" si="25"/>
        <v>0</v>
      </c>
      <c r="O35" s="11"/>
      <c r="P35" s="6">
        <v>7627.24</v>
      </c>
      <c r="Q35" s="2"/>
      <c r="R35" s="7">
        <f t="shared" si="26"/>
        <v>0.12049102933256832</v>
      </c>
      <c r="S35" s="2"/>
      <c r="T35" s="6"/>
      <c r="U35" s="2"/>
      <c r="V35" s="7">
        <f t="shared" si="27"/>
        <v>0</v>
      </c>
      <c r="W35" s="2"/>
      <c r="X35" s="6">
        <f t="shared" si="28"/>
        <v>7627.24</v>
      </c>
      <c r="Y35" s="2"/>
      <c r="Z35" s="7">
        <f t="shared" si="29"/>
        <v>0</v>
      </c>
    </row>
    <row r="36" spans="1:26" s="29" customFormat="1" outlineLevel="1" collapsed="1" x14ac:dyDescent="0.3">
      <c r="A36" s="28"/>
      <c r="B36" s="14" t="str">
        <f>CONCATENATE("     ","Advertising/Promo                                 ")</f>
        <v xml:space="preserve">     Advertising/Promo                                 </v>
      </c>
      <c r="C36" s="14"/>
      <c r="D36" s="1">
        <f>SUM(OSRRefD22_2x_0)</f>
        <v>3.25</v>
      </c>
      <c r="E36" s="1"/>
      <c r="F36" s="5">
        <f t="shared" ref="F36:F44" si="30">IF(D$12=0,0,D36/D$12)</f>
        <v>2.1329882049033789E-4</v>
      </c>
      <c r="G36" s="1"/>
      <c r="H36" s="1">
        <f>SUM(OSRRefH22_2x_0)</f>
        <v>0</v>
      </c>
      <c r="I36" s="1"/>
      <c r="J36" s="5">
        <f t="shared" ref="J36:J44" si="31">IF(H$12=0,0,H36/H$12)</f>
        <v>0</v>
      </c>
      <c r="K36" s="1"/>
      <c r="L36" s="1">
        <f t="shared" ref="L36:L44" si="32">+D36-H36</f>
        <v>3.25</v>
      </c>
      <c r="M36" s="1"/>
      <c r="N36" s="5">
        <f t="shared" ref="N36:N44" si="33">IF(H36=0,0,L36/H36)</f>
        <v>0</v>
      </c>
      <c r="O36" s="14"/>
      <c r="P36" s="1">
        <f>SUM(OSRRefP22_2x_0)</f>
        <v>91.22</v>
      </c>
      <c r="Q36" s="1"/>
      <c r="R36" s="5">
        <f t="shared" ref="R36:R44" si="34">IF(P$12=0,0,P36/P$12)</f>
        <v>1.4410444270426632E-3</v>
      </c>
      <c r="S36" s="1"/>
      <c r="T36" s="1">
        <f>SUM(OSRRefT22_2x_0)</f>
        <v>0</v>
      </c>
      <c r="U36" s="1"/>
      <c r="V36" s="5">
        <f t="shared" ref="V36:V44" si="35">IF(T$12=0,0,T36/T$12)</f>
        <v>0</v>
      </c>
      <c r="W36" s="1"/>
      <c r="X36" s="1">
        <f t="shared" ref="X36:X44" si="36">+P36-T36</f>
        <v>91.22</v>
      </c>
      <c r="Y36" s="1"/>
      <c r="Z36" s="5">
        <f t="shared" ref="Z36:Z44" si="37">IF(T36=0,0,X36/T36)</f>
        <v>0</v>
      </c>
    </row>
    <row r="37" spans="1:26" s="24" customFormat="1" hidden="1" outlineLevel="2" x14ac:dyDescent="0.3">
      <c r="A37" s="27"/>
      <c r="B37" s="11" t="str">
        <f>CONCATENATE("          ", "6362", " - ", "ADVERTISING EXPENSE")</f>
        <v xml:space="preserve">          6362 - ADVERTISING EXPENSE</v>
      </c>
      <c r="C37" s="11"/>
      <c r="D37" s="6">
        <v>3.25</v>
      </c>
      <c r="E37" s="2"/>
      <c r="F37" s="7">
        <f t="shared" si="30"/>
        <v>2.1329882049033789E-4</v>
      </c>
      <c r="G37" s="2"/>
      <c r="H37" s="6"/>
      <c r="I37" s="2"/>
      <c r="J37" s="7">
        <f t="shared" si="31"/>
        <v>0</v>
      </c>
      <c r="K37" s="2"/>
      <c r="L37" s="6">
        <f t="shared" si="32"/>
        <v>3.25</v>
      </c>
      <c r="M37" s="2"/>
      <c r="N37" s="7">
        <f t="shared" si="33"/>
        <v>0</v>
      </c>
      <c r="O37" s="11"/>
      <c r="P37" s="6">
        <v>91.22</v>
      </c>
      <c r="Q37" s="2"/>
      <c r="R37" s="7">
        <f t="shared" si="34"/>
        <v>1.4410444270426632E-3</v>
      </c>
      <c r="S37" s="2"/>
      <c r="T37" s="6"/>
      <c r="U37" s="2"/>
      <c r="V37" s="7">
        <f t="shared" si="35"/>
        <v>0</v>
      </c>
      <c r="W37" s="2"/>
      <c r="X37" s="6">
        <f t="shared" si="36"/>
        <v>91.22</v>
      </c>
      <c r="Y37" s="2"/>
      <c r="Z37" s="7">
        <f t="shared" si="37"/>
        <v>0</v>
      </c>
    </row>
    <row r="38" spans="1:26" s="29" customFormat="1" outlineLevel="1" collapsed="1" x14ac:dyDescent="0.3">
      <c r="A38" s="28"/>
      <c r="B38" s="14" t="str">
        <f>CONCATENATE("     ","Bad Debts/Over/Short                              ")</f>
        <v xml:space="preserve">     Bad Debts/Over/Short                              </v>
      </c>
      <c r="C38" s="14"/>
      <c r="D38" s="1">
        <f>SUM(OSRRefD22_3x_0)</f>
        <v>2.06</v>
      </c>
      <c r="E38" s="1"/>
      <c r="F38" s="5">
        <f t="shared" si="30"/>
        <v>1.3519863698772188E-4</v>
      </c>
      <c r="G38" s="1"/>
      <c r="H38" s="1">
        <f>SUM(OSRRefH22_3x_0)</f>
        <v>0</v>
      </c>
      <c r="I38" s="1"/>
      <c r="J38" s="5">
        <f t="shared" si="31"/>
        <v>0</v>
      </c>
      <c r="K38" s="1"/>
      <c r="L38" s="1">
        <f t="shared" si="32"/>
        <v>2.06</v>
      </c>
      <c r="M38" s="1"/>
      <c r="N38" s="5">
        <f t="shared" si="33"/>
        <v>0</v>
      </c>
      <c r="O38" s="14"/>
      <c r="P38" s="1">
        <f>SUM(OSRRefP22_3x_0)</f>
        <v>9.24</v>
      </c>
      <c r="Q38" s="1"/>
      <c r="R38" s="5">
        <f t="shared" si="34"/>
        <v>1.4596854314705336E-4</v>
      </c>
      <c r="S38" s="1"/>
      <c r="T38" s="1">
        <f>SUM(OSRRefT22_3x_0)</f>
        <v>0</v>
      </c>
      <c r="U38" s="1"/>
      <c r="V38" s="5">
        <f t="shared" si="35"/>
        <v>0</v>
      </c>
      <c r="W38" s="1"/>
      <c r="X38" s="1">
        <f t="shared" si="36"/>
        <v>9.24</v>
      </c>
      <c r="Y38" s="1"/>
      <c r="Z38" s="5">
        <f t="shared" si="37"/>
        <v>0</v>
      </c>
    </row>
    <row r="39" spans="1:26" s="24" customFormat="1" hidden="1" outlineLevel="2" x14ac:dyDescent="0.3">
      <c r="A39" s="27"/>
      <c r="B39" s="11" t="str">
        <f>CONCATENATE("          ", "6272", " - ", "CASH (OVER/SHORT)")</f>
        <v xml:space="preserve">          6272 - CASH (OVER/SHORT)</v>
      </c>
      <c r="C39" s="11"/>
      <c r="D39" s="6">
        <v>2.06</v>
      </c>
      <c r="E39" s="2"/>
      <c r="F39" s="7">
        <f t="shared" si="30"/>
        <v>1.3519863698772188E-4</v>
      </c>
      <c r="G39" s="2"/>
      <c r="H39" s="6"/>
      <c r="I39" s="2"/>
      <c r="J39" s="7">
        <f t="shared" si="31"/>
        <v>0</v>
      </c>
      <c r="K39" s="2"/>
      <c r="L39" s="6">
        <f t="shared" si="32"/>
        <v>2.06</v>
      </c>
      <c r="M39" s="2"/>
      <c r="N39" s="7">
        <f t="shared" si="33"/>
        <v>0</v>
      </c>
      <c r="O39" s="11"/>
      <c r="P39" s="6">
        <v>9.24</v>
      </c>
      <c r="Q39" s="2"/>
      <c r="R39" s="7">
        <f t="shared" si="34"/>
        <v>1.4596854314705336E-4</v>
      </c>
      <c r="S39" s="2"/>
      <c r="T39" s="6"/>
      <c r="U39" s="2"/>
      <c r="V39" s="7">
        <f t="shared" si="35"/>
        <v>0</v>
      </c>
      <c r="W39" s="2"/>
      <c r="X39" s="6">
        <f t="shared" si="36"/>
        <v>9.24</v>
      </c>
      <c r="Y39" s="2"/>
      <c r="Z39" s="7">
        <f t="shared" si="37"/>
        <v>0</v>
      </c>
    </row>
    <row r="40" spans="1:26" s="29" customFormat="1" outlineLevel="1" collapsed="1" x14ac:dyDescent="0.3">
      <c r="A40" s="28"/>
      <c r="B40" s="14" t="str">
        <f>CONCATENATE("     ","Bank/card Fees                                    ")</f>
        <v xml:space="preserve">     Bank/card Fees                                    </v>
      </c>
      <c r="C40" s="14"/>
      <c r="D40" s="1">
        <f>SUM(OSRRefD22_4x_0)</f>
        <v>646.41</v>
      </c>
      <c r="E40" s="1"/>
      <c r="F40" s="5">
        <f t="shared" si="30"/>
        <v>4.2424150939433636E-2</v>
      </c>
      <c r="G40" s="1"/>
      <c r="H40" s="1">
        <f>SUM(OSRRefH22_4x_0)</f>
        <v>0</v>
      </c>
      <c r="I40" s="1"/>
      <c r="J40" s="5">
        <f t="shared" si="31"/>
        <v>0</v>
      </c>
      <c r="K40" s="1"/>
      <c r="L40" s="1">
        <f t="shared" si="32"/>
        <v>646.41</v>
      </c>
      <c r="M40" s="1"/>
      <c r="N40" s="5">
        <f t="shared" si="33"/>
        <v>0</v>
      </c>
      <c r="O40" s="14"/>
      <c r="P40" s="1">
        <f>SUM(OSRRefP22_4x_0)</f>
        <v>2648.2</v>
      </c>
      <c r="Q40" s="1"/>
      <c r="R40" s="5">
        <f t="shared" si="34"/>
        <v>4.1834837225327562E-2</v>
      </c>
      <c r="S40" s="1"/>
      <c r="T40" s="1">
        <f>SUM(OSRRefT22_4x_0)</f>
        <v>0</v>
      </c>
      <c r="U40" s="1"/>
      <c r="V40" s="5">
        <f t="shared" si="35"/>
        <v>0</v>
      </c>
      <c r="W40" s="1"/>
      <c r="X40" s="1">
        <f t="shared" si="36"/>
        <v>2648.2</v>
      </c>
      <c r="Y40" s="1"/>
      <c r="Z40" s="5">
        <f t="shared" si="37"/>
        <v>0</v>
      </c>
    </row>
    <row r="41" spans="1:26" s="24" customFormat="1" hidden="1" outlineLevel="2" x14ac:dyDescent="0.3">
      <c r="A41" s="27"/>
      <c r="B41" s="11" t="str">
        <f>CONCATENATE("          ", "6381", " - ", "BANK/CREDIT CARD FEES")</f>
        <v xml:space="preserve">          6381 - BANK/CREDIT CARD FEES</v>
      </c>
      <c r="C41" s="11"/>
      <c r="D41" s="6">
        <v>646.41</v>
      </c>
      <c r="E41" s="2"/>
      <c r="F41" s="7">
        <f t="shared" si="30"/>
        <v>4.2424150939433636E-2</v>
      </c>
      <c r="G41" s="2"/>
      <c r="H41" s="6"/>
      <c r="I41" s="2"/>
      <c r="J41" s="7">
        <f t="shared" si="31"/>
        <v>0</v>
      </c>
      <c r="K41" s="2"/>
      <c r="L41" s="6">
        <f t="shared" si="32"/>
        <v>646.41</v>
      </c>
      <c r="M41" s="2"/>
      <c r="N41" s="7">
        <f t="shared" si="33"/>
        <v>0</v>
      </c>
      <c r="O41" s="11"/>
      <c r="P41" s="6">
        <v>2648.2</v>
      </c>
      <c r="Q41" s="2"/>
      <c r="R41" s="7">
        <f t="shared" si="34"/>
        <v>4.1834837225327562E-2</v>
      </c>
      <c r="S41" s="2"/>
      <c r="T41" s="6"/>
      <c r="U41" s="2"/>
      <c r="V41" s="7">
        <f t="shared" si="35"/>
        <v>0</v>
      </c>
      <c r="W41" s="2"/>
      <c r="X41" s="6">
        <f t="shared" si="36"/>
        <v>2648.2</v>
      </c>
      <c r="Y41" s="2"/>
      <c r="Z41" s="7">
        <f t="shared" si="37"/>
        <v>0</v>
      </c>
    </row>
    <row r="42" spans="1:26" s="29" customFormat="1" outlineLevel="1" collapsed="1" x14ac:dyDescent="0.3">
      <c r="A42" s="28"/>
      <c r="B42" s="14" t="str">
        <f>CONCATENATE("     ","Depreciation                                      ")</f>
        <v xml:space="preserve">     Depreciation                                      </v>
      </c>
      <c r="C42" s="14"/>
      <c r="D42" s="1">
        <f>SUM(OSRRefD22_5x_0)</f>
        <v>5471.21</v>
      </c>
      <c r="E42" s="1"/>
      <c r="F42" s="5">
        <f t="shared" si="30"/>
        <v>0.35907773527844355</v>
      </c>
      <c r="G42" s="1"/>
      <c r="H42" s="1">
        <f>SUM(OSRRefH22_5x_0)</f>
        <v>5471.21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SUM(OSRRefP22_5x_0)</f>
        <v>27356.05</v>
      </c>
      <c r="Q42" s="1"/>
      <c r="R42" s="5">
        <f t="shared" si="34"/>
        <v>0.43215614337207242</v>
      </c>
      <c r="S42" s="1"/>
      <c r="T42" s="1">
        <f>SUM(OSRRefT22_5x_0)</f>
        <v>27801.55</v>
      </c>
      <c r="U42" s="1"/>
      <c r="V42" s="5">
        <f t="shared" si="35"/>
        <v>0</v>
      </c>
      <c r="W42" s="1"/>
      <c r="X42" s="1">
        <f t="shared" si="36"/>
        <v>-445.5</v>
      </c>
      <c r="Y42" s="1"/>
      <c r="Z42" s="5">
        <f t="shared" si="37"/>
        <v>-1.6024286415685457E-2</v>
      </c>
    </row>
    <row r="43" spans="1:26" s="24" customFormat="1" hidden="1" outlineLevel="2" x14ac:dyDescent="0.3">
      <c r="A43" s="27"/>
      <c r="B43" s="11" t="str">
        <f>CONCATENATE("          ", "6321", " - ", "BUILDING DEPRECIATION")</f>
        <v xml:space="preserve">          6321 - BUILDING DEPRECIATION</v>
      </c>
      <c r="C43" s="11"/>
      <c r="D43" s="6">
        <v>5080.51</v>
      </c>
      <c r="E43" s="2"/>
      <c r="F43" s="7">
        <f t="shared" si="30"/>
        <v>0.33343593553518974</v>
      </c>
      <c r="G43" s="2"/>
      <c r="H43" s="6">
        <v>5080.51</v>
      </c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>
        <v>25402.55</v>
      </c>
      <c r="Q43" s="2"/>
      <c r="R43" s="7">
        <f t="shared" si="34"/>
        <v>0.40129580256711905</v>
      </c>
      <c r="S43" s="2"/>
      <c r="T43" s="6">
        <v>25402.55</v>
      </c>
      <c r="U43" s="2"/>
      <c r="V43" s="7">
        <f t="shared" si="35"/>
        <v>0</v>
      </c>
      <c r="W43" s="2"/>
      <c r="X43" s="6">
        <f t="shared" si="36"/>
        <v>0</v>
      </c>
      <c r="Y43" s="2"/>
      <c r="Z43" s="7">
        <f t="shared" si="37"/>
        <v>0</v>
      </c>
    </row>
    <row r="44" spans="1:26" s="24" customFormat="1" hidden="1" outlineLevel="2" x14ac:dyDescent="0.3">
      <c r="A44" s="27"/>
      <c r="B44" s="11" t="str">
        <f>CONCATENATE("          ", "6322", " - ", "EQUIPMENT DEPRECIATION EXPENSE")</f>
        <v xml:space="preserve">          6322 - EQUIPMENT DEPRECIATION EXPENSE</v>
      </c>
      <c r="C44" s="11"/>
      <c r="D44" s="6">
        <v>390.7</v>
      </c>
      <c r="E44" s="2"/>
      <c r="F44" s="7">
        <f t="shared" si="30"/>
        <v>2.5641799743253851E-2</v>
      </c>
      <c r="G44" s="2"/>
      <c r="H44" s="6">
        <v>390.7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1953.5</v>
      </c>
      <c r="Q44" s="2"/>
      <c r="R44" s="7">
        <f t="shared" si="34"/>
        <v>3.0860340804953326E-2</v>
      </c>
      <c r="S44" s="2"/>
      <c r="T44" s="6">
        <v>2399</v>
      </c>
      <c r="U44" s="2"/>
      <c r="V44" s="7">
        <f t="shared" si="35"/>
        <v>0</v>
      </c>
      <c r="W44" s="2"/>
      <c r="X44" s="6">
        <f t="shared" si="36"/>
        <v>-445.5</v>
      </c>
      <c r="Y44" s="2"/>
      <c r="Z44" s="7">
        <f t="shared" si="37"/>
        <v>-0.18570237598999584</v>
      </c>
    </row>
    <row r="45" spans="1:26" s="29" customFormat="1" outlineLevel="1" collapsed="1" x14ac:dyDescent="0.3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SUM(OSRRefD22_6x_0)</f>
        <v>0</v>
      </c>
      <c r="E45" s="1"/>
      <c r="F45" s="5">
        <f t="shared" ref="F45:F53" si="38">IF(D$12=0,0,D45/D$12)</f>
        <v>0</v>
      </c>
      <c r="G45" s="1"/>
      <c r="H45" s="1">
        <f>SUM(OSRRefH22_6x_0)</f>
        <v>0</v>
      </c>
      <c r="I45" s="1"/>
      <c r="J45" s="5">
        <f t="shared" ref="J45:J53" si="39">IF(H$12=0,0,H45/H$12)</f>
        <v>0</v>
      </c>
      <c r="K45" s="1"/>
      <c r="L45" s="1">
        <f t="shared" ref="L45:L53" si="40">+D45-H45</f>
        <v>0</v>
      </c>
      <c r="M45" s="1"/>
      <c r="N45" s="5">
        <f t="shared" ref="N45:N53" si="41">IF(H45=0,0,L45/H45)</f>
        <v>0</v>
      </c>
      <c r="O45" s="14"/>
      <c r="P45" s="1">
        <f>SUM(OSRRefP22_6x_0)</f>
        <v>842.45</v>
      </c>
      <c r="Q45" s="1"/>
      <c r="R45" s="5">
        <f t="shared" ref="R45:R53" si="42">IF(P$12=0,0,P45/P$12)</f>
        <v>1.3308571339202935E-2</v>
      </c>
      <c r="S45" s="1"/>
      <c r="T45" s="1">
        <f>SUM(OSRRefT22_6x_0)</f>
        <v>754.55</v>
      </c>
      <c r="U45" s="1"/>
      <c r="V45" s="5">
        <f t="shared" ref="V45:V53" si="43">IF(T$12=0,0,T45/T$12)</f>
        <v>0</v>
      </c>
      <c r="W45" s="1"/>
      <c r="X45" s="1">
        <f t="shared" ref="X45:X53" si="44">+P45-T45</f>
        <v>87.900000000000091</v>
      </c>
      <c r="Y45" s="1"/>
      <c r="Z45" s="5">
        <f t="shared" ref="Z45:Z53" si="45">IF(T45=0,0,X45/T45)</f>
        <v>0.11649327413690291</v>
      </c>
    </row>
    <row r="46" spans="1:26" s="24" customFormat="1" hidden="1" outlineLevel="2" x14ac:dyDescent="0.3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8"/>
        <v>0</v>
      </c>
      <c r="G46" s="2"/>
      <c r="H46" s="6"/>
      <c r="I46" s="2"/>
      <c r="J46" s="7">
        <f t="shared" si="39"/>
        <v>0</v>
      </c>
      <c r="K46" s="2"/>
      <c r="L46" s="6">
        <f t="shared" si="40"/>
        <v>0</v>
      </c>
      <c r="M46" s="2"/>
      <c r="N46" s="7">
        <f t="shared" si="41"/>
        <v>0</v>
      </c>
      <c r="O46" s="11"/>
      <c r="P46" s="6">
        <v>842.45</v>
      </c>
      <c r="Q46" s="2"/>
      <c r="R46" s="7">
        <f t="shared" si="42"/>
        <v>1.3308571339202935E-2</v>
      </c>
      <c r="S46" s="2"/>
      <c r="T46" s="6">
        <v>754.55</v>
      </c>
      <c r="U46" s="2"/>
      <c r="V46" s="7">
        <f t="shared" si="43"/>
        <v>0</v>
      </c>
      <c r="W46" s="2"/>
      <c r="X46" s="6">
        <f t="shared" si="44"/>
        <v>87.900000000000091</v>
      </c>
      <c r="Y46" s="2"/>
      <c r="Z46" s="7">
        <f t="shared" si="45"/>
        <v>0.11649327413690291</v>
      </c>
    </row>
    <row r="47" spans="1:26" s="29" customFormat="1" outlineLevel="1" collapsed="1" x14ac:dyDescent="0.3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SUM(OSRRefD22_7x_0)</f>
        <v>331.01</v>
      </c>
      <c r="E47" s="1"/>
      <c r="F47" s="5">
        <f t="shared" si="38"/>
        <v>2.172432079092515E-2</v>
      </c>
      <c r="G47" s="1"/>
      <c r="H47" s="1">
        <f>SUM(OSRRefH22_7x_0)</f>
        <v>243.54</v>
      </c>
      <c r="I47" s="1"/>
      <c r="J47" s="5">
        <f t="shared" si="39"/>
        <v>0</v>
      </c>
      <c r="K47" s="1"/>
      <c r="L47" s="1">
        <f t="shared" si="40"/>
        <v>87.47</v>
      </c>
      <c r="M47" s="1"/>
      <c r="N47" s="5">
        <f t="shared" si="41"/>
        <v>0.35916071281924944</v>
      </c>
      <c r="O47" s="14"/>
      <c r="P47" s="1">
        <f>SUM(OSRRefP22_7x_0)</f>
        <v>1655.05</v>
      </c>
      <c r="Q47" s="1"/>
      <c r="R47" s="5">
        <f t="shared" si="42"/>
        <v>2.6145588456226262E-2</v>
      </c>
      <c r="S47" s="1"/>
      <c r="T47" s="1">
        <f>SUM(OSRRefT22_7x_0)</f>
        <v>1217.7</v>
      </c>
      <c r="U47" s="1"/>
      <c r="V47" s="5">
        <f t="shared" si="43"/>
        <v>0</v>
      </c>
      <c r="W47" s="1"/>
      <c r="X47" s="1">
        <f t="shared" si="44"/>
        <v>437.34999999999991</v>
      </c>
      <c r="Y47" s="1"/>
      <c r="Z47" s="5">
        <f t="shared" si="45"/>
        <v>0.35916071281924933</v>
      </c>
    </row>
    <row r="48" spans="1:26" s="24" customFormat="1" hidden="1" outlineLevel="2" x14ac:dyDescent="0.3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331.01</v>
      </c>
      <c r="E48" s="2"/>
      <c r="F48" s="7">
        <f t="shared" si="38"/>
        <v>2.172432079092515E-2</v>
      </c>
      <c r="G48" s="2"/>
      <c r="H48" s="6">
        <v>243.54</v>
      </c>
      <c r="I48" s="2"/>
      <c r="J48" s="7">
        <f t="shared" si="39"/>
        <v>0</v>
      </c>
      <c r="K48" s="2"/>
      <c r="L48" s="6">
        <f t="shared" si="40"/>
        <v>87.47</v>
      </c>
      <c r="M48" s="2"/>
      <c r="N48" s="7">
        <f t="shared" si="41"/>
        <v>0.35916071281924944</v>
      </c>
      <c r="O48" s="11"/>
      <c r="P48" s="6">
        <v>1655.05</v>
      </c>
      <c r="Q48" s="2"/>
      <c r="R48" s="7">
        <f t="shared" si="42"/>
        <v>2.6145588456226262E-2</v>
      </c>
      <c r="S48" s="2"/>
      <c r="T48" s="6">
        <v>1217.7</v>
      </c>
      <c r="U48" s="2"/>
      <c r="V48" s="7">
        <f t="shared" si="43"/>
        <v>0</v>
      </c>
      <c r="W48" s="2"/>
      <c r="X48" s="6">
        <f t="shared" si="44"/>
        <v>437.34999999999991</v>
      </c>
      <c r="Y48" s="2"/>
      <c r="Z48" s="7">
        <f t="shared" si="45"/>
        <v>0.35916071281924933</v>
      </c>
    </row>
    <row r="49" spans="1:26" s="29" customFormat="1" outlineLevel="1" collapsed="1" x14ac:dyDescent="0.3">
      <c r="A49" s="28"/>
      <c r="B49" s="14" t="str">
        <f>CONCATENATE("     ","Interest                                          ")</f>
        <v xml:space="preserve">     Interest                                          </v>
      </c>
      <c r="C49" s="14"/>
      <c r="D49" s="1">
        <f>SUM(OSRRefD22_8x_0)</f>
        <v>3905</v>
      </c>
      <c r="E49" s="1"/>
      <c r="F49" s="5">
        <f t="shared" si="38"/>
        <v>0.25628673661992907</v>
      </c>
      <c r="G49" s="1"/>
      <c r="H49" s="1">
        <f>SUM(OSRRefH22_8x_0)</f>
        <v>4044</v>
      </c>
      <c r="I49" s="1"/>
      <c r="J49" s="5">
        <f t="shared" si="39"/>
        <v>0</v>
      </c>
      <c r="K49" s="1"/>
      <c r="L49" s="1">
        <f t="shared" si="40"/>
        <v>-139</v>
      </c>
      <c r="M49" s="1"/>
      <c r="N49" s="5">
        <f t="shared" si="41"/>
        <v>-3.4371909000989118E-2</v>
      </c>
      <c r="O49" s="14"/>
      <c r="P49" s="1">
        <f>SUM(OSRRefP22_8x_0)</f>
        <v>19249</v>
      </c>
      <c r="Q49" s="1"/>
      <c r="R49" s="5">
        <f t="shared" si="42"/>
        <v>0.30408533409498162</v>
      </c>
      <c r="S49" s="1"/>
      <c r="T49" s="1">
        <f>SUM(OSRRefT22_8x_0)</f>
        <v>19957.849999999999</v>
      </c>
      <c r="U49" s="1"/>
      <c r="V49" s="5">
        <f t="shared" si="43"/>
        <v>0</v>
      </c>
      <c r="W49" s="1"/>
      <c r="X49" s="1">
        <f t="shared" si="44"/>
        <v>-708.84999999999854</v>
      </c>
      <c r="Y49" s="1"/>
      <c r="Z49" s="5">
        <f t="shared" si="45"/>
        <v>-3.5517352821070339E-2</v>
      </c>
    </row>
    <row r="50" spans="1:26" s="24" customFormat="1" hidden="1" outlineLevel="2" x14ac:dyDescent="0.3">
      <c r="A50" s="27"/>
      <c r="B50" s="11" t="str">
        <f>CONCATENATE("          ", "6401", " - ", "INTEREST EXPENSE")</f>
        <v xml:space="preserve">          6401 - INTEREST EXPENSE</v>
      </c>
      <c r="C50" s="11"/>
      <c r="D50" s="6">
        <v>3905</v>
      </c>
      <c r="E50" s="2"/>
      <c r="F50" s="7">
        <f t="shared" si="38"/>
        <v>0.25628673661992907</v>
      </c>
      <c r="G50" s="2"/>
      <c r="H50" s="6">
        <v>4044</v>
      </c>
      <c r="I50" s="2"/>
      <c r="J50" s="7">
        <f t="shared" si="39"/>
        <v>0</v>
      </c>
      <c r="K50" s="2"/>
      <c r="L50" s="6">
        <f t="shared" si="40"/>
        <v>-139</v>
      </c>
      <c r="M50" s="2"/>
      <c r="N50" s="7">
        <f t="shared" si="41"/>
        <v>-3.4371909000989118E-2</v>
      </c>
      <c r="O50" s="11"/>
      <c r="P50" s="6">
        <v>19249</v>
      </c>
      <c r="Q50" s="2"/>
      <c r="R50" s="7">
        <f t="shared" si="42"/>
        <v>0.30408533409498162</v>
      </c>
      <c r="S50" s="2"/>
      <c r="T50" s="6">
        <v>19957.849999999999</v>
      </c>
      <c r="U50" s="2"/>
      <c r="V50" s="7">
        <f t="shared" si="43"/>
        <v>0</v>
      </c>
      <c r="W50" s="2"/>
      <c r="X50" s="6">
        <f t="shared" si="44"/>
        <v>-708.84999999999854</v>
      </c>
      <c r="Y50" s="2"/>
      <c r="Z50" s="7">
        <f t="shared" si="45"/>
        <v>-3.5517352821070339E-2</v>
      </c>
    </row>
    <row r="51" spans="1:26" s="29" customFormat="1" outlineLevel="1" collapsed="1" x14ac:dyDescent="0.3">
      <c r="A51" s="28"/>
      <c r="B51" s="14" t="str">
        <f>CONCATENATE("     ","Repair and Maintenance                            ")</f>
        <v xml:space="preserve">     Repair and Maintenance                            </v>
      </c>
      <c r="C51" s="14"/>
      <c r="D51" s="1">
        <f>SUM(OSRRefD22_9x_0)</f>
        <v>0</v>
      </c>
      <c r="E51" s="1"/>
      <c r="F51" s="5">
        <f t="shared" si="38"/>
        <v>0</v>
      </c>
      <c r="G51" s="1"/>
      <c r="H51" s="1">
        <f>SUM(OSRRefH22_9x_0)</f>
        <v>0</v>
      </c>
      <c r="I51" s="1"/>
      <c r="J51" s="5">
        <f t="shared" si="39"/>
        <v>0</v>
      </c>
      <c r="K51" s="1"/>
      <c r="L51" s="1">
        <f t="shared" si="40"/>
        <v>0</v>
      </c>
      <c r="M51" s="1"/>
      <c r="N51" s="5">
        <f t="shared" si="41"/>
        <v>0</v>
      </c>
      <c r="O51" s="14"/>
      <c r="P51" s="1">
        <f>SUM(OSRRefP22_9x_0)</f>
        <v>2269.0300000000002</v>
      </c>
      <c r="Q51" s="1"/>
      <c r="R51" s="5">
        <f t="shared" si="42"/>
        <v>3.5844913794043129E-2</v>
      </c>
      <c r="S51" s="1"/>
      <c r="T51" s="1">
        <f>SUM(OSRRefT22_9x_0)</f>
        <v>187.12</v>
      </c>
      <c r="U51" s="1"/>
      <c r="V51" s="5">
        <f t="shared" si="43"/>
        <v>0</v>
      </c>
      <c r="W51" s="1"/>
      <c r="X51" s="1">
        <f t="shared" si="44"/>
        <v>2081.9100000000003</v>
      </c>
      <c r="Y51" s="1"/>
      <c r="Z51" s="5">
        <f t="shared" si="45"/>
        <v>11.126068832834546</v>
      </c>
    </row>
    <row r="52" spans="1:26" s="24" customFormat="1" hidden="1" outlineLevel="2" x14ac:dyDescent="0.3">
      <c r="A52" s="27"/>
      <c r="B52" s="11" t="str">
        <f>CONCATENATE("          ", "6373", " - ", "MAINTENANCE CONTRACTS")</f>
        <v xml:space="preserve">          6373 - MAINTENANCE CONTRACTS</v>
      </c>
      <c r="C52" s="11"/>
      <c r="D52" s="6"/>
      <c r="E52" s="2"/>
      <c r="F52" s="7">
        <f t="shared" si="38"/>
        <v>0</v>
      </c>
      <c r="G52" s="2"/>
      <c r="H52" s="6"/>
      <c r="I52" s="2"/>
      <c r="J52" s="7">
        <f t="shared" si="39"/>
        <v>0</v>
      </c>
      <c r="K52" s="2"/>
      <c r="L52" s="6">
        <f t="shared" si="40"/>
        <v>0</v>
      </c>
      <c r="M52" s="2"/>
      <c r="N52" s="7">
        <f t="shared" si="41"/>
        <v>0</v>
      </c>
      <c r="O52" s="11"/>
      <c r="P52" s="6">
        <v>107.78</v>
      </c>
      <c r="Q52" s="2"/>
      <c r="R52" s="7">
        <f t="shared" si="42"/>
        <v>1.7026503874880315E-3</v>
      </c>
      <c r="S52" s="2"/>
      <c r="T52" s="6">
        <v>187.12</v>
      </c>
      <c r="U52" s="2"/>
      <c r="V52" s="7">
        <f t="shared" si="43"/>
        <v>0</v>
      </c>
      <c r="W52" s="2"/>
      <c r="X52" s="6">
        <f t="shared" si="44"/>
        <v>-79.34</v>
      </c>
      <c r="Y52" s="2"/>
      <c r="Z52" s="7">
        <f t="shared" si="45"/>
        <v>-0.42400598546387347</v>
      </c>
    </row>
    <row r="53" spans="1:26" s="24" customFormat="1" hidden="1" outlineLevel="2" x14ac:dyDescent="0.3">
      <c r="A53" s="27"/>
      <c r="B53" s="11" t="str">
        <f>CONCATENATE("          ", "6375", " - ", "OUTSIDE REPAIRS &amp; MAINTENANCE")</f>
        <v xml:space="preserve">          6375 - OUTSIDE REPAIRS &amp; MAINTENANCE</v>
      </c>
      <c r="C53" s="11"/>
      <c r="D53" s="6"/>
      <c r="E53" s="2"/>
      <c r="F53" s="7">
        <f t="shared" si="38"/>
        <v>0</v>
      </c>
      <c r="G53" s="2"/>
      <c r="H53" s="6"/>
      <c r="I53" s="2"/>
      <c r="J53" s="7">
        <f t="shared" si="39"/>
        <v>0</v>
      </c>
      <c r="K53" s="2"/>
      <c r="L53" s="6">
        <f t="shared" si="40"/>
        <v>0</v>
      </c>
      <c r="M53" s="2"/>
      <c r="N53" s="7">
        <f t="shared" si="41"/>
        <v>0</v>
      </c>
      <c r="O53" s="11"/>
      <c r="P53" s="6">
        <v>2161.25</v>
      </c>
      <c r="Q53" s="2"/>
      <c r="R53" s="7">
        <f t="shared" si="42"/>
        <v>3.4142263406555094E-2</v>
      </c>
      <c r="S53" s="2"/>
      <c r="T53" s="6"/>
      <c r="U53" s="2"/>
      <c r="V53" s="7">
        <f t="shared" si="43"/>
        <v>0</v>
      </c>
      <c r="W53" s="2"/>
      <c r="X53" s="6">
        <f t="shared" si="44"/>
        <v>2161.25</v>
      </c>
      <c r="Y53" s="2"/>
      <c r="Z53" s="7">
        <f t="shared" si="45"/>
        <v>0</v>
      </c>
    </row>
    <row r="54" spans="1:26" s="29" customFormat="1" outlineLevel="1" collapsed="1" x14ac:dyDescent="0.3">
      <c r="A54" s="28"/>
      <c r="B54" s="14" t="str">
        <f>CONCATENATE("     ","Services                                          ")</f>
        <v xml:space="preserve">     Services                                          </v>
      </c>
      <c r="C54" s="14"/>
      <c r="D54" s="1">
        <f>SUM(OSRRefD22_10x_0)</f>
        <v>272.27999999999997</v>
      </c>
      <c r="E54" s="1"/>
      <c r="F54" s="5">
        <f t="shared" ref="F54:F58" si="46">IF(D$12=0,0,D54/D$12)</f>
        <v>1.7869847028648984E-2</v>
      </c>
      <c r="G54" s="1"/>
      <c r="H54" s="1">
        <f>SUM(OSRRefH22_10x_0)</f>
        <v>289</v>
      </c>
      <c r="I54" s="1"/>
      <c r="J54" s="5">
        <f t="shared" ref="J54:J58" si="47">IF(H$12=0,0,H54/H$12)</f>
        <v>0</v>
      </c>
      <c r="K54" s="1"/>
      <c r="L54" s="1">
        <f t="shared" ref="L54:L58" si="48">+D54-H54</f>
        <v>-16.720000000000027</v>
      </c>
      <c r="M54" s="1"/>
      <c r="N54" s="5">
        <f t="shared" ref="N54:N58" si="49">IF(H54=0,0,L54/H54)</f>
        <v>-5.7854671280276909E-2</v>
      </c>
      <c r="O54" s="14"/>
      <c r="P54" s="1">
        <f>SUM(OSRRefP22_10x_0)</f>
        <v>8383.16</v>
      </c>
      <c r="Q54" s="1"/>
      <c r="R54" s="5">
        <f t="shared" ref="R54:R58" si="50">IF(P$12=0,0,P54/P$12)</f>
        <v>0.13243264633859869</v>
      </c>
      <c r="S54" s="1"/>
      <c r="T54" s="1">
        <f>SUM(OSRRefT22_10x_0)</f>
        <v>289</v>
      </c>
      <c r="U54" s="1"/>
      <c r="V54" s="5">
        <f t="shared" ref="V54:V58" si="51">IF(T$12=0,0,T54/T$12)</f>
        <v>0</v>
      </c>
      <c r="W54" s="1"/>
      <c r="X54" s="1">
        <f t="shared" ref="X54:X58" si="52">+P54-T54</f>
        <v>8094.16</v>
      </c>
      <c r="Y54" s="1"/>
      <c r="Z54" s="5">
        <f t="shared" ref="Z54:Z58" si="53">IF(T54=0,0,X54/T54)</f>
        <v>28.007474048442905</v>
      </c>
    </row>
    <row r="55" spans="1:26" s="24" customFormat="1" hidden="1" outlineLevel="2" x14ac:dyDescent="0.3">
      <c r="A55" s="27"/>
      <c r="B55" s="11" t="str">
        <f>CONCATENATE("          ", "6282", " - ", "JANITORIAL/EXTERMINATOR EXPENS")</f>
        <v xml:space="preserve">          6282 - JANITORIAL/EXTERMINATOR EXPENS</v>
      </c>
      <c r="C55" s="11"/>
      <c r="D55" s="6">
        <v>168.4</v>
      </c>
      <c r="E55" s="2"/>
      <c r="F55" s="7">
        <f t="shared" si="46"/>
        <v>1.105216042171474E-2</v>
      </c>
      <c r="G55" s="2"/>
      <c r="H55" s="6"/>
      <c r="I55" s="2"/>
      <c r="J55" s="7">
        <f t="shared" si="47"/>
        <v>0</v>
      </c>
      <c r="K55" s="2"/>
      <c r="L55" s="6">
        <f t="shared" si="48"/>
        <v>168.4</v>
      </c>
      <c r="M55" s="2"/>
      <c r="N55" s="7">
        <f t="shared" si="49"/>
        <v>0</v>
      </c>
      <c r="O55" s="11"/>
      <c r="P55" s="6">
        <v>842</v>
      </c>
      <c r="Q55" s="2"/>
      <c r="R55" s="7">
        <f t="shared" si="50"/>
        <v>1.3301462481582135E-2</v>
      </c>
      <c r="S55" s="2"/>
      <c r="T55" s="6"/>
      <c r="U55" s="2"/>
      <c r="V55" s="7">
        <f t="shared" si="51"/>
        <v>0</v>
      </c>
      <c r="W55" s="2"/>
      <c r="X55" s="6">
        <f t="shared" si="52"/>
        <v>842</v>
      </c>
      <c r="Y55" s="2"/>
      <c r="Z55" s="7">
        <f t="shared" si="53"/>
        <v>0</v>
      </c>
    </row>
    <row r="56" spans="1:26" s="24" customFormat="1" hidden="1" outlineLevel="2" x14ac:dyDescent="0.3">
      <c r="A56" s="27"/>
      <c r="B56" s="11" t="str">
        <f>CONCATENATE("          ", "6284", " - ", "TRASH REMOVAL EXPENSE")</f>
        <v xml:space="preserve">          6284 - TRASH REMOVAL EXPENSE</v>
      </c>
      <c r="C56" s="11"/>
      <c r="D56" s="6"/>
      <c r="E56" s="2"/>
      <c r="F56" s="7">
        <f t="shared" si="46"/>
        <v>0</v>
      </c>
      <c r="G56" s="2"/>
      <c r="H56" s="6">
        <v>289</v>
      </c>
      <c r="I56" s="2"/>
      <c r="J56" s="7">
        <f t="shared" si="47"/>
        <v>0</v>
      </c>
      <c r="K56" s="2"/>
      <c r="L56" s="6">
        <f t="shared" si="48"/>
        <v>-289</v>
      </c>
      <c r="M56" s="2"/>
      <c r="N56" s="7">
        <f t="shared" si="49"/>
        <v>-1</v>
      </c>
      <c r="O56" s="11"/>
      <c r="P56" s="6"/>
      <c r="Q56" s="2"/>
      <c r="R56" s="7">
        <f t="shared" si="50"/>
        <v>0</v>
      </c>
      <c r="S56" s="2"/>
      <c r="T56" s="6">
        <v>289</v>
      </c>
      <c r="U56" s="2"/>
      <c r="V56" s="7">
        <f t="shared" si="51"/>
        <v>0</v>
      </c>
      <c r="W56" s="2"/>
      <c r="X56" s="6">
        <f t="shared" si="52"/>
        <v>-289</v>
      </c>
      <c r="Y56" s="2"/>
      <c r="Z56" s="7">
        <f t="shared" si="53"/>
        <v>-1</v>
      </c>
    </row>
    <row r="57" spans="1:26" s="24" customFormat="1" hidden="1" outlineLevel="2" x14ac:dyDescent="0.3">
      <c r="A57" s="27"/>
      <c r="B57" s="11" t="str">
        <f>CONCATENATE("          ", "6285", " - ", "JANITORIAL SERVICES")</f>
        <v xml:space="preserve">          6285 - JANITORIAL SERVICES</v>
      </c>
      <c r="C57" s="11"/>
      <c r="D57" s="6"/>
      <c r="E57" s="2"/>
      <c r="F57" s="7">
        <f t="shared" si="46"/>
        <v>0</v>
      </c>
      <c r="G57" s="2"/>
      <c r="H57" s="6"/>
      <c r="I57" s="2"/>
      <c r="J57" s="7">
        <f t="shared" si="47"/>
        <v>0</v>
      </c>
      <c r="K57" s="2"/>
      <c r="L57" s="6">
        <f t="shared" si="48"/>
        <v>0</v>
      </c>
      <c r="M57" s="2"/>
      <c r="N57" s="7">
        <f t="shared" si="49"/>
        <v>0</v>
      </c>
      <c r="O57" s="11"/>
      <c r="P57" s="6">
        <v>7229.52</v>
      </c>
      <c r="Q57" s="2"/>
      <c r="R57" s="7">
        <f t="shared" si="50"/>
        <v>0.1142080629926932</v>
      </c>
      <c r="S57" s="2"/>
      <c r="T57" s="6"/>
      <c r="U57" s="2"/>
      <c r="V57" s="7">
        <f t="shared" si="51"/>
        <v>0</v>
      </c>
      <c r="W57" s="2"/>
      <c r="X57" s="6">
        <f t="shared" si="52"/>
        <v>7229.52</v>
      </c>
      <c r="Y57" s="2"/>
      <c r="Z57" s="7">
        <f t="shared" si="53"/>
        <v>0</v>
      </c>
    </row>
    <row r="58" spans="1:26" s="24" customFormat="1" hidden="1" outlineLevel="2" x14ac:dyDescent="0.3">
      <c r="A58" s="27"/>
      <c r="B58" s="11" t="str">
        <f>CONCATENATE("          ", "6286", " - ", "LAUNDRY EXPENSE")</f>
        <v xml:space="preserve">          6286 - LAUNDRY EXPENSE</v>
      </c>
      <c r="C58" s="11"/>
      <c r="D58" s="6">
        <v>103.88</v>
      </c>
      <c r="E58" s="2"/>
      <c r="F58" s="7">
        <f t="shared" si="46"/>
        <v>6.8176866069342458E-3</v>
      </c>
      <c r="G58" s="2"/>
      <c r="H58" s="6"/>
      <c r="I58" s="2"/>
      <c r="J58" s="7">
        <f t="shared" si="47"/>
        <v>0</v>
      </c>
      <c r="K58" s="2"/>
      <c r="L58" s="6">
        <f t="shared" si="48"/>
        <v>103.88</v>
      </c>
      <c r="M58" s="2"/>
      <c r="N58" s="7">
        <f t="shared" si="49"/>
        <v>0</v>
      </c>
      <c r="O58" s="11"/>
      <c r="P58" s="6">
        <v>311.64</v>
      </c>
      <c r="Q58" s="2"/>
      <c r="R58" s="7">
        <f t="shared" si="50"/>
        <v>4.9231208643233451E-3</v>
      </c>
      <c r="S58" s="2"/>
      <c r="T58" s="6"/>
      <c r="U58" s="2"/>
      <c r="V58" s="7">
        <f t="shared" si="51"/>
        <v>0</v>
      </c>
      <c r="W58" s="2"/>
      <c r="X58" s="6">
        <f t="shared" si="52"/>
        <v>311.64</v>
      </c>
      <c r="Y58" s="2"/>
      <c r="Z58" s="7">
        <f t="shared" si="53"/>
        <v>0</v>
      </c>
    </row>
    <row r="59" spans="1:26" s="29" customFormat="1" outlineLevel="1" collapsed="1" x14ac:dyDescent="0.3">
      <c r="A59" s="28"/>
      <c r="B59" s="14" t="str">
        <f>CONCATENATE("     ","Supplies                                          ")</f>
        <v xml:space="preserve">     Supplies                                          </v>
      </c>
      <c r="C59" s="14"/>
      <c r="D59" s="1">
        <f>SUM(OSRRefD22_11x_0)</f>
        <v>121.04</v>
      </c>
      <c r="E59" s="1"/>
      <c r="F59" s="5">
        <f t="shared" ref="F59:F63" si="54">IF(D$12=0,0,D59/D$12)</f>
        <v>7.943904379123231E-3</v>
      </c>
      <c r="G59" s="1"/>
      <c r="H59" s="1">
        <f>SUM(OSRRefH22_11x_0)</f>
        <v>0</v>
      </c>
      <c r="I59" s="1"/>
      <c r="J59" s="5">
        <f t="shared" ref="J59:J63" si="55">IF(H$12=0,0,H59/H$12)</f>
        <v>0</v>
      </c>
      <c r="K59" s="1"/>
      <c r="L59" s="1">
        <f t="shared" ref="L59:L63" si="56">+D59-H59</f>
        <v>121.04</v>
      </c>
      <c r="M59" s="1"/>
      <c r="N59" s="5">
        <f t="shared" ref="N59:N63" si="57">IF(H59=0,0,L59/H59)</f>
        <v>0</v>
      </c>
      <c r="O59" s="14"/>
      <c r="P59" s="1">
        <f>SUM(OSRRefP22_11x_0)</f>
        <v>1346.9699999999998</v>
      </c>
      <c r="Q59" s="1"/>
      <c r="R59" s="5">
        <f t="shared" ref="R59:R63" si="58">IF(P$12=0,0,P59/P$12)</f>
        <v>2.1278706554414117E-2</v>
      </c>
      <c r="S59" s="1"/>
      <c r="T59" s="1">
        <f>SUM(OSRRefT22_11x_0)</f>
        <v>634.24</v>
      </c>
      <c r="U59" s="1"/>
      <c r="V59" s="5">
        <f t="shared" ref="V59:V63" si="59">IF(T$12=0,0,T59/T$12)</f>
        <v>0</v>
      </c>
      <c r="W59" s="1"/>
      <c r="X59" s="1">
        <f t="shared" ref="X59:X63" si="60">+P59-T59</f>
        <v>712.72999999999979</v>
      </c>
      <c r="Y59" s="1"/>
      <c r="Z59" s="5">
        <f t="shared" ref="Z59:Z63" si="61">IF(T59=0,0,X59/T59)</f>
        <v>1.1237544147325931</v>
      </c>
    </row>
    <row r="60" spans="1:26" s="24" customFormat="1" hidden="1" outlineLevel="2" x14ac:dyDescent="0.3">
      <c r="A60" s="27"/>
      <c r="B60" s="11" t="str">
        <f>CONCATENATE("          ", "6234", " - ", "EXPENDABLE SUPPLIES &amp; EQUIPMEN")</f>
        <v xml:space="preserve">          6234 - EXPENDABLE SUPPLIES &amp; EQUIPMEN</v>
      </c>
      <c r="C60" s="11"/>
      <c r="D60" s="6"/>
      <c r="E60" s="2"/>
      <c r="F60" s="7">
        <f t="shared" si="54"/>
        <v>0</v>
      </c>
      <c r="G60" s="2"/>
      <c r="H60" s="6"/>
      <c r="I60" s="2"/>
      <c r="J60" s="7">
        <f t="shared" si="55"/>
        <v>0</v>
      </c>
      <c r="K60" s="2"/>
      <c r="L60" s="6">
        <f t="shared" si="56"/>
        <v>0</v>
      </c>
      <c r="M60" s="2"/>
      <c r="N60" s="7">
        <f t="shared" si="57"/>
        <v>0</v>
      </c>
      <c r="O60" s="11"/>
      <c r="P60" s="6"/>
      <c r="Q60" s="2"/>
      <c r="R60" s="7">
        <f t="shared" si="58"/>
        <v>0</v>
      </c>
      <c r="S60" s="2"/>
      <c r="T60" s="6">
        <v>316.67</v>
      </c>
      <c r="U60" s="2"/>
      <c r="V60" s="7">
        <f t="shared" si="59"/>
        <v>0</v>
      </c>
      <c r="W60" s="2"/>
      <c r="X60" s="6">
        <f t="shared" si="60"/>
        <v>-316.67</v>
      </c>
      <c r="Y60" s="2"/>
      <c r="Z60" s="7">
        <f t="shared" si="61"/>
        <v>-1</v>
      </c>
    </row>
    <row r="61" spans="1:26" s="24" customFormat="1" hidden="1" outlineLevel="2" x14ac:dyDescent="0.3">
      <c r="A61" s="27"/>
      <c r="B61" s="11" t="str">
        <f>CONCATENATE("          ", "6237", " - ", "JANITORIAL SUPPLIES")</f>
        <v xml:space="preserve">          6237 - JANITORIAL SUPPLIES</v>
      </c>
      <c r="C61" s="11"/>
      <c r="D61" s="6"/>
      <c r="E61" s="2"/>
      <c r="F61" s="7">
        <f t="shared" si="54"/>
        <v>0</v>
      </c>
      <c r="G61" s="2"/>
      <c r="H61" s="6"/>
      <c r="I61" s="2"/>
      <c r="J61" s="7">
        <f t="shared" si="55"/>
        <v>0</v>
      </c>
      <c r="K61" s="2"/>
      <c r="L61" s="6">
        <f t="shared" si="56"/>
        <v>0</v>
      </c>
      <c r="M61" s="2"/>
      <c r="N61" s="7">
        <f t="shared" si="57"/>
        <v>0</v>
      </c>
      <c r="O61" s="11"/>
      <c r="P61" s="6">
        <v>488.84</v>
      </c>
      <c r="Q61" s="2"/>
      <c r="R61" s="7">
        <f t="shared" si="58"/>
        <v>7.7224310207798224E-3</v>
      </c>
      <c r="S61" s="2"/>
      <c r="T61" s="6">
        <v>317.57</v>
      </c>
      <c r="U61" s="2"/>
      <c r="V61" s="7">
        <f t="shared" si="59"/>
        <v>0</v>
      </c>
      <c r="W61" s="2"/>
      <c r="X61" s="6">
        <f t="shared" si="60"/>
        <v>171.26999999999998</v>
      </c>
      <c r="Y61" s="2"/>
      <c r="Z61" s="7">
        <f t="shared" si="61"/>
        <v>0.53931416695531686</v>
      </c>
    </row>
    <row r="62" spans="1:26" s="24" customFormat="1" hidden="1" outlineLevel="2" x14ac:dyDescent="0.3">
      <c r="A62" s="27"/>
      <c r="B62" s="11" t="str">
        <f>CONCATENATE("          ", "6241", " - ", "OFFICE EXPENSE")</f>
        <v xml:space="preserve">          6241 - OFFICE EXPENSE</v>
      </c>
      <c r="C62" s="11"/>
      <c r="D62" s="6"/>
      <c r="E62" s="2"/>
      <c r="F62" s="7">
        <f t="shared" si="54"/>
        <v>0</v>
      </c>
      <c r="G62" s="2"/>
      <c r="H62" s="6"/>
      <c r="I62" s="2"/>
      <c r="J62" s="7">
        <f t="shared" si="55"/>
        <v>0</v>
      </c>
      <c r="K62" s="2"/>
      <c r="L62" s="6">
        <f t="shared" si="56"/>
        <v>0</v>
      </c>
      <c r="M62" s="2"/>
      <c r="N62" s="7">
        <f t="shared" si="57"/>
        <v>0</v>
      </c>
      <c r="O62" s="11"/>
      <c r="P62" s="6">
        <v>172.98</v>
      </c>
      <c r="Q62" s="2"/>
      <c r="R62" s="7">
        <f t="shared" si="58"/>
        <v>2.7326448694347714E-3</v>
      </c>
      <c r="S62" s="2"/>
      <c r="T62" s="6"/>
      <c r="U62" s="2"/>
      <c r="V62" s="7">
        <f t="shared" si="59"/>
        <v>0</v>
      </c>
      <c r="W62" s="2"/>
      <c r="X62" s="6">
        <f t="shared" si="60"/>
        <v>172.98</v>
      </c>
      <c r="Y62" s="2"/>
      <c r="Z62" s="7">
        <f t="shared" si="61"/>
        <v>0</v>
      </c>
    </row>
    <row r="63" spans="1:26" s="24" customFormat="1" hidden="1" outlineLevel="2" x14ac:dyDescent="0.3">
      <c r="A63" s="27"/>
      <c r="B63" s="11" t="str">
        <f>CONCATENATE("          ", "6247", " - ", "STORE SUPPLIES")</f>
        <v xml:space="preserve">          6247 - STORE SUPPLIES</v>
      </c>
      <c r="C63" s="11"/>
      <c r="D63" s="6">
        <v>121.04</v>
      </c>
      <c r="E63" s="2"/>
      <c r="F63" s="7">
        <f t="shared" si="54"/>
        <v>7.943904379123231E-3</v>
      </c>
      <c r="G63" s="2"/>
      <c r="H63" s="6"/>
      <c r="I63" s="2"/>
      <c r="J63" s="7">
        <f t="shared" si="55"/>
        <v>0</v>
      </c>
      <c r="K63" s="2"/>
      <c r="L63" s="6">
        <f t="shared" si="56"/>
        <v>121.04</v>
      </c>
      <c r="M63" s="2"/>
      <c r="N63" s="7">
        <f t="shared" si="57"/>
        <v>0</v>
      </c>
      <c r="O63" s="11"/>
      <c r="P63" s="6">
        <v>685.15</v>
      </c>
      <c r="Q63" s="2"/>
      <c r="R63" s="7">
        <f t="shared" si="58"/>
        <v>1.0823630664199524E-2</v>
      </c>
      <c r="S63" s="2"/>
      <c r="T63" s="6"/>
      <c r="U63" s="2"/>
      <c r="V63" s="7">
        <f t="shared" si="59"/>
        <v>0</v>
      </c>
      <c r="W63" s="2"/>
      <c r="X63" s="6">
        <f t="shared" si="60"/>
        <v>685.15</v>
      </c>
      <c r="Y63" s="2"/>
      <c r="Z63" s="7">
        <f t="shared" si="61"/>
        <v>0</v>
      </c>
    </row>
    <row r="64" spans="1:26" s="29" customFormat="1" outlineLevel="1" collapsed="1" x14ac:dyDescent="0.3">
      <c r="A64" s="28"/>
      <c r="B64" s="14" t="str">
        <f>CONCATENATE("     ","Telephone/Data Lines                              ")</f>
        <v xml:space="preserve">     Telephone/Data Lines                              </v>
      </c>
      <c r="C64" s="14"/>
      <c r="D64" s="1">
        <f>SUM(OSRRefD22_12x_0)</f>
        <v>22</v>
      </c>
      <c r="E64" s="1"/>
      <c r="F64" s="5">
        <f t="shared" ref="F64:F67" si="62">IF(D$12=0,0,D64/D$12)</f>
        <v>1.4438689387038257E-3</v>
      </c>
      <c r="G64" s="1"/>
      <c r="H64" s="1">
        <f>SUM(OSRRefH22_12x_0)</f>
        <v>-126</v>
      </c>
      <c r="I64" s="1"/>
      <c r="J64" s="5">
        <f t="shared" ref="J64:J67" si="63">IF(H$12=0,0,H64/H$12)</f>
        <v>0</v>
      </c>
      <c r="K64" s="1"/>
      <c r="L64" s="1">
        <f t="shared" ref="L64:L67" si="64">+D64-H64</f>
        <v>148</v>
      </c>
      <c r="M64" s="1"/>
      <c r="N64" s="5">
        <f t="shared" ref="N64:N67" si="65">IF(H64=0,0,L64/H64)</f>
        <v>-1.1746031746031746</v>
      </c>
      <c r="O64" s="14"/>
      <c r="P64" s="1">
        <f>SUM(OSRRefP22_12x_0)</f>
        <v>217</v>
      </c>
      <c r="Q64" s="1"/>
      <c r="R64" s="5">
        <f t="shared" ref="R64:R67" si="66">IF(P$12=0,0,P64/P$12)</f>
        <v>3.4280491193626169E-3</v>
      </c>
      <c r="S64" s="1"/>
      <c r="T64" s="1">
        <f>SUM(OSRRefT22_12x_0)</f>
        <v>865.87</v>
      </c>
      <c r="U64" s="1"/>
      <c r="V64" s="5">
        <f t="shared" ref="V64:V67" si="67">IF(T$12=0,0,T64/T$12)</f>
        <v>0</v>
      </c>
      <c r="W64" s="1"/>
      <c r="X64" s="1">
        <f t="shared" ref="X64:X67" si="68">+P64-T64</f>
        <v>-648.87</v>
      </c>
      <c r="Y64" s="1"/>
      <c r="Z64" s="5">
        <f t="shared" ref="Z64:Z67" si="69">IF(T64=0,0,X64/T64)</f>
        <v>-0.74938501160682325</v>
      </c>
    </row>
    <row r="65" spans="1:26" s="24" customFormat="1" hidden="1" outlineLevel="2" x14ac:dyDescent="0.3">
      <c r="A65" s="27"/>
      <c r="B65" s="11" t="str">
        <f>CONCATENATE("          ", "6309", " - ", "TELEPHONE")</f>
        <v xml:space="preserve">          6309 - TELEPHONE</v>
      </c>
      <c r="C65" s="11"/>
      <c r="D65" s="6">
        <v>22</v>
      </c>
      <c r="E65" s="2"/>
      <c r="F65" s="7">
        <f t="shared" si="62"/>
        <v>1.4438689387038257E-3</v>
      </c>
      <c r="G65" s="2"/>
      <c r="H65" s="6">
        <v>-126</v>
      </c>
      <c r="I65" s="2"/>
      <c r="J65" s="7">
        <f t="shared" si="63"/>
        <v>0</v>
      </c>
      <c r="K65" s="2"/>
      <c r="L65" s="6">
        <f t="shared" si="64"/>
        <v>148</v>
      </c>
      <c r="M65" s="2"/>
      <c r="N65" s="7">
        <f t="shared" si="65"/>
        <v>-1.1746031746031746</v>
      </c>
      <c r="O65" s="11"/>
      <c r="P65" s="6">
        <v>217</v>
      </c>
      <c r="Q65" s="2"/>
      <c r="R65" s="7">
        <f t="shared" si="66"/>
        <v>3.4280491193626169E-3</v>
      </c>
      <c r="S65" s="2"/>
      <c r="T65" s="6">
        <v>865.87</v>
      </c>
      <c r="U65" s="2"/>
      <c r="V65" s="7">
        <f t="shared" si="67"/>
        <v>0</v>
      </c>
      <c r="W65" s="2"/>
      <c r="X65" s="6">
        <f t="shared" si="68"/>
        <v>-648.87</v>
      </c>
      <c r="Y65" s="2"/>
      <c r="Z65" s="7">
        <f t="shared" si="69"/>
        <v>-0.74938501160682325</v>
      </c>
    </row>
    <row r="66" spans="1:26" s="29" customFormat="1" outlineLevel="1" collapsed="1" x14ac:dyDescent="0.3">
      <c r="A66" s="28"/>
      <c r="B66" s="14" t="str">
        <f>CONCATENATE("     ","Utilities                                         ")</f>
        <v xml:space="preserve">     Utilities                                         </v>
      </c>
      <c r="C66" s="14"/>
      <c r="D66" s="1">
        <f>SUM(OSRRefD22_13x_0)</f>
        <v>100</v>
      </c>
      <c r="E66" s="1"/>
      <c r="F66" s="5">
        <f t="shared" si="62"/>
        <v>6.5630406304719351E-3</v>
      </c>
      <c r="G66" s="1"/>
      <c r="H66" s="1">
        <f>SUM(OSRRefH22_13x_0)</f>
        <v>878</v>
      </c>
      <c r="I66" s="1"/>
      <c r="J66" s="5">
        <f t="shared" si="63"/>
        <v>0</v>
      </c>
      <c r="K66" s="1"/>
      <c r="L66" s="1">
        <f t="shared" si="64"/>
        <v>-778</v>
      </c>
      <c r="M66" s="1"/>
      <c r="N66" s="5">
        <f t="shared" si="65"/>
        <v>-0.88610478359908884</v>
      </c>
      <c r="O66" s="14"/>
      <c r="P66" s="1">
        <f>SUM(OSRRefP22_13x_0)</f>
        <v>500</v>
      </c>
      <c r="Q66" s="1"/>
      <c r="R66" s="5">
        <f t="shared" si="66"/>
        <v>7.8987306897756147E-3</v>
      </c>
      <c r="S66" s="1"/>
      <c r="T66" s="1">
        <f>SUM(OSRRefT22_13x_0)</f>
        <v>1756</v>
      </c>
      <c r="U66" s="1"/>
      <c r="V66" s="5">
        <f t="shared" si="67"/>
        <v>0</v>
      </c>
      <c r="W66" s="1"/>
      <c r="X66" s="1">
        <f t="shared" si="68"/>
        <v>-1256</v>
      </c>
      <c r="Y66" s="1"/>
      <c r="Z66" s="5">
        <f t="shared" si="69"/>
        <v>-0.71526195899772205</v>
      </c>
    </row>
    <row r="67" spans="1:26" s="24" customFormat="1" hidden="1" outlineLevel="2" x14ac:dyDescent="0.3">
      <c r="A67" s="27"/>
      <c r="B67" s="11" t="str">
        <f>CONCATENATE("          ", "6274", " - ", "UTILITIES")</f>
        <v xml:space="preserve">          6274 - UTILITIES</v>
      </c>
      <c r="C67" s="11"/>
      <c r="D67" s="6">
        <v>100</v>
      </c>
      <c r="E67" s="2"/>
      <c r="F67" s="7">
        <f t="shared" si="62"/>
        <v>6.5630406304719351E-3</v>
      </c>
      <c r="G67" s="2"/>
      <c r="H67" s="6">
        <v>878</v>
      </c>
      <c r="I67" s="2"/>
      <c r="J67" s="7">
        <f t="shared" si="63"/>
        <v>0</v>
      </c>
      <c r="K67" s="2"/>
      <c r="L67" s="6">
        <f t="shared" si="64"/>
        <v>-778</v>
      </c>
      <c r="M67" s="2"/>
      <c r="N67" s="7">
        <f t="shared" si="65"/>
        <v>-0.88610478359908884</v>
      </c>
      <c r="O67" s="11"/>
      <c r="P67" s="6">
        <v>500</v>
      </c>
      <c r="Q67" s="2"/>
      <c r="R67" s="7">
        <f t="shared" si="66"/>
        <v>7.8987306897756147E-3</v>
      </c>
      <c r="S67" s="2"/>
      <c r="T67" s="6">
        <v>1756</v>
      </c>
      <c r="U67" s="2"/>
      <c r="V67" s="7">
        <f t="shared" si="67"/>
        <v>0</v>
      </c>
      <c r="W67" s="2"/>
      <c r="X67" s="6">
        <f t="shared" si="68"/>
        <v>-1256</v>
      </c>
      <c r="Y67" s="2"/>
      <c r="Z67" s="7">
        <f t="shared" si="69"/>
        <v>-0.71526195899772205</v>
      </c>
    </row>
    <row r="68" spans="1:26" s="62" customFormat="1" x14ac:dyDescent="0.3">
      <c r="A68" s="37"/>
      <c r="B68" s="37"/>
      <c r="C68" s="37"/>
      <c r="D68" s="1"/>
      <c r="E68" s="1"/>
      <c r="F68" s="5"/>
      <c r="G68" s="1"/>
      <c r="H68" s="1"/>
      <c r="I68" s="1"/>
      <c r="J68" s="5"/>
      <c r="K68" s="1"/>
      <c r="L68" s="1"/>
      <c r="M68" s="1"/>
      <c r="N68" s="5"/>
      <c r="O68" s="37"/>
      <c r="P68" s="1"/>
      <c r="Q68" s="1"/>
      <c r="R68" s="5"/>
      <c r="S68" s="1"/>
      <c r="T68" s="1"/>
      <c r="U68" s="1"/>
      <c r="V68" s="5"/>
      <c r="W68" s="1"/>
      <c r="X68" s="1"/>
      <c r="Y68" s="1"/>
      <c r="Z68" s="5"/>
    </row>
    <row r="69" spans="1:26" s="23" customFormat="1" x14ac:dyDescent="0.3">
      <c r="A69" s="10"/>
      <c r="B69" s="26" t="s">
        <v>292</v>
      </c>
      <c r="C69" s="10"/>
      <c r="D69" s="4">
        <f>SUM(0)</f>
        <v>0</v>
      </c>
      <c r="E69" s="4"/>
      <c r="F69" s="12">
        <f>IF(D$12=0,0,D69/D$12)</f>
        <v>0</v>
      </c>
      <c r="G69" s="4"/>
      <c r="H69" s="4">
        <f>SUM(0)</f>
        <v>0</v>
      </c>
      <c r="I69" s="4"/>
      <c r="J69" s="12">
        <f>IF(H$12=0,0,H69/H$12)</f>
        <v>0</v>
      </c>
      <c r="K69" s="4"/>
      <c r="L69" s="4">
        <f>+D69-H69</f>
        <v>0</v>
      </c>
      <c r="M69" s="4"/>
      <c r="N69" s="12">
        <f>IF(H69=0,0,L69/H69)</f>
        <v>0</v>
      </c>
      <c r="O69" s="10"/>
      <c r="P69" s="4">
        <f>SUM(0)</f>
        <v>0</v>
      </c>
      <c r="Q69" s="4"/>
      <c r="R69" s="12">
        <f>IF(P$12=0,0,P69/P$12)</f>
        <v>0</v>
      </c>
      <c r="S69" s="4"/>
      <c r="T69" s="4">
        <f>SUM(0)</f>
        <v>0</v>
      </c>
      <c r="U69" s="4"/>
      <c r="V69" s="12">
        <f>IF(T$12=0,0,T69/T$12)</f>
        <v>0</v>
      </c>
      <c r="W69" s="4"/>
      <c r="X69" s="4">
        <f>+P69-T69</f>
        <v>0</v>
      </c>
      <c r="Y69" s="4"/>
      <c r="Z69" s="12">
        <f>IF(T69=0,0,X69/T69)</f>
        <v>0</v>
      </c>
    </row>
    <row r="70" spans="1:26" x14ac:dyDescent="0.3">
      <c r="A70" s="9"/>
      <c r="B70" s="10"/>
      <c r="C70" s="10"/>
      <c r="D70" s="3"/>
      <c r="E70" s="3"/>
      <c r="F70" s="8"/>
      <c r="G70" s="3"/>
      <c r="H70" s="3"/>
      <c r="I70" s="3"/>
      <c r="J70" s="8"/>
      <c r="K70" s="3"/>
      <c r="L70" s="3"/>
      <c r="M70" s="3"/>
      <c r="N70" s="8"/>
      <c r="O70" s="10"/>
      <c r="P70" s="3"/>
      <c r="Q70" s="3"/>
      <c r="R70" s="8"/>
      <c r="S70" s="3"/>
      <c r="T70" s="3"/>
      <c r="U70" s="3"/>
      <c r="V70" s="8"/>
      <c r="W70" s="3"/>
      <c r="X70" s="3"/>
      <c r="Y70" s="3"/>
      <c r="Z70" s="8"/>
    </row>
    <row r="71" spans="1:26" s="23" customFormat="1" x14ac:dyDescent="0.3">
      <c r="A71" s="10"/>
      <c r="B71" s="25" t="s">
        <v>276</v>
      </c>
      <c r="C71" s="25"/>
      <c r="D71" s="21">
        <f>+D20-D22+D69</f>
        <v>-6181.3100000000013</v>
      </c>
      <c r="E71" s="13"/>
      <c r="F71" s="22">
        <f>IF(D$12=0,0,D71/D$12)</f>
        <v>-0.40568188679542483</v>
      </c>
      <c r="G71" s="13"/>
      <c r="H71" s="21">
        <f>+H20-H22+H69</f>
        <v>-10799.75</v>
      </c>
      <c r="I71" s="13"/>
      <c r="J71" s="22">
        <f>IF(H$12=0,0,H71/H$12)</f>
        <v>0</v>
      </c>
      <c r="K71" s="16"/>
      <c r="L71" s="21">
        <f>+D71-H71</f>
        <v>4618.4399999999987</v>
      </c>
      <c r="M71" s="16"/>
      <c r="N71" s="22">
        <f>IF(H71=0,0,L71/H71)</f>
        <v>-0.42764323248223324</v>
      </c>
      <c r="O71" s="26"/>
      <c r="P71" s="21">
        <f>+P20-P22+P69</f>
        <v>-50641.96</v>
      </c>
      <c r="Q71" s="13"/>
      <c r="R71" s="22">
        <f>IF(P$12=0,0,P71/P$12)</f>
        <v>-0.80001440728477813</v>
      </c>
      <c r="S71" s="13"/>
      <c r="T71" s="21">
        <f>+T20-T22+T69</f>
        <v>-68085.47</v>
      </c>
      <c r="U71" s="13"/>
      <c r="V71" s="22">
        <f>IF(T$12=0,0,T71/T$12)</f>
        <v>0</v>
      </c>
      <c r="W71" s="16"/>
      <c r="X71" s="21">
        <f>+P71-T71</f>
        <v>17443.510000000002</v>
      </c>
      <c r="Y71" s="16"/>
      <c r="Z71" s="22">
        <f>IF(T71=0,0,X71/T71)</f>
        <v>-0.2562001848558878</v>
      </c>
    </row>
    <row r="72" spans="1:26" x14ac:dyDescent="0.3">
      <c r="A72" s="9"/>
      <c r="B72" s="10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x14ac:dyDescent="0.3">
      <c r="A73" s="51"/>
      <c r="B73" s="10" t="s">
        <v>127</v>
      </c>
      <c r="C73" s="10"/>
      <c r="D73" s="4">
        <v>1984.07</v>
      </c>
      <c r="E73" s="4"/>
      <c r="F73" s="12">
        <f>IF(D$12=0,0,D73/D$12)</f>
        <v>0.13021532023700452</v>
      </c>
      <c r="G73" s="4"/>
      <c r="H73" s="4"/>
      <c r="I73" s="4"/>
      <c r="J73" s="12">
        <f>IF(H$12=0,0,H73/H$12)</f>
        <v>0</v>
      </c>
      <c r="K73" s="4"/>
      <c r="L73" s="4">
        <f>+D73-H73</f>
        <v>1984.07</v>
      </c>
      <c r="M73" s="4"/>
      <c r="N73" s="12">
        <f>IF(H73=0,0,L73/H73)</f>
        <v>0</v>
      </c>
      <c r="O73" s="10"/>
      <c r="P73" s="4">
        <v>7539.93</v>
      </c>
      <c r="Q73" s="4"/>
      <c r="R73" s="12">
        <f>IF(P$12=0,0,P73/P$12)</f>
        <v>0.1191117529795197</v>
      </c>
      <c r="S73" s="4"/>
      <c r="T73" s="4"/>
      <c r="U73" s="4"/>
      <c r="V73" s="12">
        <f>IF(T$12=0,0,T73/T$12)</f>
        <v>0</v>
      </c>
      <c r="W73" s="4"/>
      <c r="X73" s="4">
        <f>+P73-T73</f>
        <v>7539.93</v>
      </c>
      <c r="Y73" s="4"/>
      <c r="Z73" s="12">
        <f>IF(T73=0,0,X73/T73)</f>
        <v>0</v>
      </c>
    </row>
    <row r="74" spans="1:26" x14ac:dyDescent="0.3">
      <c r="A74" s="9"/>
      <c r="B74" s="10"/>
      <c r="C74" s="10"/>
      <c r="D74" s="3"/>
      <c r="E74" s="3"/>
      <c r="F74" s="8"/>
      <c r="G74" s="3"/>
      <c r="H74" s="3"/>
      <c r="I74" s="3"/>
      <c r="J74" s="8"/>
      <c r="K74" s="3"/>
      <c r="L74" s="3"/>
      <c r="M74" s="3"/>
      <c r="N74" s="8"/>
      <c r="O74" s="10"/>
      <c r="P74" s="3"/>
      <c r="Q74" s="3"/>
      <c r="R74" s="8"/>
      <c r="S74" s="3"/>
      <c r="T74" s="3"/>
      <c r="U74" s="3"/>
      <c r="V74" s="8"/>
      <c r="W74" s="3"/>
      <c r="X74" s="3"/>
      <c r="Y74" s="3"/>
      <c r="Z74" s="8"/>
    </row>
    <row r="75" spans="1:26" s="23" customFormat="1" ht="15" thickBot="1" x14ac:dyDescent="0.35">
      <c r="A75" s="10"/>
      <c r="B75" s="25" t="s">
        <v>125</v>
      </c>
      <c r="C75" s="25"/>
      <c r="D75" s="35">
        <f>+D71-D73</f>
        <v>-8165.380000000001</v>
      </c>
      <c r="E75" s="13"/>
      <c r="F75" s="31">
        <f>IF(D$12=0,0,D75/D$12)</f>
        <v>-0.53589720703242938</v>
      </c>
      <c r="G75" s="13"/>
      <c r="H75" s="35">
        <f>+H71-H73</f>
        <v>-10799.75</v>
      </c>
      <c r="I75" s="13"/>
      <c r="J75" s="31">
        <f>IF(H$12=0,0,H75/H$12)</f>
        <v>0</v>
      </c>
      <c r="K75" s="16"/>
      <c r="L75" s="35">
        <f>D75-H75</f>
        <v>2634.369999999999</v>
      </c>
      <c r="M75" s="16"/>
      <c r="N75" s="31">
        <f>IF(H75=0,0,L75/H75)</f>
        <v>-0.24392879464802417</v>
      </c>
      <c r="O75" s="26"/>
      <c r="P75" s="35">
        <f>+P71-P73</f>
        <v>-58181.89</v>
      </c>
      <c r="Q75" s="13"/>
      <c r="R75" s="31">
        <f>IF(P$12=0,0,P75/P$12)</f>
        <v>-0.91912616026429783</v>
      </c>
      <c r="S75" s="13"/>
      <c r="T75" s="35">
        <f>+T71-T73</f>
        <v>-68085.47</v>
      </c>
      <c r="U75" s="13"/>
      <c r="V75" s="31">
        <f>IF(T$12=0,0,T75/T$12)</f>
        <v>0</v>
      </c>
      <c r="W75" s="16"/>
      <c r="X75" s="35">
        <f>P75-T75</f>
        <v>9903.5800000000017</v>
      </c>
      <c r="Y75" s="16"/>
      <c r="Z75" s="31">
        <f>IF(T75=0,0,X75/T75)</f>
        <v>-0.14545805441307819</v>
      </c>
    </row>
    <row r="76" spans="1:26" ht="15" thickTop="1" x14ac:dyDescent="0.3">
      <c r="A76" s="9"/>
      <c r="B76" s="9"/>
      <c r="C76" s="9"/>
      <c r="D76" s="3"/>
      <c r="E76" s="3"/>
      <c r="F76" s="8"/>
      <c r="G76" s="3"/>
      <c r="H76" s="3"/>
      <c r="I76" s="3"/>
      <c r="J76" s="8"/>
      <c r="K76" s="3"/>
      <c r="L76" s="3"/>
      <c r="M76" s="3"/>
      <c r="N76" s="8"/>
      <c r="P76" s="3"/>
      <c r="Q76" s="3"/>
      <c r="R76" s="8"/>
      <c r="S76" s="3"/>
      <c r="T76" s="3"/>
      <c r="U76" s="3"/>
      <c r="V76" s="8"/>
      <c r="W76" s="3"/>
      <c r="X76" s="3"/>
      <c r="Y76" s="3"/>
      <c r="Z76" s="8"/>
    </row>
    <row r="77" spans="1:26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s="23" customFormat="1" ht="15" thickBot="1" x14ac:dyDescent="0.35">
      <c r="A78" s="10"/>
      <c r="B78" s="25" t="s">
        <v>293</v>
      </c>
      <c r="C78" s="25"/>
      <c r="D78" s="36">
        <f>SUM(D75:D77)</f>
        <v>-8165.380000000001</v>
      </c>
      <c r="E78" s="13"/>
      <c r="F78" s="33">
        <f>IF(D$12=0,0,D78/D$12)</f>
        <v>-0.53589720703242938</v>
      </c>
      <c r="G78" s="13"/>
      <c r="H78" s="36">
        <f>SUM(H75:H77)</f>
        <v>-10799.75</v>
      </c>
      <c r="I78" s="13"/>
      <c r="J78" s="33">
        <f>IF(H$12=0,0,H78/H$12)</f>
        <v>0</v>
      </c>
      <c r="K78" s="16"/>
      <c r="L78" s="36">
        <f>+D78-H78</f>
        <v>2634.369999999999</v>
      </c>
      <c r="M78" s="16"/>
      <c r="N78" s="33">
        <f>IF(H78=0,0,L78/H78)</f>
        <v>-0.24392879464802417</v>
      </c>
      <c r="O78" s="26"/>
      <c r="P78" s="36">
        <f>SUM(P75:P77)</f>
        <v>-58181.89</v>
      </c>
      <c r="Q78" s="13"/>
      <c r="R78" s="33">
        <f>IF(P$12=0,0,P78/P$12)</f>
        <v>-0.91912616026429783</v>
      </c>
      <c r="S78" s="13"/>
      <c r="T78" s="36">
        <f>SUM(T75:T77)</f>
        <v>-68085.47</v>
      </c>
      <c r="U78" s="13"/>
      <c r="V78" s="33">
        <f>IF(T$12=0,0,T78/T$12)</f>
        <v>0</v>
      </c>
      <c r="W78" s="16"/>
      <c r="X78" s="36">
        <f>+P78-T78</f>
        <v>9903.5800000000017</v>
      </c>
      <c r="Y78" s="16"/>
      <c r="Z78" s="33">
        <f>IF(T78=0,0,X78/T78)</f>
        <v>-0.14545805441307819</v>
      </c>
    </row>
    <row r="79" spans="1:26" ht="15" thickTop="1" x14ac:dyDescent="0.3">
      <c r="A79" s="9"/>
      <c r="C79" s="9"/>
      <c r="D79" s="17"/>
      <c r="E79" s="17"/>
      <c r="G79" s="17"/>
      <c r="H79" s="17"/>
      <c r="I79" s="17"/>
      <c r="J79" s="42"/>
      <c r="K79" s="17"/>
      <c r="L79" s="17"/>
      <c r="M79" s="17"/>
      <c r="P79" s="17"/>
      <c r="Q79" s="17"/>
      <c r="R79" s="42"/>
      <c r="S79" s="17"/>
      <c r="T79" s="17"/>
      <c r="U79" s="17"/>
      <c r="V79" s="42"/>
      <c r="W79" s="17"/>
      <c r="X79" s="17"/>
    </row>
    <row r="80" spans="1:26" x14ac:dyDescent="0.3">
      <c r="A80" s="9"/>
      <c r="B80" s="52">
        <v>44543.765594675926</v>
      </c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9" t="s">
        <v>56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61"/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</sheetData>
  <pageMargins left="0.25" right="0.25" top="0.75" bottom="0.75" header="0.3" footer="0.3"/>
  <pageSetup scale="55" fitToWidth="2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217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92D050"/>
    <outlinePr summaryBelow="0" summaryRight="0"/>
  </sheetPr>
  <dimension ref="A2:Z4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","327", " - ", "C-Store Vending Machine(s)")</f>
        <v>Department 327 - C-Store Vending Machine(s)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84.35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84.35</v>
      </c>
      <c r="M12" s="4"/>
      <c r="N12" s="12">
        <f t="shared" ref="N12:N14" si="1">IF(H12=0,0,L12/H12)</f>
        <v>0</v>
      </c>
      <c r="O12" s="10"/>
      <c r="P12" s="4">
        <f>SUM(OSRRefP13x_0)</f>
        <v>627.97</v>
      </c>
      <c r="Q12" s="4"/>
      <c r="R12" s="12"/>
      <c r="S12" s="4"/>
      <c r="T12" s="4">
        <f>SUM(OSRRefT13x_0)</f>
        <v>110</v>
      </c>
      <c r="U12" s="4"/>
      <c r="V12" s="12"/>
      <c r="W12" s="4"/>
      <c r="X12" s="4">
        <f t="shared" ref="X12:X14" si="2">+P12-T12</f>
        <v>517.97</v>
      </c>
      <c r="Y12" s="4"/>
      <c r="Z12" s="12">
        <f t="shared" ref="Z12:Z14" si="3">IF(T12=0,0,X12/T12)</f>
        <v>4.7088181818181818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--84.35</f>
        <v>84.35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84.35</v>
      </c>
      <c r="M13" s="2"/>
      <c r="N13" s="19">
        <f t="shared" si="1"/>
        <v>0</v>
      </c>
      <c r="O13" s="11"/>
      <c r="P13" s="2">
        <f>--627.97</f>
        <v>627.97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627.97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"4153", " - ", "NON-TAXABLE SALES-FOOD")</f>
        <v xml:space="preserve">          4153 - NON-TAXABLE SALES-FOOD</v>
      </c>
      <c r="C14" s="11"/>
      <c r="D14" s="2">
        <f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>0</f>
        <v>0</v>
      </c>
      <c r="Q14" s="2"/>
      <c r="R14" s="19"/>
      <c r="S14" s="2"/>
      <c r="T14" s="2">
        <f>--110</f>
        <v>110</v>
      </c>
      <c r="U14" s="2"/>
      <c r="V14" s="19"/>
      <c r="W14" s="2"/>
      <c r="X14" s="2">
        <f t="shared" si="2"/>
        <v>-110</v>
      </c>
      <c r="Y14" s="2"/>
      <c r="Z14" s="19">
        <f t="shared" si="3"/>
        <v>-1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165</v>
      </c>
      <c r="E16" s="4"/>
      <c r="F16" s="12">
        <f t="shared" ref="F16:F18" si="5">IF(D$12=0,0,D16/D$12)</f>
        <v>1.9561351511558982</v>
      </c>
      <c r="G16" s="4"/>
      <c r="H16" s="4">
        <f>SUM(OSRRefH16x_0)</f>
        <v>0</v>
      </c>
      <c r="I16" s="4"/>
      <c r="J16" s="12">
        <f t="shared" ref="J16:J18" si="6">IF(H$12=0,0,H16/H$12)</f>
        <v>0</v>
      </c>
      <c r="K16" s="4"/>
      <c r="L16" s="4">
        <f t="shared" ref="L16:L18" si="7">+D16-H16</f>
        <v>165</v>
      </c>
      <c r="M16" s="4"/>
      <c r="N16" s="12">
        <f t="shared" ref="N16:N18" si="8">IF(H16=0,0,L16/H16)</f>
        <v>0</v>
      </c>
      <c r="O16" s="10"/>
      <c r="P16" s="4">
        <f>SUM(OSRRefP16x_0)</f>
        <v>-19.799999999999997</v>
      </c>
      <c r="Q16" s="4"/>
      <c r="R16" s="12">
        <f t="shared" ref="R16:R18" si="9">IF(P$12=0,0,P16/P$12)</f>
        <v>-3.153016863862923E-2</v>
      </c>
      <c r="S16" s="4"/>
      <c r="T16" s="4">
        <f>SUM(OSRRefT16x_0)</f>
        <v>68.91</v>
      </c>
      <c r="U16" s="4"/>
      <c r="V16" s="12">
        <f t="shared" ref="V16:V18" si="10">IF(T$12=0,0,T16/T$12)</f>
        <v>0.62645454545454538</v>
      </c>
      <c r="W16" s="4"/>
      <c r="X16" s="4">
        <f t="shared" ref="X16:X18" si="11">+P16-T16</f>
        <v>-88.71</v>
      </c>
      <c r="Y16" s="4"/>
      <c r="Z16" s="12">
        <f t="shared" ref="Z16:Z18" si="12">IF(T16=0,0,X16/T16)</f>
        <v>-1.2873313016978667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/>
      <c r="E17" s="2"/>
      <c r="F17" s="19">
        <f t="shared" si="5"/>
        <v>0</v>
      </c>
      <c r="G17" s="2"/>
      <c r="H17" s="2"/>
      <c r="I17" s="2"/>
      <c r="J17" s="19">
        <f t="shared" si="6"/>
        <v>0</v>
      </c>
      <c r="K17" s="2"/>
      <c r="L17" s="2">
        <f t="shared" si="7"/>
        <v>0</v>
      </c>
      <c r="M17" s="2"/>
      <c r="N17" s="19">
        <f t="shared" si="8"/>
        <v>0</v>
      </c>
      <c r="O17" s="11"/>
      <c r="P17" s="2">
        <v>45</v>
      </c>
      <c r="Q17" s="2"/>
      <c r="R17" s="19">
        <f t="shared" si="9"/>
        <v>7.1659474178702803E-2</v>
      </c>
      <c r="S17" s="2"/>
      <c r="T17" s="2"/>
      <c r="U17" s="2"/>
      <c r="V17" s="19">
        <f t="shared" si="10"/>
        <v>0</v>
      </c>
      <c r="W17" s="2"/>
      <c r="X17" s="2">
        <f t="shared" si="11"/>
        <v>45</v>
      </c>
      <c r="Y17" s="2"/>
      <c r="Z17" s="19">
        <f t="shared" si="12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165</v>
      </c>
      <c r="E18" s="2"/>
      <c r="F18" s="19">
        <f t="shared" si="5"/>
        <v>1.9561351511558982</v>
      </c>
      <c r="G18" s="2"/>
      <c r="H18" s="2"/>
      <c r="I18" s="2"/>
      <c r="J18" s="19">
        <f t="shared" si="6"/>
        <v>0</v>
      </c>
      <c r="K18" s="2"/>
      <c r="L18" s="2">
        <f t="shared" si="7"/>
        <v>165</v>
      </c>
      <c r="M18" s="2"/>
      <c r="N18" s="19">
        <f t="shared" si="8"/>
        <v>0</v>
      </c>
      <c r="O18" s="11"/>
      <c r="P18" s="2">
        <v>-64.8</v>
      </c>
      <c r="Q18" s="2"/>
      <c r="R18" s="19">
        <f t="shared" si="9"/>
        <v>-0.10318964281733203</v>
      </c>
      <c r="S18" s="2"/>
      <c r="T18" s="2">
        <v>68.91</v>
      </c>
      <c r="U18" s="2"/>
      <c r="V18" s="19">
        <f t="shared" si="10"/>
        <v>0.62645454545454538</v>
      </c>
      <c r="W18" s="2"/>
      <c r="X18" s="2">
        <f t="shared" si="11"/>
        <v>-133.70999999999998</v>
      </c>
      <c r="Y18" s="2"/>
      <c r="Z18" s="19">
        <f t="shared" si="12"/>
        <v>-1.9403569873748365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-80.650000000000006</v>
      </c>
      <c r="E20" s="13"/>
      <c r="F20" s="22">
        <f>IF(D$12=0,0,D20/D$12)</f>
        <v>-0.9561351511558982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-80.650000000000006</v>
      </c>
      <c r="M20" s="16"/>
      <c r="N20" s="22">
        <f>IF(H20=0,0,L20/H20)</f>
        <v>0</v>
      </c>
      <c r="O20" s="26"/>
      <c r="P20" s="21">
        <f>P12-P16</f>
        <v>647.77</v>
      </c>
      <c r="Q20" s="13"/>
      <c r="R20" s="22">
        <f>IF(P$12=0,0,P20/P$12)</f>
        <v>1.0315301686386291</v>
      </c>
      <c r="S20" s="13"/>
      <c r="T20" s="21">
        <f>T12-T16</f>
        <v>41.09</v>
      </c>
      <c r="U20" s="13"/>
      <c r="V20" s="22">
        <f>IF(T$12=0,0,T20/T$12)</f>
        <v>0.37354545454545457</v>
      </c>
      <c r="W20" s="16"/>
      <c r="X20" s="21">
        <f>+P20-T20</f>
        <v>606.67999999999995</v>
      </c>
      <c r="Y20" s="16"/>
      <c r="Z20" s="22">
        <f>IF(T20=0,0,X20/T20)</f>
        <v>14.764662935020684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48.01</v>
      </c>
      <c r="E22" s="20"/>
      <c r="F22" s="32">
        <f t="shared" ref="F22:F24" si="13">IF(D$12=0,0,D22/D$12)</f>
        <v>0.56917605216360401</v>
      </c>
      <c r="G22" s="20"/>
      <c r="H22" s="20">
        <f>SUM(OSRRefH22x_0)</f>
        <v>0</v>
      </c>
      <c r="I22" s="20"/>
      <c r="J22" s="32">
        <f t="shared" ref="J22:J24" si="14">IF(H$12=0,0,H22/H$12)</f>
        <v>0</v>
      </c>
      <c r="K22" s="4"/>
      <c r="L22" s="20">
        <f t="shared" ref="L22:L24" si="15">+D22-H22</f>
        <v>48.01</v>
      </c>
      <c r="M22" s="4"/>
      <c r="N22" s="32">
        <f t="shared" ref="N22:N24" si="16">IF(H22=0,0,L22/H22)</f>
        <v>0</v>
      </c>
      <c r="O22" s="10"/>
      <c r="P22" s="20">
        <f>SUM(OSRRefP22x_0)</f>
        <v>322.05</v>
      </c>
      <c r="Q22" s="20"/>
      <c r="R22" s="32">
        <f t="shared" ref="R22:R24" si="17">IF(P$12=0,0,P22/P$12)</f>
        <v>0.51284297020558312</v>
      </c>
      <c r="S22" s="20"/>
      <c r="T22" s="20">
        <f>SUM(OSRRefT22x_0)</f>
        <v>0</v>
      </c>
      <c r="U22" s="20"/>
      <c r="V22" s="32">
        <f t="shared" ref="V22:V24" si="18">IF(T$12=0,0,T22/T$12)</f>
        <v>0</v>
      </c>
      <c r="W22" s="4"/>
      <c r="X22" s="20">
        <f t="shared" ref="X22:X24" si="19">+P22-T22</f>
        <v>322.05</v>
      </c>
      <c r="Y22" s="4"/>
      <c r="Z22" s="32">
        <f t="shared" ref="Z22:Z24" si="20">IF(T22=0,0,X22/T22)</f>
        <v>0</v>
      </c>
    </row>
    <row r="23" spans="1:26" s="29" customFormat="1" outlineLevel="1" collapsed="1" x14ac:dyDescent="0.3">
      <c r="A23" s="28"/>
      <c r="B23" s="14" t="str">
        <f>CONCATENATE("     ","Bank/card Fees                                    ")</f>
        <v xml:space="preserve">     Bank/card Fees                                    </v>
      </c>
      <c r="C23" s="14"/>
      <c r="D23" s="1">
        <f>SUM(OSRRefD22_0x_0)</f>
        <v>48.01</v>
      </c>
      <c r="E23" s="1"/>
      <c r="F23" s="5">
        <f t="shared" si="13"/>
        <v>0.56917605216360401</v>
      </c>
      <c r="G23" s="1"/>
      <c r="H23" s="1">
        <f>SUM(OSRRefH22_0x_0)</f>
        <v>0</v>
      </c>
      <c r="I23" s="1"/>
      <c r="J23" s="5">
        <f t="shared" si="14"/>
        <v>0</v>
      </c>
      <c r="K23" s="1"/>
      <c r="L23" s="1">
        <f t="shared" si="15"/>
        <v>48.01</v>
      </c>
      <c r="M23" s="1"/>
      <c r="N23" s="5">
        <f t="shared" si="16"/>
        <v>0</v>
      </c>
      <c r="O23" s="14"/>
      <c r="P23" s="1">
        <f>SUM(OSRRefP22_0x_0)</f>
        <v>322.05</v>
      </c>
      <c r="Q23" s="1"/>
      <c r="R23" s="5">
        <f t="shared" si="17"/>
        <v>0.51284297020558312</v>
      </c>
      <c r="S23" s="1"/>
      <c r="T23" s="1">
        <f>SUM(OSRRefT22_0x_0)</f>
        <v>0</v>
      </c>
      <c r="U23" s="1"/>
      <c r="V23" s="5">
        <f t="shared" si="18"/>
        <v>0</v>
      </c>
      <c r="W23" s="1"/>
      <c r="X23" s="1">
        <f t="shared" si="19"/>
        <v>322.05</v>
      </c>
      <c r="Y23" s="1"/>
      <c r="Z23" s="5">
        <f t="shared" si="20"/>
        <v>0</v>
      </c>
    </row>
    <row r="24" spans="1:26" s="24" customFormat="1" hidden="1" outlineLevel="2" x14ac:dyDescent="0.3">
      <c r="A24" s="27"/>
      <c r="B24" s="11" t="str">
        <f>CONCATENATE("          ", "6381", " - ", "BANK/CREDIT CARD FEES")</f>
        <v xml:space="preserve">          6381 - BANK/CREDIT CARD FEES</v>
      </c>
      <c r="C24" s="11"/>
      <c r="D24" s="6">
        <v>48.01</v>
      </c>
      <c r="E24" s="2"/>
      <c r="F24" s="7">
        <f t="shared" si="13"/>
        <v>0.56917605216360401</v>
      </c>
      <c r="G24" s="2"/>
      <c r="H24" s="6"/>
      <c r="I24" s="2"/>
      <c r="J24" s="7">
        <f t="shared" si="14"/>
        <v>0</v>
      </c>
      <c r="K24" s="2"/>
      <c r="L24" s="6">
        <f t="shared" si="15"/>
        <v>48.01</v>
      </c>
      <c r="M24" s="2"/>
      <c r="N24" s="7">
        <f t="shared" si="16"/>
        <v>0</v>
      </c>
      <c r="O24" s="11"/>
      <c r="P24" s="6">
        <v>322.05</v>
      </c>
      <c r="Q24" s="2"/>
      <c r="R24" s="7">
        <f t="shared" si="17"/>
        <v>0.51284297020558312</v>
      </c>
      <c r="S24" s="2"/>
      <c r="T24" s="6"/>
      <c r="U24" s="2"/>
      <c r="V24" s="7">
        <f t="shared" si="18"/>
        <v>0</v>
      </c>
      <c r="W24" s="2"/>
      <c r="X24" s="6">
        <f t="shared" si="19"/>
        <v>322.05</v>
      </c>
      <c r="Y24" s="2"/>
      <c r="Z24" s="7">
        <f t="shared" si="20"/>
        <v>0</v>
      </c>
    </row>
    <row r="25" spans="1:26" s="62" customFormat="1" x14ac:dyDescent="0.3">
      <c r="A25" s="37"/>
      <c r="B25" s="37"/>
      <c r="C25" s="37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6" t="s">
        <v>292</v>
      </c>
      <c r="C26" s="10"/>
      <c r="D26" s="4">
        <f>SUM(0)</f>
        <v>0</v>
      </c>
      <c r="E26" s="4"/>
      <c r="F26" s="12">
        <f>IF(D$12=0,0,D26/D$12)</f>
        <v>0</v>
      </c>
      <c r="G26" s="4"/>
      <c r="H26" s="4">
        <f>SUM(0)</f>
        <v>0</v>
      </c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>
        <f>SUM(0)</f>
        <v>0</v>
      </c>
      <c r="Q26" s="4"/>
      <c r="R26" s="12">
        <f>IF(P$12=0,0,P26/P$12)</f>
        <v>0</v>
      </c>
      <c r="S26" s="4"/>
      <c r="T26" s="4">
        <f>SUM(0)</f>
        <v>0</v>
      </c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x14ac:dyDescent="0.3">
      <c r="A28" s="10"/>
      <c r="B28" s="25" t="s">
        <v>276</v>
      </c>
      <c r="C28" s="25"/>
      <c r="D28" s="21">
        <f>+D20-D22+D26</f>
        <v>-128.66</v>
      </c>
      <c r="E28" s="13"/>
      <c r="F28" s="22">
        <f>IF(D$12=0,0,D28/D$12)</f>
        <v>-1.5253112033195022</v>
      </c>
      <c r="G28" s="13"/>
      <c r="H28" s="21">
        <f>+H20-H22+H26</f>
        <v>0</v>
      </c>
      <c r="I28" s="13"/>
      <c r="J28" s="22">
        <f>IF(H$12=0,0,H28/H$12)</f>
        <v>0</v>
      </c>
      <c r="K28" s="16"/>
      <c r="L28" s="21">
        <f>+D28-H28</f>
        <v>-128.66</v>
      </c>
      <c r="M28" s="16"/>
      <c r="N28" s="22">
        <f>IF(H28=0,0,L28/H28)</f>
        <v>0</v>
      </c>
      <c r="O28" s="26"/>
      <c r="P28" s="21">
        <f>+P20-P22+P26</f>
        <v>325.71999999999997</v>
      </c>
      <c r="Q28" s="13"/>
      <c r="R28" s="22">
        <f>IF(P$12=0,0,P28/P$12)</f>
        <v>0.51868719843304611</v>
      </c>
      <c r="S28" s="13"/>
      <c r="T28" s="21">
        <f>+T20-T22+T26</f>
        <v>41.09</v>
      </c>
      <c r="U28" s="13"/>
      <c r="V28" s="22">
        <f>IF(T$12=0,0,T28/T$12)</f>
        <v>0.37354545454545457</v>
      </c>
      <c r="W28" s="16"/>
      <c r="X28" s="21">
        <f>+P28-T28</f>
        <v>284.63</v>
      </c>
      <c r="Y28" s="16"/>
      <c r="Z28" s="22">
        <f>IF(T28=0,0,X28/T28)</f>
        <v>6.9269895351667063</v>
      </c>
    </row>
    <row r="29" spans="1:26" x14ac:dyDescent="0.3">
      <c r="A29" s="9"/>
      <c r="B29" s="10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51"/>
      <c r="B30" s="10" t="s">
        <v>127</v>
      </c>
      <c r="C30" s="10"/>
      <c r="D30" s="4">
        <v>11.96</v>
      </c>
      <c r="E30" s="4"/>
      <c r="F30" s="12">
        <f>IF(D$12=0,0,D30/D$12)</f>
        <v>0.14179016004742148</v>
      </c>
      <c r="G30" s="4"/>
      <c r="H30" s="4"/>
      <c r="I30" s="4"/>
      <c r="J30" s="12">
        <f>IF(H$12=0,0,H30/H$12)</f>
        <v>0</v>
      </c>
      <c r="K30" s="4"/>
      <c r="L30" s="4">
        <f>+D30-H30</f>
        <v>11.96</v>
      </c>
      <c r="M30" s="4"/>
      <c r="N30" s="12">
        <f>IF(H30=0,0,L30/H30)</f>
        <v>0</v>
      </c>
      <c r="O30" s="10"/>
      <c r="P30" s="4">
        <v>74.8</v>
      </c>
      <c r="Q30" s="4"/>
      <c r="R30" s="12">
        <f>IF(P$12=0,0,P30/P$12)</f>
        <v>0.11911397041259932</v>
      </c>
      <c r="S30" s="4"/>
      <c r="T30" s="4">
        <v>23.83</v>
      </c>
      <c r="U30" s="4"/>
      <c r="V30" s="12">
        <f>IF(T$12=0,0,T30/T$12)</f>
        <v>0.21663636363636363</v>
      </c>
      <c r="W30" s="4"/>
      <c r="X30" s="4">
        <f>+P30-T30</f>
        <v>50.97</v>
      </c>
      <c r="Y30" s="4"/>
      <c r="Z30" s="12">
        <f>IF(T30=0,0,X30/T30)</f>
        <v>2.1389005455308436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5" t="s">
        <v>125</v>
      </c>
      <c r="C32" s="25"/>
      <c r="D32" s="35">
        <f>+D28-D30</f>
        <v>-140.62</v>
      </c>
      <c r="E32" s="13"/>
      <c r="F32" s="31">
        <f>IF(D$12=0,0,D32/D$12)</f>
        <v>-1.6671013633669236</v>
      </c>
      <c r="G32" s="13"/>
      <c r="H32" s="35">
        <f>+H28-H30</f>
        <v>0</v>
      </c>
      <c r="I32" s="13"/>
      <c r="J32" s="31">
        <f>IF(H$12=0,0,H32/H$12)</f>
        <v>0</v>
      </c>
      <c r="K32" s="16"/>
      <c r="L32" s="35">
        <f>D32-H32</f>
        <v>-140.62</v>
      </c>
      <c r="M32" s="16"/>
      <c r="N32" s="31">
        <f>IF(H32=0,0,L32/H32)</f>
        <v>0</v>
      </c>
      <c r="O32" s="26"/>
      <c r="P32" s="35">
        <f>+P28-P30</f>
        <v>250.91999999999996</v>
      </c>
      <c r="Q32" s="13"/>
      <c r="R32" s="31">
        <f>IF(P$12=0,0,P32/P$12)</f>
        <v>0.39957322802044676</v>
      </c>
      <c r="S32" s="13"/>
      <c r="T32" s="35">
        <f>+T28-T30</f>
        <v>17.260000000000005</v>
      </c>
      <c r="U32" s="13"/>
      <c r="V32" s="31">
        <f>IF(T$12=0,0,T32/T$12)</f>
        <v>0.15690909090909094</v>
      </c>
      <c r="W32" s="16"/>
      <c r="X32" s="35">
        <f>P32-T32</f>
        <v>233.65999999999997</v>
      </c>
      <c r="Y32" s="16"/>
      <c r="Z32" s="31">
        <f>IF(T32=0,0,X32/T32)</f>
        <v>13.537659327925834</v>
      </c>
    </row>
    <row r="33" spans="1:26" ht="15" thickTop="1" x14ac:dyDescent="0.3">
      <c r="A33" s="9"/>
      <c r="B33" s="9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x14ac:dyDescent="0.3">
      <c r="A34" s="9"/>
      <c r="B34" s="9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ht="15" thickBot="1" x14ac:dyDescent="0.35">
      <c r="A35" s="10"/>
      <c r="B35" s="25" t="s">
        <v>293</v>
      </c>
      <c r="C35" s="25"/>
      <c r="D35" s="36">
        <f>SUM(D32:D34)</f>
        <v>-140.62</v>
      </c>
      <c r="E35" s="13"/>
      <c r="F35" s="33">
        <f>IF(D$12=0,0,D35/D$12)</f>
        <v>-1.6671013633669236</v>
      </c>
      <c r="G35" s="13"/>
      <c r="H35" s="36">
        <f>SUM(H32:H34)</f>
        <v>0</v>
      </c>
      <c r="I35" s="13"/>
      <c r="J35" s="33">
        <f>IF(H$12=0,0,H35/H$12)</f>
        <v>0</v>
      </c>
      <c r="K35" s="16"/>
      <c r="L35" s="36">
        <f>+D35-H35</f>
        <v>-140.62</v>
      </c>
      <c r="M35" s="16"/>
      <c r="N35" s="33">
        <f>IF(H35=0,0,L35/H35)</f>
        <v>0</v>
      </c>
      <c r="O35" s="26"/>
      <c r="P35" s="36">
        <f>SUM(P32:P34)</f>
        <v>250.91999999999996</v>
      </c>
      <c r="Q35" s="13"/>
      <c r="R35" s="33">
        <f>IF(P$12=0,0,P35/P$12)</f>
        <v>0.39957322802044676</v>
      </c>
      <c r="S35" s="13"/>
      <c r="T35" s="36">
        <f>SUM(T32:T34)</f>
        <v>17.260000000000005</v>
      </c>
      <c r="U35" s="13"/>
      <c r="V35" s="33">
        <f>IF(T$12=0,0,T35/T$12)</f>
        <v>0.15690909090909094</v>
      </c>
      <c r="W35" s="16"/>
      <c r="X35" s="36">
        <f>+P35-T35</f>
        <v>233.65999999999997</v>
      </c>
      <c r="Y35" s="16"/>
      <c r="Z35" s="33">
        <f>IF(T35=0,0,X35/T35)</f>
        <v>13.537659327925834</v>
      </c>
    </row>
    <row r="36" spans="1:26" ht="15" thickTop="1" x14ac:dyDescent="0.3">
      <c r="A36" s="9"/>
      <c r="C36" s="9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6" x14ac:dyDescent="0.3">
      <c r="A37" s="9"/>
      <c r="B37" s="52">
        <v>44543.765594675926</v>
      </c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9" t="s">
        <v>56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61"/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</sheetData>
  <pageMargins left="0.25" right="0.25" top="0.75" bottom="0.75" header="0.3" footer="0.3"/>
  <pageSetup scale="55" fitToWidth="2" orientation="landscape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C000"/>
    <outlinePr summaryBelow="0" summaryRight="0"/>
  </sheetPr>
  <dimension ref="A2:Z12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199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1387530.02</v>
      </c>
      <c r="E12" s="4"/>
      <c r="F12" s="12"/>
      <c r="G12" s="4"/>
      <c r="H12" s="4">
        <f>SUM(OSRRefH13x_0)</f>
        <v>171910.73</v>
      </c>
      <c r="I12" s="4"/>
      <c r="J12" s="12"/>
      <c r="K12" s="4"/>
      <c r="L12" s="4">
        <f t="shared" ref="L12:L18" si="0">+D12-H12</f>
        <v>1215619.29</v>
      </c>
      <c r="M12" s="4"/>
      <c r="N12" s="12">
        <f t="shared" ref="N12:N18" si="1">IF(H12=0,0,L12/H12)</f>
        <v>7.0712240591381352</v>
      </c>
      <c r="O12" s="10"/>
      <c r="P12" s="4">
        <f>SUM(OSRRefP13x_0)</f>
        <v>5313120.67</v>
      </c>
      <c r="Q12" s="4"/>
      <c r="R12" s="12"/>
      <c r="S12" s="4"/>
      <c r="T12" s="4">
        <f>SUM(OSRRefT13x_0)</f>
        <v>673464.93</v>
      </c>
      <c r="U12" s="4"/>
      <c r="V12" s="12"/>
      <c r="W12" s="4"/>
      <c r="X12" s="4">
        <f t="shared" ref="X12:X18" si="2">+P12-T12</f>
        <v>4639655.74</v>
      </c>
      <c r="Y12" s="4"/>
      <c r="Z12" s="12">
        <f t="shared" ref="Z12:Z18" si="3">IF(T12=0,0,X12/T12)</f>
        <v>6.8892313962064806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--23100.6</f>
        <v>23100.6</v>
      </c>
      <c r="E13" s="2"/>
      <c r="F13" s="19"/>
      <c r="G13" s="2"/>
      <c r="H13" s="2">
        <f>--4501.27</f>
        <v>4501.2700000000004</v>
      </c>
      <c r="I13" s="2"/>
      <c r="J13" s="19"/>
      <c r="K13" s="2"/>
      <c r="L13" s="2">
        <f t="shared" si="0"/>
        <v>18599.329999999998</v>
      </c>
      <c r="M13" s="2"/>
      <c r="N13" s="19">
        <f t="shared" si="1"/>
        <v>4.1320182970583845</v>
      </c>
      <c r="O13" s="11"/>
      <c r="P13" s="2">
        <f>--127351.17</f>
        <v>127351.17</v>
      </c>
      <c r="Q13" s="2"/>
      <c r="R13" s="19"/>
      <c r="S13" s="2"/>
      <c r="T13" s="2">
        <f>--17251.21</f>
        <v>17251.21</v>
      </c>
      <c r="U13" s="2"/>
      <c r="V13" s="19"/>
      <c r="W13" s="2"/>
      <c r="X13" s="2">
        <f t="shared" si="2"/>
        <v>110099.95999999999</v>
      </c>
      <c r="Y13" s="2"/>
      <c r="Z13" s="19">
        <f t="shared" si="3"/>
        <v>6.3821587007520053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--55493.87</f>
        <v>55493.87</v>
      </c>
      <c r="I14" s="2"/>
      <c r="J14" s="19"/>
      <c r="K14" s="2"/>
      <c r="L14" s="2">
        <f t="shared" si="0"/>
        <v>-55493.87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--85725.16</f>
        <v>85725.16</v>
      </c>
      <c r="U14" s="2"/>
      <c r="V14" s="19"/>
      <c r="W14" s="2"/>
      <c r="X14" s="2">
        <f t="shared" si="2"/>
        <v>-85725.16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--1953.51</f>
        <v>1953.51</v>
      </c>
      <c r="E15" s="2"/>
      <c r="F15" s="19"/>
      <c r="G15" s="2"/>
      <c r="H15" s="2">
        <f>--92.59</f>
        <v>92.59</v>
      </c>
      <c r="I15" s="2"/>
      <c r="J15" s="19"/>
      <c r="K15" s="2"/>
      <c r="L15" s="2">
        <f t="shared" si="0"/>
        <v>1860.92</v>
      </c>
      <c r="M15" s="2"/>
      <c r="N15" s="19">
        <f t="shared" si="1"/>
        <v>20.098498757965224</v>
      </c>
      <c r="O15" s="11"/>
      <c r="P15" s="2">
        <f>--7999.01</f>
        <v>7999.01</v>
      </c>
      <c r="Q15" s="2"/>
      <c r="R15" s="19"/>
      <c r="S15" s="2"/>
      <c r="T15" s="2">
        <f>--495.03</f>
        <v>495.03</v>
      </c>
      <c r="U15" s="2"/>
      <c r="V15" s="19"/>
      <c r="W15" s="2"/>
      <c r="X15" s="2">
        <f t="shared" si="2"/>
        <v>7503.9800000000005</v>
      </c>
      <c r="Y15" s="2"/>
      <c r="Z15" s="19">
        <f t="shared" si="3"/>
        <v>15.158636850291904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>0</f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--1356110.78</f>
        <v>1356110.78</v>
      </c>
      <c r="E17" s="2"/>
      <c r="F17" s="19"/>
      <c r="G17" s="2"/>
      <c r="H17" s="2">
        <f>--101465.72</f>
        <v>101465.72</v>
      </c>
      <c r="I17" s="2"/>
      <c r="J17" s="19"/>
      <c r="K17" s="2"/>
      <c r="L17" s="2">
        <f t="shared" si="0"/>
        <v>1254645.06</v>
      </c>
      <c r="M17" s="2"/>
      <c r="N17" s="19">
        <f t="shared" si="1"/>
        <v>12.36521122601801</v>
      </c>
      <c r="O17" s="11"/>
      <c r="P17" s="2">
        <f>--5127000.66</f>
        <v>5127000.66</v>
      </c>
      <c r="Q17" s="2"/>
      <c r="R17" s="19"/>
      <c r="S17" s="2"/>
      <c r="T17" s="2">
        <f>--542894.76</f>
        <v>542894.76</v>
      </c>
      <c r="U17" s="2"/>
      <c r="V17" s="19"/>
      <c r="W17" s="2"/>
      <c r="X17" s="2">
        <f t="shared" si="2"/>
        <v>4584105.9000000004</v>
      </c>
      <c r="Y17" s="2"/>
      <c r="Z17" s="19">
        <f t="shared" si="3"/>
        <v>8.4438204929441572</v>
      </c>
    </row>
    <row r="18" spans="1:26" s="24" customFormat="1" hidden="1" outlineLevel="1" x14ac:dyDescent="0.3">
      <c r="A18" s="44"/>
      <c r="B18" s="11" t="str">
        <f>CONCATENATE("          ", "4153", " - ", "NON-TAXABLE SALES-FOOD")</f>
        <v xml:space="preserve">          4153 - NON-TAXABLE SALES-FOOD</v>
      </c>
      <c r="C18" s="11"/>
      <c r="D18" s="2">
        <f>--6365.13</f>
        <v>6365.13</v>
      </c>
      <c r="E18" s="2"/>
      <c r="F18" s="19"/>
      <c r="G18" s="2"/>
      <c r="H18" s="2">
        <f>--10357.28</f>
        <v>10357.280000000001</v>
      </c>
      <c r="I18" s="2"/>
      <c r="J18" s="19"/>
      <c r="K18" s="2"/>
      <c r="L18" s="2">
        <f t="shared" si="0"/>
        <v>-3992.1500000000005</v>
      </c>
      <c r="M18" s="2"/>
      <c r="N18" s="19">
        <f t="shared" si="1"/>
        <v>-0.38544386170886569</v>
      </c>
      <c r="O18" s="11"/>
      <c r="P18" s="2">
        <f>--50769.83</f>
        <v>50769.83</v>
      </c>
      <c r="Q18" s="2"/>
      <c r="R18" s="19"/>
      <c r="S18" s="2"/>
      <c r="T18" s="2">
        <f>--26123.86</f>
        <v>26123.86</v>
      </c>
      <c r="U18" s="2"/>
      <c r="V18" s="19"/>
      <c r="W18" s="2"/>
      <c r="X18" s="2">
        <f t="shared" si="2"/>
        <v>24645.97</v>
      </c>
      <c r="Y18" s="2"/>
      <c r="Z18" s="19">
        <f t="shared" si="3"/>
        <v>0.94342757923216558</v>
      </c>
    </row>
    <row r="19" spans="1:26" x14ac:dyDescent="0.3">
      <c r="A19" s="9"/>
      <c r="B19" s="10"/>
      <c r="C19" s="9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collapsed="1" x14ac:dyDescent="0.3">
      <c r="A20" s="10"/>
      <c r="B20" s="26" t="s">
        <v>256</v>
      </c>
      <c r="C20" s="10"/>
      <c r="D20" s="4">
        <f>SUM(OSRRefD16x_0)</f>
        <v>325183.37</v>
      </c>
      <c r="E20" s="4"/>
      <c r="F20" s="12">
        <f t="shared" ref="F20:F22" si="4">IF(D$12=0,0,D20/D$12)</f>
        <v>0.23436132214278146</v>
      </c>
      <c r="G20" s="4"/>
      <c r="H20" s="4">
        <f>SUM(OSRRefH16x_0)</f>
        <v>44102.18</v>
      </c>
      <c r="I20" s="4"/>
      <c r="J20" s="12">
        <f t="shared" ref="J20:J22" si="5">IF(H$12=0,0,H20/H$12)</f>
        <v>0.25654117110665514</v>
      </c>
      <c r="K20" s="4"/>
      <c r="L20" s="4">
        <f t="shared" ref="L20:L22" si="6">+D20-H20</f>
        <v>281081.19</v>
      </c>
      <c r="M20" s="4"/>
      <c r="N20" s="12">
        <f t="shared" ref="N20:N22" si="7">IF(H20=0,0,L20/H20)</f>
        <v>6.3734080718912312</v>
      </c>
      <c r="O20" s="10"/>
      <c r="P20" s="4">
        <f>SUM(OSRRefP16x_0)</f>
        <v>1469513.58</v>
      </c>
      <c r="Q20" s="4"/>
      <c r="R20" s="12">
        <f t="shared" ref="R20:R22" si="8">IF(P$12=0,0,P20/P$12)</f>
        <v>0.2765820073120982</v>
      </c>
      <c r="S20" s="4"/>
      <c r="T20" s="4">
        <f>SUM(OSRRefT16x_0)</f>
        <v>230909.42</v>
      </c>
      <c r="U20" s="4"/>
      <c r="V20" s="12">
        <f t="shared" ref="V20:V22" si="9">IF(T$12=0,0,T20/T$12)</f>
        <v>0.34286777189719442</v>
      </c>
      <c r="W20" s="4"/>
      <c r="X20" s="4">
        <f t="shared" ref="X20:X22" si="10">+P20-T20</f>
        <v>1238604.1600000001</v>
      </c>
      <c r="Y20" s="4"/>
      <c r="Z20" s="12">
        <f t="shared" ref="Z20:Z22" si="11">IF(T20=0,0,X20/T20)</f>
        <v>5.3640261189863976</v>
      </c>
    </row>
    <row r="21" spans="1:26" s="24" customFormat="1" hidden="1" outlineLevel="1" x14ac:dyDescent="0.3">
      <c r="A21" s="44"/>
      <c r="B21" s="11" t="str">
        <f>CONCATENATE("          ", "5053", " - ", "PURCHASES @ COST-FOOD")</f>
        <v xml:space="preserve">          5053 - PURCHASES @ COST-FOOD</v>
      </c>
      <c r="C21" s="11"/>
      <c r="D21" s="2">
        <v>316830.11</v>
      </c>
      <c r="E21" s="2"/>
      <c r="F21" s="19">
        <f t="shared" si="4"/>
        <v>0.22834108482928533</v>
      </c>
      <c r="G21" s="2"/>
      <c r="H21" s="2">
        <v>39551.18</v>
      </c>
      <c r="I21" s="2"/>
      <c r="J21" s="19">
        <f t="shared" si="5"/>
        <v>0.23006812896437587</v>
      </c>
      <c r="K21" s="2"/>
      <c r="L21" s="2">
        <f t="shared" si="6"/>
        <v>277278.93</v>
      </c>
      <c r="M21" s="2"/>
      <c r="N21" s="19">
        <f t="shared" si="7"/>
        <v>7.0106360922733533</v>
      </c>
      <c r="O21" s="11"/>
      <c r="P21" s="2">
        <v>1523924.24</v>
      </c>
      <c r="Q21" s="2"/>
      <c r="R21" s="19">
        <f t="shared" si="8"/>
        <v>0.28682281744600391</v>
      </c>
      <c r="S21" s="2"/>
      <c r="T21" s="2">
        <v>235088.04</v>
      </c>
      <c r="U21" s="2"/>
      <c r="V21" s="19">
        <f t="shared" si="9"/>
        <v>0.34907243054215159</v>
      </c>
      <c r="W21" s="2"/>
      <c r="X21" s="2">
        <f t="shared" si="10"/>
        <v>1288836.2</v>
      </c>
      <c r="Y21" s="2"/>
      <c r="Z21" s="19">
        <f t="shared" si="11"/>
        <v>5.4823554613837437</v>
      </c>
    </row>
    <row r="22" spans="1:26" s="24" customFormat="1" hidden="1" outlineLevel="1" x14ac:dyDescent="0.3">
      <c r="A22" s="44"/>
      <c r="B22" s="11" t="str">
        <f>CONCATENATE("          ", "5059", " - ", "PURCHASES @ COST-FOOD")</f>
        <v xml:space="preserve">          5059 - PURCHASES @ COST-FOOD</v>
      </c>
      <c r="C22" s="11"/>
      <c r="D22" s="2">
        <v>8353.26</v>
      </c>
      <c r="E22" s="2"/>
      <c r="F22" s="19">
        <f t="shared" si="4"/>
        <v>6.020237313496107E-3</v>
      </c>
      <c r="G22" s="2"/>
      <c r="H22" s="2">
        <v>4551</v>
      </c>
      <c r="I22" s="2"/>
      <c r="J22" s="19">
        <f t="shared" si="5"/>
        <v>2.6473042142279309E-2</v>
      </c>
      <c r="K22" s="2"/>
      <c r="L22" s="2">
        <f t="shared" si="6"/>
        <v>3802.26</v>
      </c>
      <c r="M22" s="2"/>
      <c r="N22" s="19">
        <f t="shared" si="7"/>
        <v>0.83547791694133167</v>
      </c>
      <c r="O22" s="11"/>
      <c r="P22" s="2">
        <v>-54410.66</v>
      </c>
      <c r="Q22" s="2"/>
      <c r="R22" s="19">
        <f t="shared" si="8"/>
        <v>-1.024081013390573E-2</v>
      </c>
      <c r="S22" s="2"/>
      <c r="T22" s="2">
        <v>-4178.62</v>
      </c>
      <c r="U22" s="2"/>
      <c r="V22" s="19">
        <f t="shared" si="9"/>
        <v>-6.2046586449572057E-3</v>
      </c>
      <c r="W22" s="2"/>
      <c r="X22" s="2">
        <f t="shared" si="10"/>
        <v>-50232.04</v>
      </c>
      <c r="Y22" s="2"/>
      <c r="Z22" s="19">
        <f t="shared" si="11"/>
        <v>12.021203172339193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5" t="s">
        <v>107</v>
      </c>
      <c r="C24" s="25"/>
      <c r="D24" s="21">
        <f>D12-D20</f>
        <v>1062346.6499999999</v>
      </c>
      <c r="E24" s="13"/>
      <c r="F24" s="22">
        <f>IF(D$12=0,0,D24/D$12)</f>
        <v>0.76563867785721851</v>
      </c>
      <c r="G24" s="13"/>
      <c r="H24" s="21">
        <f>H12-H20</f>
        <v>127808.55000000002</v>
      </c>
      <c r="I24" s="13"/>
      <c r="J24" s="22">
        <f>IF(H$12=0,0,H24/H$12)</f>
        <v>0.74345882889334491</v>
      </c>
      <c r="K24" s="16"/>
      <c r="L24" s="21">
        <f>+D24-H24</f>
        <v>934538.09999999986</v>
      </c>
      <c r="M24" s="16"/>
      <c r="N24" s="22">
        <f>IF(H24=0,0,L24/H24)</f>
        <v>7.3120155106993998</v>
      </c>
      <c r="O24" s="26"/>
      <c r="P24" s="21">
        <f>P12-P20</f>
        <v>3843607.09</v>
      </c>
      <c r="Q24" s="13"/>
      <c r="R24" s="22">
        <f>IF(P$12=0,0,P24/P$12)</f>
        <v>0.72341799268790175</v>
      </c>
      <c r="S24" s="13"/>
      <c r="T24" s="21">
        <f>T12-T20</f>
        <v>442555.51</v>
      </c>
      <c r="U24" s="13"/>
      <c r="V24" s="22">
        <f>IF(T$12=0,0,T24/T$12)</f>
        <v>0.65713222810280558</v>
      </c>
      <c r="W24" s="16"/>
      <c r="X24" s="21">
        <f>+P24-T24</f>
        <v>3401051.58</v>
      </c>
      <c r="Y24" s="16"/>
      <c r="Z24" s="22">
        <f>IF(T24=0,0,X24/T24)</f>
        <v>7.6850282126190228</v>
      </c>
    </row>
    <row r="25" spans="1:26" x14ac:dyDescent="0.3">
      <c r="A25" s="9"/>
      <c r="B25" s="10"/>
      <c r="C25" s="9"/>
      <c r="D25" s="1"/>
      <c r="E25" s="1"/>
      <c r="F25" s="5"/>
      <c r="G25" s="1"/>
      <c r="H25" s="1"/>
      <c r="I25" s="1"/>
      <c r="J25" s="5"/>
      <c r="K25" s="1"/>
      <c r="L25" s="1"/>
      <c r="M25" s="1"/>
      <c r="N25" s="5"/>
      <c r="O25" s="37"/>
      <c r="P25" s="1"/>
      <c r="Q25" s="1"/>
      <c r="R25" s="5"/>
      <c r="S25" s="1"/>
      <c r="T25" s="1"/>
      <c r="U25" s="1"/>
      <c r="V25" s="5"/>
      <c r="W25" s="1"/>
      <c r="X25" s="1"/>
      <c r="Y25" s="1"/>
      <c r="Z25" s="5"/>
    </row>
    <row r="26" spans="1:26" s="23" customFormat="1" x14ac:dyDescent="0.3">
      <c r="A26" s="10"/>
      <c r="B26" s="26" t="s">
        <v>294</v>
      </c>
      <c r="C26" s="10"/>
      <c r="D26" s="20">
        <f>SUM(OSRRefD22x_0)</f>
        <v>647580.8899999999</v>
      </c>
      <c r="E26" s="20"/>
      <c r="F26" s="32">
        <f t="shared" ref="F26:F36" si="12">IF(D$12=0,0,D26/D$12)</f>
        <v>0.46671486790606509</v>
      </c>
      <c r="G26" s="20"/>
      <c r="H26" s="20">
        <f>SUM(OSRRefH22x_0)</f>
        <v>353034.65</v>
      </c>
      <c r="I26" s="20"/>
      <c r="J26" s="32">
        <f t="shared" ref="J26:J36" si="13">IF(H$12=0,0,H26/H$12)</f>
        <v>2.0535928734640359</v>
      </c>
      <c r="K26" s="4"/>
      <c r="L26" s="20">
        <f t="shared" ref="L26:L36" si="14">+D26-H26</f>
        <v>294546.23999999987</v>
      </c>
      <c r="M26" s="4"/>
      <c r="N26" s="32">
        <f t="shared" ref="N26:N36" si="15">IF(H26=0,0,L26/H26)</f>
        <v>0.83432671552211624</v>
      </c>
      <c r="O26" s="10"/>
      <c r="P26" s="20">
        <f>SUM(OSRRefP22x_0)</f>
        <v>3137582.0099999993</v>
      </c>
      <c r="Q26" s="20"/>
      <c r="R26" s="32">
        <f t="shared" ref="R26:R36" si="16">IF(P$12=0,0,P26/P$12)</f>
        <v>0.59053467912295687</v>
      </c>
      <c r="S26" s="20"/>
      <c r="T26" s="20">
        <f>SUM(OSRRefT22x_0)</f>
        <v>1714226.12</v>
      </c>
      <c r="U26" s="20"/>
      <c r="V26" s="32">
        <f t="shared" ref="V26:V36" si="17">IF(T$12=0,0,T26/T$12)</f>
        <v>2.5453829050905443</v>
      </c>
      <c r="W26" s="4"/>
      <c r="X26" s="20">
        <f t="shared" ref="X26:X36" si="18">+P26-T26</f>
        <v>1423355.8899999992</v>
      </c>
      <c r="Y26" s="4"/>
      <c r="Z26" s="32">
        <f t="shared" ref="Z26:Z36" si="19">IF(T26=0,0,X26/T26)</f>
        <v>0.83031980051733145</v>
      </c>
    </row>
    <row r="27" spans="1:26" s="29" customFormat="1" outlineLevel="1" collapsed="1" x14ac:dyDescent="0.3">
      <c r="A27" s="28"/>
      <c r="B27" s="14" t="str">
        <f>CONCATENATE("     ","*Benefits                                         ")</f>
        <v xml:space="preserve">     *Benefits                                         </v>
      </c>
      <c r="C27" s="14"/>
      <c r="D27" s="1">
        <f>SUM(OSRRefD22_0x_0)</f>
        <v>117729.47000000002</v>
      </c>
      <c r="E27" s="1"/>
      <c r="F27" s="5">
        <f t="shared" si="12"/>
        <v>8.4848232689048425E-2</v>
      </c>
      <c r="G27" s="1"/>
      <c r="H27" s="1">
        <f>SUM(OSRRefH22_0x_0)</f>
        <v>102249.69</v>
      </c>
      <c r="I27" s="1"/>
      <c r="J27" s="5">
        <f t="shared" si="13"/>
        <v>0.59478364148648544</v>
      </c>
      <c r="K27" s="1"/>
      <c r="L27" s="1">
        <f t="shared" si="14"/>
        <v>15479.780000000013</v>
      </c>
      <c r="M27" s="1"/>
      <c r="N27" s="5">
        <f t="shared" si="15"/>
        <v>0.1513919504303633</v>
      </c>
      <c r="O27" s="14"/>
      <c r="P27" s="1">
        <f>SUM(OSRRefP22_0x_0)</f>
        <v>572901.35</v>
      </c>
      <c r="Q27" s="1"/>
      <c r="R27" s="5">
        <f t="shared" si="16"/>
        <v>0.1078276563968949</v>
      </c>
      <c r="S27" s="1"/>
      <c r="T27" s="1">
        <f>SUM(OSRRefT22_0x_0)</f>
        <v>501117.24999999994</v>
      </c>
      <c r="U27" s="1"/>
      <c r="V27" s="5">
        <f t="shared" si="17"/>
        <v>0.74408811458081403</v>
      </c>
      <c r="W27" s="1"/>
      <c r="X27" s="1">
        <f t="shared" si="18"/>
        <v>71784.100000000035</v>
      </c>
      <c r="Y27" s="1"/>
      <c r="Z27" s="5">
        <f t="shared" si="19"/>
        <v>0.14324811209352711</v>
      </c>
    </row>
    <row r="28" spans="1:26" s="24" customFormat="1" hidden="1" outlineLevel="2" x14ac:dyDescent="0.3">
      <c r="A28" s="27"/>
      <c r="B28" s="11" t="str">
        <f>CONCATENATE("          ", "6111", " - ", "F.I.C.A.")</f>
        <v xml:space="preserve">          6111 - F.I.C.A.</v>
      </c>
      <c r="C28" s="11"/>
      <c r="D28" s="6">
        <v>16259.55</v>
      </c>
      <c r="E28" s="2"/>
      <c r="F28" s="7">
        <f t="shared" si="12"/>
        <v>1.1718341056145221E-2</v>
      </c>
      <c r="G28" s="2"/>
      <c r="H28" s="6">
        <v>9464.19</v>
      </c>
      <c r="I28" s="2"/>
      <c r="J28" s="7">
        <f t="shared" si="13"/>
        <v>5.5052933577793541E-2</v>
      </c>
      <c r="K28" s="2"/>
      <c r="L28" s="6">
        <f t="shared" si="14"/>
        <v>6795.3599999999988</v>
      </c>
      <c r="M28" s="2"/>
      <c r="N28" s="7">
        <f t="shared" si="15"/>
        <v>0.71800756324629988</v>
      </c>
      <c r="O28" s="11"/>
      <c r="P28" s="6">
        <v>83599.509999999995</v>
      </c>
      <c r="Q28" s="2"/>
      <c r="R28" s="7">
        <f t="shared" si="16"/>
        <v>1.5734540055157453E-2</v>
      </c>
      <c r="S28" s="2"/>
      <c r="T28" s="6">
        <v>55994.74</v>
      </c>
      <c r="U28" s="2"/>
      <c r="V28" s="7">
        <f t="shared" si="17"/>
        <v>8.3144255187868499E-2</v>
      </c>
      <c r="W28" s="2"/>
      <c r="X28" s="6">
        <f t="shared" si="18"/>
        <v>27604.769999999997</v>
      </c>
      <c r="Y28" s="2"/>
      <c r="Z28" s="7">
        <f t="shared" si="19"/>
        <v>0.49298862714604974</v>
      </c>
    </row>
    <row r="29" spans="1:26" s="24" customFormat="1" hidden="1" outlineLevel="2" x14ac:dyDescent="0.3">
      <c r="A29" s="27"/>
      <c r="B29" s="11" t="str">
        <f>CONCATENATE("          ", "6112", " - ", "COMPENSATION INSURANCE")</f>
        <v xml:space="preserve">          6112 - COMPENSATION INSURANCE</v>
      </c>
      <c r="C29" s="11"/>
      <c r="D29" s="6">
        <v>10652.62</v>
      </c>
      <c r="E29" s="2"/>
      <c r="F29" s="7">
        <f t="shared" si="12"/>
        <v>7.6773978555072994E-3</v>
      </c>
      <c r="G29" s="2"/>
      <c r="H29" s="6">
        <v>9429.67</v>
      </c>
      <c r="I29" s="2"/>
      <c r="J29" s="7">
        <f t="shared" si="13"/>
        <v>5.48521316848576E-2</v>
      </c>
      <c r="K29" s="2"/>
      <c r="L29" s="6">
        <f t="shared" si="14"/>
        <v>1222.9500000000007</v>
      </c>
      <c r="M29" s="2"/>
      <c r="N29" s="7">
        <f t="shared" si="15"/>
        <v>0.12969170713291142</v>
      </c>
      <c r="O29" s="11"/>
      <c r="P29" s="6">
        <v>46638.28</v>
      </c>
      <c r="Q29" s="2"/>
      <c r="R29" s="7">
        <f t="shared" si="16"/>
        <v>8.7779448080933572E-3</v>
      </c>
      <c r="S29" s="2"/>
      <c r="T29" s="6">
        <v>29634.400000000001</v>
      </c>
      <c r="U29" s="2"/>
      <c r="V29" s="7">
        <f t="shared" si="17"/>
        <v>4.4002885198491326E-2</v>
      </c>
      <c r="W29" s="2"/>
      <c r="X29" s="6">
        <f t="shared" si="18"/>
        <v>17003.879999999997</v>
      </c>
      <c r="Y29" s="2"/>
      <c r="Z29" s="7">
        <f t="shared" si="19"/>
        <v>0.57378857004022343</v>
      </c>
    </row>
    <row r="30" spans="1:26" s="24" customFormat="1" hidden="1" outlineLevel="2" x14ac:dyDescent="0.3">
      <c r="A30" s="27"/>
      <c r="B30" s="11" t="str">
        <f>CONCATENATE("          ", "6113", " - ", "GROUP INSURANCE")</f>
        <v xml:space="preserve">          6113 - GROUP INSURANCE</v>
      </c>
      <c r="C30" s="11"/>
      <c r="D30" s="6">
        <v>57555.43</v>
      </c>
      <c r="E30" s="2"/>
      <c r="F30" s="7">
        <f t="shared" si="12"/>
        <v>4.148049351753845E-2</v>
      </c>
      <c r="G30" s="2"/>
      <c r="H30" s="6">
        <v>54369.27</v>
      </c>
      <c r="I30" s="2"/>
      <c r="J30" s="7">
        <f t="shared" si="13"/>
        <v>0.31626455195670444</v>
      </c>
      <c r="K30" s="2"/>
      <c r="L30" s="6">
        <f t="shared" si="14"/>
        <v>3186.1600000000035</v>
      </c>
      <c r="M30" s="2"/>
      <c r="N30" s="7">
        <f t="shared" si="15"/>
        <v>5.8602221438691447E-2</v>
      </c>
      <c r="O30" s="11"/>
      <c r="P30" s="6">
        <v>277057.08</v>
      </c>
      <c r="Q30" s="2"/>
      <c r="R30" s="7">
        <f t="shared" si="16"/>
        <v>5.2145828639724841E-2</v>
      </c>
      <c r="S30" s="2"/>
      <c r="T30" s="6">
        <v>274154.49</v>
      </c>
      <c r="U30" s="2"/>
      <c r="V30" s="7">
        <f t="shared" si="17"/>
        <v>0.407080573594233</v>
      </c>
      <c r="W30" s="2"/>
      <c r="X30" s="6">
        <f t="shared" si="18"/>
        <v>2902.5900000000256</v>
      </c>
      <c r="Y30" s="2"/>
      <c r="Z30" s="7">
        <f t="shared" si="19"/>
        <v>1.058742463054326E-2</v>
      </c>
    </row>
    <row r="31" spans="1:26" s="24" customFormat="1" hidden="1" outlineLevel="2" x14ac:dyDescent="0.3">
      <c r="A31" s="27"/>
      <c r="B31" s="11" t="str">
        <f>CONCATENATE("          ", "6114", " - ", "STATE UNEMPLOYMENT INSURANCE")</f>
        <v xml:space="preserve">          6114 - STATE UNEMPLOYMENT INSURANCE</v>
      </c>
      <c r="C31" s="11"/>
      <c r="D31" s="6">
        <v>799.48</v>
      </c>
      <c r="E31" s="2"/>
      <c r="F31" s="7">
        <f t="shared" si="12"/>
        <v>5.7618933534857861E-4</v>
      </c>
      <c r="G31" s="2"/>
      <c r="H31" s="6">
        <v>671.25</v>
      </c>
      <c r="I31" s="2"/>
      <c r="J31" s="7">
        <f t="shared" si="13"/>
        <v>3.9046428341034905E-3</v>
      </c>
      <c r="K31" s="2"/>
      <c r="L31" s="6">
        <f t="shared" si="14"/>
        <v>128.23000000000002</v>
      </c>
      <c r="M31" s="2"/>
      <c r="N31" s="7">
        <f t="shared" si="15"/>
        <v>0.19103165735567973</v>
      </c>
      <c r="O31" s="11"/>
      <c r="P31" s="6">
        <v>3530.06</v>
      </c>
      <c r="Q31" s="2"/>
      <c r="R31" s="7">
        <f t="shared" si="16"/>
        <v>6.6440425867459168E-4</v>
      </c>
      <c r="S31" s="2"/>
      <c r="T31" s="6">
        <v>2154.13</v>
      </c>
      <c r="U31" s="2"/>
      <c r="V31" s="7">
        <f t="shared" si="17"/>
        <v>3.1985778383441582E-3</v>
      </c>
      <c r="W31" s="2"/>
      <c r="X31" s="6">
        <f t="shared" si="18"/>
        <v>1375.9299999999998</v>
      </c>
      <c r="Y31" s="2"/>
      <c r="Z31" s="7">
        <f t="shared" si="19"/>
        <v>0.63874046598858925</v>
      </c>
    </row>
    <row r="32" spans="1:26" s="24" customFormat="1" hidden="1" outlineLevel="2" x14ac:dyDescent="0.3">
      <c r="A32" s="27"/>
      <c r="B32" s="11" t="str">
        <f>CONCATENATE("          ", "6115", " - ", "P.E.R.S.")</f>
        <v xml:space="preserve">          6115 - P.E.R.S.</v>
      </c>
      <c r="C32" s="11"/>
      <c r="D32" s="6">
        <v>7341.91</v>
      </c>
      <c r="E32" s="2"/>
      <c r="F32" s="7">
        <f t="shared" si="12"/>
        <v>5.2913521827801608E-3</v>
      </c>
      <c r="G32" s="2"/>
      <c r="H32" s="6">
        <v>8954.64</v>
      </c>
      <c r="I32" s="2"/>
      <c r="J32" s="7">
        <f t="shared" si="13"/>
        <v>5.2088895207413749E-2</v>
      </c>
      <c r="K32" s="2"/>
      <c r="L32" s="6">
        <f t="shared" si="14"/>
        <v>-1612.7299999999996</v>
      </c>
      <c r="M32" s="2"/>
      <c r="N32" s="7">
        <f t="shared" si="15"/>
        <v>-0.18009992584849863</v>
      </c>
      <c r="O32" s="11"/>
      <c r="P32" s="6">
        <v>38670.54</v>
      </c>
      <c r="Q32" s="2"/>
      <c r="R32" s="7">
        <f t="shared" si="16"/>
        <v>7.2783101310590036E-3</v>
      </c>
      <c r="S32" s="2"/>
      <c r="T32" s="6">
        <v>37662.61</v>
      </c>
      <c r="U32" s="2"/>
      <c r="V32" s="7">
        <f t="shared" si="17"/>
        <v>5.5923639557593587E-2</v>
      </c>
      <c r="W32" s="2"/>
      <c r="X32" s="6">
        <f t="shared" si="18"/>
        <v>1007.9300000000003</v>
      </c>
      <c r="Y32" s="2"/>
      <c r="Z32" s="7">
        <f t="shared" si="19"/>
        <v>2.6762085792779635E-2</v>
      </c>
    </row>
    <row r="33" spans="1:26" s="24" customFormat="1" hidden="1" outlineLevel="2" x14ac:dyDescent="0.3">
      <c r="A33" s="27"/>
      <c r="B33" s="11" t="str">
        <f>CONCATENATE("          ", "6117", " - ", "RETIREMENT STAFF HOURLY")</f>
        <v xml:space="preserve">          6117 - RETIREMENT STAFF HOURLY</v>
      </c>
      <c r="C33" s="11"/>
      <c r="D33" s="6">
        <v>1804.57</v>
      </c>
      <c r="E33" s="2"/>
      <c r="F33" s="7">
        <f t="shared" si="12"/>
        <v>1.3005628519662587E-3</v>
      </c>
      <c r="G33" s="2"/>
      <c r="H33" s="6">
        <v>1420.55</v>
      </c>
      <c r="I33" s="2"/>
      <c r="J33" s="7">
        <f t="shared" si="13"/>
        <v>8.2633003768874686E-3</v>
      </c>
      <c r="K33" s="2"/>
      <c r="L33" s="6">
        <f t="shared" si="14"/>
        <v>384.02</v>
      </c>
      <c r="M33" s="2"/>
      <c r="N33" s="7">
        <f t="shared" si="15"/>
        <v>0.27033191369539966</v>
      </c>
      <c r="O33" s="11"/>
      <c r="P33" s="6">
        <v>8289.98</v>
      </c>
      <c r="Q33" s="2"/>
      <c r="R33" s="7">
        <f t="shared" si="16"/>
        <v>1.5602845323669263E-3</v>
      </c>
      <c r="S33" s="2"/>
      <c r="T33" s="6">
        <v>7686.86</v>
      </c>
      <c r="U33" s="2"/>
      <c r="V33" s="7">
        <f t="shared" si="17"/>
        <v>1.1413897973870738E-2</v>
      </c>
      <c r="W33" s="2"/>
      <c r="X33" s="6">
        <f t="shared" si="18"/>
        <v>603.11999999999989</v>
      </c>
      <c r="Y33" s="2"/>
      <c r="Z33" s="7">
        <f t="shared" si="19"/>
        <v>7.8461166197901347E-2</v>
      </c>
    </row>
    <row r="34" spans="1:26" s="24" customFormat="1" hidden="1" outlineLevel="2" x14ac:dyDescent="0.3">
      <c r="A34" s="27"/>
      <c r="B34" s="11" t="str">
        <f>CONCATENATE("          ", "6118", " - ", "VACATION")</f>
        <v xml:space="preserve">          6118 - VACATION</v>
      </c>
      <c r="C34" s="11"/>
      <c r="D34" s="6">
        <v>10002.56</v>
      </c>
      <c r="E34" s="2"/>
      <c r="F34" s="7">
        <f t="shared" si="12"/>
        <v>7.2088962803125512E-3</v>
      </c>
      <c r="G34" s="2"/>
      <c r="H34" s="6">
        <v>8977.98</v>
      </c>
      <c r="I34" s="2"/>
      <c r="J34" s="7">
        <f t="shared" si="13"/>
        <v>5.2224663347075539E-2</v>
      </c>
      <c r="K34" s="2"/>
      <c r="L34" s="6">
        <f t="shared" si="14"/>
        <v>1024.58</v>
      </c>
      <c r="M34" s="2"/>
      <c r="N34" s="7">
        <f t="shared" si="15"/>
        <v>0.11412143934381676</v>
      </c>
      <c r="O34" s="11"/>
      <c r="P34" s="6">
        <v>53391.32</v>
      </c>
      <c r="Q34" s="2"/>
      <c r="R34" s="7">
        <f t="shared" si="16"/>
        <v>1.0048956783810445E-2</v>
      </c>
      <c r="S34" s="2"/>
      <c r="T34" s="6">
        <v>47308.18</v>
      </c>
      <c r="U34" s="2"/>
      <c r="V34" s="7">
        <f t="shared" si="17"/>
        <v>7.0245944358231088E-2</v>
      </c>
      <c r="W34" s="2"/>
      <c r="X34" s="6">
        <f t="shared" si="18"/>
        <v>6083.1399999999994</v>
      </c>
      <c r="Y34" s="2"/>
      <c r="Z34" s="7">
        <f t="shared" si="19"/>
        <v>0.1285853736076932</v>
      </c>
    </row>
    <row r="35" spans="1:26" s="24" customFormat="1" hidden="1" outlineLevel="2" x14ac:dyDescent="0.3">
      <c r="A35" s="27"/>
      <c r="B35" s="11" t="str">
        <f>CONCATENATE("          ", "6119", " - ", "SICK LEAVE")</f>
        <v xml:space="preserve">          6119 - SICK LEAVE</v>
      </c>
      <c r="C35" s="11"/>
      <c r="D35" s="6">
        <v>7527.43</v>
      </c>
      <c r="E35" s="2"/>
      <c r="F35" s="7">
        <f t="shared" si="12"/>
        <v>5.4250573980374134E-3</v>
      </c>
      <c r="G35" s="2"/>
      <c r="H35" s="6">
        <v>5575.88</v>
      </c>
      <c r="I35" s="2"/>
      <c r="J35" s="7">
        <f t="shared" si="13"/>
        <v>3.2434740984463271E-2</v>
      </c>
      <c r="K35" s="2"/>
      <c r="L35" s="6">
        <f t="shared" si="14"/>
        <v>1951.5500000000002</v>
      </c>
      <c r="M35" s="2"/>
      <c r="N35" s="7">
        <f t="shared" si="15"/>
        <v>0.3499985652488935</v>
      </c>
      <c r="O35" s="11"/>
      <c r="P35" s="6">
        <v>37415.440000000002</v>
      </c>
      <c r="Q35" s="2"/>
      <c r="R35" s="7">
        <f t="shared" si="16"/>
        <v>7.0420836122285935E-3</v>
      </c>
      <c r="S35" s="2"/>
      <c r="T35" s="6">
        <v>30447.91</v>
      </c>
      <c r="U35" s="2"/>
      <c r="V35" s="7">
        <f t="shared" si="17"/>
        <v>4.5210832284911996E-2</v>
      </c>
      <c r="W35" s="2"/>
      <c r="X35" s="6">
        <f t="shared" si="18"/>
        <v>6967.5300000000025</v>
      </c>
      <c r="Y35" s="2"/>
      <c r="Z35" s="7">
        <f t="shared" si="19"/>
        <v>0.22883442574547819</v>
      </c>
    </row>
    <row r="36" spans="1:26" s="24" customFormat="1" hidden="1" outlineLevel="2" x14ac:dyDescent="0.3">
      <c r="A36" s="27"/>
      <c r="B36" s="11" t="str">
        <f>CONCATENATE("          ", "6156", " - ", "EMPLOYEE MEALS")</f>
        <v xml:space="preserve">          6156 - EMPLOYEE MEALS</v>
      </c>
      <c r="C36" s="11"/>
      <c r="D36" s="6">
        <v>5785.92</v>
      </c>
      <c r="E36" s="2"/>
      <c r="F36" s="7">
        <f t="shared" si="12"/>
        <v>4.1699422114124781E-3</v>
      </c>
      <c r="G36" s="2"/>
      <c r="H36" s="6">
        <v>3386.26</v>
      </c>
      <c r="I36" s="2"/>
      <c r="J36" s="7">
        <f t="shared" si="13"/>
        <v>1.9697781517186274E-2</v>
      </c>
      <c r="K36" s="2"/>
      <c r="L36" s="6">
        <f t="shared" si="14"/>
        <v>2399.66</v>
      </c>
      <c r="M36" s="2"/>
      <c r="N36" s="7">
        <f t="shared" si="15"/>
        <v>0.70864611695498858</v>
      </c>
      <c r="O36" s="11"/>
      <c r="P36" s="6">
        <v>24309.14</v>
      </c>
      <c r="Q36" s="2"/>
      <c r="R36" s="7">
        <f t="shared" si="16"/>
        <v>4.5753035757796932E-3</v>
      </c>
      <c r="S36" s="2"/>
      <c r="T36" s="6">
        <v>16073.93</v>
      </c>
      <c r="U36" s="2"/>
      <c r="V36" s="7">
        <f t="shared" si="17"/>
        <v>2.3867508587269718E-2</v>
      </c>
      <c r="W36" s="2"/>
      <c r="X36" s="6">
        <f t="shared" si="18"/>
        <v>8235.2099999999991</v>
      </c>
      <c r="Y36" s="2"/>
      <c r="Z36" s="7">
        <f t="shared" si="19"/>
        <v>0.51233332483095295</v>
      </c>
    </row>
    <row r="37" spans="1:26" s="29" customFormat="1" outlineLevel="1" collapsed="1" x14ac:dyDescent="0.3">
      <c r="A37" s="28"/>
      <c r="B37" s="14" t="str">
        <f>CONCATENATE("     ","*Payroll                                          ")</f>
        <v xml:space="preserve">     *Payroll                                          </v>
      </c>
      <c r="C37" s="14"/>
      <c r="D37" s="1">
        <f>SUM(OSRRefD22_1x_0)</f>
        <v>299283.51</v>
      </c>
      <c r="E37" s="1"/>
      <c r="F37" s="5">
        <f t="shared" ref="F37:F43" si="20">IF(D$12=0,0,D37/D$12)</f>
        <v>0.21569516023876731</v>
      </c>
      <c r="G37" s="1"/>
      <c r="H37" s="1">
        <f>SUM(OSRRefH22_1x_0)</f>
        <v>135166.41</v>
      </c>
      <c r="I37" s="1"/>
      <c r="J37" s="5">
        <f t="shared" ref="J37:J43" si="21">IF(H$12=0,0,H37/H$12)</f>
        <v>0.78625929864878119</v>
      </c>
      <c r="K37" s="1"/>
      <c r="L37" s="1">
        <f t="shared" ref="L37:L43" si="22">+D37-H37</f>
        <v>164117.1</v>
      </c>
      <c r="M37" s="1"/>
      <c r="N37" s="5">
        <f t="shared" ref="N37:N43" si="23">IF(H37=0,0,L37/H37)</f>
        <v>1.2141855361846186</v>
      </c>
      <c r="O37" s="14"/>
      <c r="P37" s="1">
        <f>SUM(OSRRefP22_1x_0)</f>
        <v>1417326.15</v>
      </c>
      <c r="Q37" s="1"/>
      <c r="R37" s="5">
        <f t="shared" ref="R37:R43" si="24">IF(P$12=0,0,P37/P$12)</f>
        <v>0.26675963864378033</v>
      </c>
      <c r="S37" s="1"/>
      <c r="T37" s="1">
        <f>SUM(OSRRefT22_1x_0)</f>
        <v>702423.6100000001</v>
      </c>
      <c r="U37" s="1"/>
      <c r="V37" s="5">
        <f t="shared" ref="V37:V43" si="25">IF(T$12=0,0,T37/T$12)</f>
        <v>1.042999536739055</v>
      </c>
      <c r="W37" s="1"/>
      <c r="X37" s="1">
        <f t="shared" ref="X37:X43" si="26">+P37-T37</f>
        <v>714902.5399999998</v>
      </c>
      <c r="Y37" s="1"/>
      <c r="Z37" s="5">
        <f t="shared" ref="Z37:Z43" si="27">IF(T37=0,0,X37/T37)</f>
        <v>1.0177655332513662</v>
      </c>
    </row>
    <row r="38" spans="1:26" s="24" customFormat="1" hidden="1" outlineLevel="2" x14ac:dyDescent="0.3">
      <c r="A38" s="27"/>
      <c r="B38" s="11" t="str">
        <f>CONCATENATE("          ", "6001", " - ", "ADMINISTRATIVE SALARIES")</f>
        <v xml:space="preserve">          6001 - ADMINISTRATIVE SALARIES</v>
      </c>
      <c r="C38" s="11"/>
      <c r="D38" s="6">
        <v>17129.88</v>
      </c>
      <c r="E38" s="2"/>
      <c r="F38" s="7">
        <f t="shared" si="20"/>
        <v>1.2345592349778493E-2</v>
      </c>
      <c r="G38" s="2"/>
      <c r="H38" s="6">
        <v>18473.91</v>
      </c>
      <c r="I38" s="2"/>
      <c r="J38" s="7">
        <f t="shared" si="21"/>
        <v>0.10746222763407495</v>
      </c>
      <c r="K38" s="2"/>
      <c r="L38" s="6">
        <f t="shared" si="22"/>
        <v>-1344.0299999999988</v>
      </c>
      <c r="M38" s="2"/>
      <c r="N38" s="7">
        <f t="shared" si="23"/>
        <v>-7.2752871481998063E-2</v>
      </c>
      <c r="O38" s="11"/>
      <c r="P38" s="6">
        <v>99827.49</v>
      </c>
      <c r="Q38" s="2"/>
      <c r="R38" s="7">
        <f t="shared" si="24"/>
        <v>1.8788861800874551E-2</v>
      </c>
      <c r="S38" s="2"/>
      <c r="T38" s="6">
        <v>99070.05</v>
      </c>
      <c r="U38" s="2"/>
      <c r="V38" s="7">
        <f t="shared" si="25"/>
        <v>0.14710498733764799</v>
      </c>
      <c r="W38" s="2"/>
      <c r="X38" s="6">
        <f t="shared" si="26"/>
        <v>757.44000000000233</v>
      </c>
      <c r="Y38" s="2"/>
      <c r="Z38" s="7">
        <f t="shared" si="27"/>
        <v>7.645499320935059E-3</v>
      </c>
    </row>
    <row r="39" spans="1:26" s="24" customFormat="1" hidden="1" outlineLevel="2" x14ac:dyDescent="0.3">
      <c r="A39" s="27"/>
      <c r="B39" s="11" t="str">
        <f>CONCATENATE("          ", "6002", " - ", "STAFF SALARIES")</f>
        <v xml:space="preserve">          6002 - STAFF SALARIES</v>
      </c>
      <c r="C39" s="11"/>
      <c r="D39" s="6">
        <v>57111.1</v>
      </c>
      <c r="E39" s="2"/>
      <c r="F39" s="7">
        <f t="shared" si="20"/>
        <v>4.116026260822811E-2</v>
      </c>
      <c r="G39" s="2"/>
      <c r="H39" s="6">
        <v>36179.25</v>
      </c>
      <c r="I39" s="2"/>
      <c r="J39" s="7">
        <f t="shared" si="21"/>
        <v>0.21045370466404278</v>
      </c>
      <c r="K39" s="2"/>
      <c r="L39" s="6">
        <f t="shared" si="22"/>
        <v>20931.849999999999</v>
      </c>
      <c r="M39" s="2"/>
      <c r="N39" s="7">
        <f t="shared" si="23"/>
        <v>0.57855953343421984</v>
      </c>
      <c r="O39" s="11"/>
      <c r="P39" s="6">
        <v>301562.56</v>
      </c>
      <c r="Q39" s="2"/>
      <c r="R39" s="7">
        <f t="shared" si="24"/>
        <v>5.6758086015765194E-2</v>
      </c>
      <c r="S39" s="2"/>
      <c r="T39" s="6">
        <v>225273.7</v>
      </c>
      <c r="U39" s="2"/>
      <c r="V39" s="7">
        <f t="shared" si="25"/>
        <v>0.3344995262039851</v>
      </c>
      <c r="W39" s="2"/>
      <c r="X39" s="6">
        <f t="shared" si="26"/>
        <v>76288.859999999986</v>
      </c>
      <c r="Y39" s="2"/>
      <c r="Z39" s="7">
        <f t="shared" si="27"/>
        <v>0.33864965151280413</v>
      </c>
    </row>
    <row r="40" spans="1:26" s="24" customFormat="1" hidden="1" outlineLevel="2" x14ac:dyDescent="0.3">
      <c r="A40" s="27"/>
      <c r="B40" s="11" t="str">
        <f>CONCATENATE("          ", "6004", " - ", "STAFF HOURLY")</f>
        <v xml:space="preserve">          6004 - STAFF HOURLY</v>
      </c>
      <c r="C40" s="11"/>
      <c r="D40" s="6">
        <v>92332.62</v>
      </c>
      <c r="E40" s="2"/>
      <c r="F40" s="7">
        <f t="shared" si="20"/>
        <v>6.6544592671227393E-2</v>
      </c>
      <c r="G40" s="2"/>
      <c r="H40" s="6">
        <v>50265.4</v>
      </c>
      <c r="I40" s="2"/>
      <c r="J40" s="7">
        <f t="shared" si="21"/>
        <v>0.2923924527573119</v>
      </c>
      <c r="K40" s="2"/>
      <c r="L40" s="6">
        <f t="shared" si="22"/>
        <v>42067.219999999994</v>
      </c>
      <c r="M40" s="2"/>
      <c r="N40" s="7">
        <f t="shared" si="23"/>
        <v>0.83690212352831161</v>
      </c>
      <c r="O40" s="11"/>
      <c r="P40" s="6">
        <v>440480.66</v>
      </c>
      <c r="Q40" s="2"/>
      <c r="R40" s="7">
        <f t="shared" si="24"/>
        <v>8.2904320710638024E-2</v>
      </c>
      <c r="S40" s="2"/>
      <c r="T40" s="6">
        <v>256960.39</v>
      </c>
      <c r="U40" s="2"/>
      <c r="V40" s="7">
        <f t="shared" si="25"/>
        <v>0.38154977127019812</v>
      </c>
      <c r="W40" s="2"/>
      <c r="X40" s="6">
        <f t="shared" si="26"/>
        <v>183520.26999999996</v>
      </c>
      <c r="Y40" s="2"/>
      <c r="Z40" s="7">
        <f t="shared" si="27"/>
        <v>0.71419672891997066</v>
      </c>
    </row>
    <row r="41" spans="1:26" s="24" customFormat="1" hidden="1" outlineLevel="2" x14ac:dyDescent="0.3">
      <c r="A41" s="27"/>
      <c r="B41" s="11" t="str">
        <f>CONCATENATE("          ", "6005", " - ", "TEMPORARY WAGES-HOURLY")</f>
        <v xml:space="preserve">          6005 - TEMPORARY WAGES-HOURLY</v>
      </c>
      <c r="C41" s="11"/>
      <c r="D41" s="6">
        <v>33238.57</v>
      </c>
      <c r="E41" s="2"/>
      <c r="F41" s="7">
        <f t="shared" si="20"/>
        <v>2.3955207830386255E-2</v>
      </c>
      <c r="G41" s="2"/>
      <c r="H41" s="6">
        <v>13195.5</v>
      </c>
      <c r="I41" s="2"/>
      <c r="J41" s="7">
        <f t="shared" si="21"/>
        <v>7.6757861478454537E-2</v>
      </c>
      <c r="K41" s="2"/>
      <c r="L41" s="6">
        <f t="shared" si="22"/>
        <v>20043.07</v>
      </c>
      <c r="M41" s="2"/>
      <c r="N41" s="7">
        <f t="shared" si="23"/>
        <v>1.5189322117388504</v>
      </c>
      <c r="O41" s="11"/>
      <c r="P41" s="6">
        <v>255291.21</v>
      </c>
      <c r="Q41" s="2"/>
      <c r="R41" s="7">
        <f t="shared" si="24"/>
        <v>4.8049202315595063E-2</v>
      </c>
      <c r="S41" s="2"/>
      <c r="T41" s="6">
        <v>53045.94</v>
      </c>
      <c r="U41" s="2"/>
      <c r="V41" s="7">
        <f t="shared" si="25"/>
        <v>7.876570499372551E-2</v>
      </c>
      <c r="W41" s="2"/>
      <c r="X41" s="6">
        <f t="shared" si="26"/>
        <v>202245.27</v>
      </c>
      <c r="Y41" s="2"/>
      <c r="Z41" s="7">
        <f t="shared" si="27"/>
        <v>3.8126437197644152</v>
      </c>
    </row>
    <row r="42" spans="1:26" s="24" customFormat="1" hidden="1" outlineLevel="2" x14ac:dyDescent="0.3">
      <c r="A42" s="27"/>
      <c r="B42" s="11" t="str">
        <f>CONCATENATE("          ", "6007", " - ", "STUDENT HOURLY")</f>
        <v xml:space="preserve">          6007 - STUDENT HOURLY</v>
      </c>
      <c r="C42" s="11"/>
      <c r="D42" s="6">
        <v>73348.25</v>
      </c>
      <c r="E42" s="2"/>
      <c r="F42" s="7">
        <f t="shared" si="20"/>
        <v>5.286245986951691E-2</v>
      </c>
      <c r="G42" s="2"/>
      <c r="H42" s="6">
        <v>15212.46</v>
      </c>
      <c r="I42" s="2"/>
      <c r="J42" s="7">
        <f t="shared" si="21"/>
        <v>8.8490462462697927E-2</v>
      </c>
      <c r="K42" s="2"/>
      <c r="L42" s="6">
        <f t="shared" si="22"/>
        <v>58135.79</v>
      </c>
      <c r="M42" s="2"/>
      <c r="N42" s="7">
        <f t="shared" si="23"/>
        <v>3.8215903279285537</v>
      </c>
      <c r="O42" s="11"/>
      <c r="P42" s="6">
        <v>275786.26</v>
      </c>
      <c r="Q42" s="2"/>
      <c r="R42" s="7">
        <f t="shared" si="24"/>
        <v>5.1906643407743272E-2</v>
      </c>
      <c r="S42" s="2"/>
      <c r="T42" s="6">
        <v>58538.68</v>
      </c>
      <c r="U42" s="2"/>
      <c r="V42" s="7">
        <f t="shared" si="25"/>
        <v>8.6921645645304788E-2</v>
      </c>
      <c r="W42" s="2"/>
      <c r="X42" s="6">
        <f t="shared" si="26"/>
        <v>217247.58000000002</v>
      </c>
      <c r="Y42" s="2"/>
      <c r="Z42" s="7">
        <f t="shared" si="27"/>
        <v>3.7111800266080484</v>
      </c>
    </row>
    <row r="43" spans="1:26" s="24" customFormat="1" hidden="1" outlineLevel="2" x14ac:dyDescent="0.3">
      <c r="A43" s="27"/>
      <c r="B43" s="11" t="str">
        <f>CONCATENATE("          ", "6008", " - ", "STUDENT HOURLY-FICA EXEMPT")</f>
        <v xml:space="preserve">          6008 - STUDENT HOURLY-FICA EXEMPT</v>
      </c>
      <c r="C43" s="11"/>
      <c r="D43" s="6">
        <v>26123.09</v>
      </c>
      <c r="E43" s="2"/>
      <c r="F43" s="7">
        <f t="shared" si="20"/>
        <v>1.8827044909630136E-2</v>
      </c>
      <c r="G43" s="2"/>
      <c r="H43" s="6">
        <v>1839.89</v>
      </c>
      <c r="I43" s="2"/>
      <c r="J43" s="7">
        <f t="shared" si="21"/>
        <v>1.0702589652199139E-2</v>
      </c>
      <c r="K43" s="2"/>
      <c r="L43" s="6">
        <f t="shared" si="22"/>
        <v>24283.200000000001</v>
      </c>
      <c r="M43" s="2"/>
      <c r="N43" s="7">
        <f t="shared" si="23"/>
        <v>13.19818032599775</v>
      </c>
      <c r="O43" s="11"/>
      <c r="P43" s="6">
        <v>44377.97</v>
      </c>
      <c r="Q43" s="2"/>
      <c r="R43" s="7">
        <f t="shared" si="24"/>
        <v>8.3525243931642165E-3</v>
      </c>
      <c r="S43" s="2"/>
      <c r="T43" s="6">
        <v>9534.85</v>
      </c>
      <c r="U43" s="2"/>
      <c r="V43" s="7">
        <f t="shared" si="25"/>
        <v>1.4157901288193284E-2</v>
      </c>
      <c r="W43" s="2"/>
      <c r="X43" s="6">
        <f t="shared" si="26"/>
        <v>34843.120000000003</v>
      </c>
      <c r="Y43" s="2"/>
      <c r="Z43" s="7">
        <f t="shared" si="27"/>
        <v>3.6542913627377462</v>
      </c>
    </row>
    <row r="44" spans="1:26" s="29" customFormat="1" outlineLevel="1" collapsed="1" x14ac:dyDescent="0.3">
      <c r="A44" s="28"/>
      <c r="B44" s="14" t="str">
        <f>CONCATENATE("     ","Advertising/Promo                                 ")</f>
        <v xml:space="preserve">     Advertising/Promo                                 </v>
      </c>
      <c r="C44" s="14"/>
      <c r="D44" s="1">
        <f>SUM(OSRRefD22_2x_0)</f>
        <v>270.02</v>
      </c>
      <c r="E44" s="1"/>
      <c r="F44" s="5">
        <f t="shared" ref="F44:F52" si="28">IF(D$12=0,0,D44/D$12)</f>
        <v>1.9460479853257516E-4</v>
      </c>
      <c r="G44" s="1"/>
      <c r="H44" s="1">
        <f>SUM(OSRRefH22_2x_0)</f>
        <v>15.9</v>
      </c>
      <c r="I44" s="1"/>
      <c r="J44" s="5">
        <f t="shared" ref="J44:J52" si="29">IF(H$12=0,0,H44/H$12)</f>
        <v>9.2489863779881567E-5</v>
      </c>
      <c r="K44" s="1"/>
      <c r="L44" s="1">
        <f t="shared" ref="L44:L52" si="30">+D44-H44</f>
        <v>254.11999999999998</v>
      </c>
      <c r="M44" s="1"/>
      <c r="N44" s="5">
        <f t="shared" ref="N44:N52" si="31">IF(H44=0,0,L44/H44)</f>
        <v>15.982389937106916</v>
      </c>
      <c r="O44" s="14"/>
      <c r="P44" s="1">
        <f>SUM(OSRRefP22_2x_0)</f>
        <v>3863.21</v>
      </c>
      <c r="Q44" s="1"/>
      <c r="R44" s="5">
        <f t="shared" ref="R44:R52" si="32">IF(P$12=0,0,P44/P$12)</f>
        <v>7.2710752116232288E-4</v>
      </c>
      <c r="S44" s="1"/>
      <c r="T44" s="1">
        <f>SUM(OSRRefT22_2x_0)</f>
        <v>1555.53</v>
      </c>
      <c r="U44" s="1"/>
      <c r="V44" s="5">
        <f t="shared" ref="V44:V52" si="33">IF(T$12=0,0,T44/T$12)</f>
        <v>2.3097416520263345E-3</v>
      </c>
      <c r="W44" s="1"/>
      <c r="X44" s="1">
        <f t="shared" ref="X44:X52" si="34">+P44-T44</f>
        <v>2307.6800000000003</v>
      </c>
      <c r="Y44" s="1"/>
      <c r="Z44" s="5">
        <f t="shared" ref="Z44:Z52" si="35">IF(T44=0,0,X44/T44)</f>
        <v>1.4835329437555047</v>
      </c>
    </row>
    <row r="45" spans="1:26" s="24" customFormat="1" hidden="1" outlineLevel="2" x14ac:dyDescent="0.3">
      <c r="A45" s="27"/>
      <c r="B45" s="11" t="str">
        <f>CONCATENATE("          ", "6362", " - ", "ADVERTISING EXPENSE")</f>
        <v xml:space="preserve">          6362 - ADVERTISING EXPENSE</v>
      </c>
      <c r="C45" s="11"/>
      <c r="D45" s="6">
        <v>270.02</v>
      </c>
      <c r="E45" s="2"/>
      <c r="F45" s="7">
        <f t="shared" si="28"/>
        <v>1.9460479853257516E-4</v>
      </c>
      <c r="G45" s="2"/>
      <c r="H45" s="6">
        <v>15.9</v>
      </c>
      <c r="I45" s="2"/>
      <c r="J45" s="7">
        <f t="shared" si="29"/>
        <v>9.2489863779881567E-5</v>
      </c>
      <c r="K45" s="2"/>
      <c r="L45" s="6">
        <f t="shared" si="30"/>
        <v>254.11999999999998</v>
      </c>
      <c r="M45" s="2"/>
      <c r="N45" s="7">
        <f t="shared" si="31"/>
        <v>15.982389937106916</v>
      </c>
      <c r="O45" s="11"/>
      <c r="P45" s="6">
        <v>3863.21</v>
      </c>
      <c r="Q45" s="2"/>
      <c r="R45" s="7">
        <f t="shared" si="32"/>
        <v>7.2710752116232288E-4</v>
      </c>
      <c r="S45" s="2"/>
      <c r="T45" s="6">
        <v>1555.53</v>
      </c>
      <c r="U45" s="2"/>
      <c r="V45" s="7">
        <f t="shared" si="33"/>
        <v>2.3097416520263345E-3</v>
      </c>
      <c r="W45" s="2"/>
      <c r="X45" s="6">
        <f t="shared" si="34"/>
        <v>2307.6800000000003</v>
      </c>
      <c r="Y45" s="2"/>
      <c r="Z45" s="7">
        <f t="shared" si="35"/>
        <v>1.4835329437555047</v>
      </c>
    </row>
    <row r="46" spans="1:26" s="29" customFormat="1" outlineLevel="1" collapsed="1" x14ac:dyDescent="0.3">
      <c r="A46" s="28"/>
      <c r="B46" s="14" t="str">
        <f>CONCATENATE("     ","Bad Debts/Over/Short                              ")</f>
        <v xml:space="preserve">     Bad Debts/Over/Short                              </v>
      </c>
      <c r="C46" s="14"/>
      <c r="D46" s="1">
        <f>SUM(OSRRefD22_3x_0)</f>
        <v>-3.81</v>
      </c>
      <c r="E46" s="1"/>
      <c r="F46" s="5">
        <f t="shared" si="28"/>
        <v>-2.7458865358459053E-6</v>
      </c>
      <c r="G46" s="1"/>
      <c r="H46" s="1">
        <f>SUM(OSRRefH22_3x_0)</f>
        <v>-1331.23</v>
      </c>
      <c r="I46" s="1"/>
      <c r="J46" s="5">
        <f t="shared" si="29"/>
        <v>-7.743728387401996E-3</v>
      </c>
      <c r="K46" s="1"/>
      <c r="L46" s="1">
        <f t="shared" si="30"/>
        <v>1327.42</v>
      </c>
      <c r="M46" s="1"/>
      <c r="N46" s="5">
        <f t="shared" si="31"/>
        <v>-0.99713798517160823</v>
      </c>
      <c r="O46" s="14"/>
      <c r="P46" s="1">
        <f>SUM(OSRRefP22_3x_0)</f>
        <v>-130.81</v>
      </c>
      <c r="Q46" s="1"/>
      <c r="R46" s="5">
        <f t="shared" si="32"/>
        <v>-2.4620182398379445E-5</v>
      </c>
      <c r="S46" s="1"/>
      <c r="T46" s="1">
        <f>SUM(OSRRefT22_3x_0)</f>
        <v>76.790000000000006</v>
      </c>
      <c r="U46" s="1"/>
      <c r="V46" s="5">
        <f t="shared" si="33"/>
        <v>1.1402226987528512E-4</v>
      </c>
      <c r="W46" s="1"/>
      <c r="X46" s="1">
        <f t="shared" si="34"/>
        <v>-207.60000000000002</v>
      </c>
      <c r="Y46" s="1"/>
      <c r="Z46" s="5">
        <f t="shared" si="35"/>
        <v>-2.7034770152363592</v>
      </c>
    </row>
    <row r="47" spans="1:26" s="24" customFormat="1" hidden="1" outlineLevel="2" x14ac:dyDescent="0.3">
      <c r="A47" s="27"/>
      <c r="B47" s="11" t="str">
        <f>CONCATENATE("          ", "6272", " - ", "CASH (OVER/SHORT)")</f>
        <v xml:space="preserve">          6272 - CASH (OVER/SHORT)</v>
      </c>
      <c r="C47" s="11"/>
      <c r="D47" s="6">
        <v>-3.81</v>
      </c>
      <c r="E47" s="2"/>
      <c r="F47" s="7">
        <f t="shared" si="28"/>
        <v>-2.7458865358459053E-6</v>
      </c>
      <c r="G47" s="2"/>
      <c r="H47" s="6">
        <v>-1331.23</v>
      </c>
      <c r="I47" s="2"/>
      <c r="J47" s="7">
        <f t="shared" si="29"/>
        <v>-7.743728387401996E-3</v>
      </c>
      <c r="K47" s="2"/>
      <c r="L47" s="6">
        <f t="shared" si="30"/>
        <v>1327.42</v>
      </c>
      <c r="M47" s="2"/>
      <c r="N47" s="7">
        <f t="shared" si="31"/>
        <v>-0.99713798517160823</v>
      </c>
      <c r="O47" s="11"/>
      <c r="P47" s="6">
        <v>-130.81</v>
      </c>
      <c r="Q47" s="2"/>
      <c r="R47" s="7">
        <f t="shared" si="32"/>
        <v>-2.4620182398379445E-5</v>
      </c>
      <c r="S47" s="2"/>
      <c r="T47" s="6">
        <v>76.790000000000006</v>
      </c>
      <c r="U47" s="2"/>
      <c r="V47" s="7">
        <f t="shared" si="33"/>
        <v>1.1402226987528512E-4</v>
      </c>
      <c r="W47" s="2"/>
      <c r="X47" s="6">
        <f t="shared" si="34"/>
        <v>-207.60000000000002</v>
      </c>
      <c r="Y47" s="2"/>
      <c r="Z47" s="7">
        <f t="shared" si="35"/>
        <v>-2.7034770152363592</v>
      </c>
    </row>
    <row r="48" spans="1:26" s="29" customFormat="1" outlineLevel="1" collapsed="1" x14ac:dyDescent="0.3">
      <c r="A48" s="28"/>
      <c r="B48" s="14" t="str">
        <f>CONCATENATE("     ","Bank/card Fees                                    ")</f>
        <v xml:space="preserve">     Bank/card Fees                                    </v>
      </c>
      <c r="C48" s="14"/>
      <c r="D48" s="1">
        <f>SUM(OSRRefD22_4x_0)</f>
        <v>4474.22</v>
      </c>
      <c r="E48" s="1"/>
      <c r="F48" s="5">
        <f t="shared" si="28"/>
        <v>3.2245932956463169E-3</v>
      </c>
      <c r="G48" s="1"/>
      <c r="H48" s="1">
        <f>SUM(OSRRefH22_4x_0)</f>
        <v>757.56</v>
      </c>
      <c r="I48" s="1"/>
      <c r="J48" s="5">
        <f t="shared" si="29"/>
        <v>4.4067057361689985E-3</v>
      </c>
      <c r="K48" s="1"/>
      <c r="L48" s="1">
        <f t="shared" si="30"/>
        <v>3716.6600000000003</v>
      </c>
      <c r="M48" s="1"/>
      <c r="N48" s="5">
        <f t="shared" si="31"/>
        <v>4.9060932467395331</v>
      </c>
      <c r="O48" s="14"/>
      <c r="P48" s="1">
        <f>SUM(OSRRefP22_4x_0)</f>
        <v>19318.650000000001</v>
      </c>
      <c r="Q48" s="1"/>
      <c r="R48" s="5">
        <f t="shared" si="32"/>
        <v>3.6360269604040446E-3</v>
      </c>
      <c r="S48" s="1"/>
      <c r="T48" s="1">
        <f>SUM(OSRRefT22_4x_0)</f>
        <v>2625.37</v>
      </c>
      <c r="U48" s="1"/>
      <c r="V48" s="5">
        <f t="shared" si="33"/>
        <v>3.8983024698851054E-3</v>
      </c>
      <c r="W48" s="1"/>
      <c r="X48" s="1">
        <f t="shared" si="34"/>
        <v>16693.280000000002</v>
      </c>
      <c r="Y48" s="1"/>
      <c r="Z48" s="5">
        <f t="shared" si="35"/>
        <v>6.3584485234462198</v>
      </c>
    </row>
    <row r="49" spans="1:26" s="24" customFormat="1" hidden="1" outlineLevel="2" x14ac:dyDescent="0.3">
      <c r="A49" s="27"/>
      <c r="B49" s="11" t="str">
        <f>CONCATENATE("          ", "6381", " - ", "BANK/CREDIT CARD FEES")</f>
        <v xml:space="preserve">          6381 - BANK/CREDIT CARD FEES</v>
      </c>
      <c r="C49" s="11"/>
      <c r="D49" s="6">
        <v>4474.22</v>
      </c>
      <c r="E49" s="2"/>
      <c r="F49" s="7">
        <f t="shared" si="28"/>
        <v>3.2245932956463169E-3</v>
      </c>
      <c r="G49" s="2"/>
      <c r="H49" s="6">
        <v>757.56</v>
      </c>
      <c r="I49" s="2"/>
      <c r="J49" s="7">
        <f t="shared" si="29"/>
        <v>4.4067057361689985E-3</v>
      </c>
      <c r="K49" s="2"/>
      <c r="L49" s="6">
        <f t="shared" si="30"/>
        <v>3716.6600000000003</v>
      </c>
      <c r="M49" s="2"/>
      <c r="N49" s="7">
        <f t="shared" si="31"/>
        <v>4.9060932467395331</v>
      </c>
      <c r="O49" s="11"/>
      <c r="P49" s="6">
        <v>19318.650000000001</v>
      </c>
      <c r="Q49" s="2"/>
      <c r="R49" s="7">
        <f t="shared" si="32"/>
        <v>3.6360269604040446E-3</v>
      </c>
      <c r="S49" s="2"/>
      <c r="T49" s="6">
        <v>2625.37</v>
      </c>
      <c r="U49" s="2"/>
      <c r="V49" s="7">
        <f t="shared" si="33"/>
        <v>3.8983024698851054E-3</v>
      </c>
      <c r="W49" s="2"/>
      <c r="X49" s="6">
        <f t="shared" si="34"/>
        <v>16693.280000000002</v>
      </c>
      <c r="Y49" s="2"/>
      <c r="Z49" s="7">
        <f t="shared" si="35"/>
        <v>6.3584485234462198</v>
      </c>
    </row>
    <row r="50" spans="1:26" s="29" customFormat="1" outlineLevel="1" collapsed="1" x14ac:dyDescent="0.3">
      <c r="A50" s="28"/>
      <c r="B50" s="14" t="str">
        <f>CONCATENATE("     ","Depreciation                                      ")</f>
        <v xml:space="preserve">     Depreciation                                      </v>
      </c>
      <c r="C50" s="14"/>
      <c r="D50" s="1">
        <f>SUM(OSRRefD22_5x_0)</f>
        <v>33542.080000000002</v>
      </c>
      <c r="E50" s="1"/>
      <c r="F50" s="5">
        <f t="shared" si="28"/>
        <v>2.4173949043639432E-2</v>
      </c>
      <c r="G50" s="1"/>
      <c r="H50" s="1">
        <f>SUM(OSRRefH22_5x_0)</f>
        <v>37479.26</v>
      </c>
      <c r="I50" s="1"/>
      <c r="J50" s="5">
        <f t="shared" si="29"/>
        <v>0.21801582716797258</v>
      </c>
      <c r="K50" s="1"/>
      <c r="L50" s="1">
        <f t="shared" si="30"/>
        <v>-3937.1800000000003</v>
      </c>
      <c r="M50" s="1"/>
      <c r="N50" s="5">
        <f t="shared" si="31"/>
        <v>-0.10504956608001333</v>
      </c>
      <c r="O50" s="14"/>
      <c r="P50" s="1">
        <f>SUM(OSRRefP22_5x_0)</f>
        <v>167798.54</v>
      </c>
      <c r="Q50" s="1"/>
      <c r="R50" s="5">
        <f t="shared" si="32"/>
        <v>3.1581917750797106E-2</v>
      </c>
      <c r="S50" s="1"/>
      <c r="T50" s="1">
        <f>SUM(OSRRefT22_5x_0)</f>
        <v>189691.38</v>
      </c>
      <c r="U50" s="1"/>
      <c r="V50" s="5">
        <f t="shared" si="33"/>
        <v>0.28166482254688452</v>
      </c>
      <c r="W50" s="1"/>
      <c r="X50" s="1">
        <f t="shared" si="34"/>
        <v>-21892.839999999997</v>
      </c>
      <c r="Y50" s="1"/>
      <c r="Z50" s="5">
        <f t="shared" si="35"/>
        <v>-0.1154129407461741</v>
      </c>
    </row>
    <row r="51" spans="1:26" s="24" customFormat="1" hidden="1" outlineLevel="2" x14ac:dyDescent="0.3">
      <c r="A51" s="27"/>
      <c r="B51" s="11" t="str">
        <f>CONCATENATE("          ", "6321", " - ", "BUILDING DEPRECIATION")</f>
        <v xml:space="preserve">          6321 - BUILDING DEPRECIATION</v>
      </c>
      <c r="C51" s="11"/>
      <c r="D51" s="6">
        <v>23539.4</v>
      </c>
      <c r="E51" s="2"/>
      <c r="F51" s="7">
        <f t="shared" si="28"/>
        <v>1.6964966278711576E-2</v>
      </c>
      <c r="G51" s="2"/>
      <c r="H51" s="6">
        <v>23583.49</v>
      </c>
      <c r="I51" s="2"/>
      <c r="J51" s="7">
        <f t="shared" si="29"/>
        <v>0.13718451431158485</v>
      </c>
      <c r="K51" s="2"/>
      <c r="L51" s="6">
        <f t="shared" si="30"/>
        <v>-44.090000000000146</v>
      </c>
      <c r="M51" s="2"/>
      <c r="N51" s="7">
        <f t="shared" si="31"/>
        <v>-1.8695282165616769E-3</v>
      </c>
      <c r="O51" s="11"/>
      <c r="P51" s="6">
        <v>117785.14</v>
      </c>
      <c r="Q51" s="2"/>
      <c r="R51" s="7">
        <f t="shared" si="32"/>
        <v>2.2168730453471897E-2</v>
      </c>
      <c r="S51" s="2"/>
      <c r="T51" s="6">
        <v>118701.64</v>
      </c>
      <c r="U51" s="2"/>
      <c r="V51" s="7">
        <f t="shared" si="33"/>
        <v>0.17625511695167259</v>
      </c>
      <c r="W51" s="2"/>
      <c r="X51" s="6">
        <f t="shared" si="34"/>
        <v>-916.5</v>
      </c>
      <c r="Y51" s="2"/>
      <c r="Z51" s="7">
        <f t="shared" si="35"/>
        <v>-7.7210390690474031E-3</v>
      </c>
    </row>
    <row r="52" spans="1:26" s="24" customFormat="1" hidden="1" outlineLevel="2" x14ac:dyDescent="0.3">
      <c r="A52" s="27"/>
      <c r="B52" s="11" t="str">
        <f>CONCATENATE("          ", "6322", " - ", "EQUIPMENT DEPRECIATION EXPENSE")</f>
        <v xml:space="preserve">          6322 - EQUIPMENT DEPRECIATION EXPENSE</v>
      </c>
      <c r="C52" s="11"/>
      <c r="D52" s="6">
        <v>10002.68</v>
      </c>
      <c r="E52" s="2"/>
      <c r="F52" s="7">
        <f t="shared" si="28"/>
        <v>7.2089827649278538E-3</v>
      </c>
      <c r="G52" s="2"/>
      <c r="H52" s="6">
        <v>13895.77</v>
      </c>
      <c r="I52" s="2"/>
      <c r="J52" s="7">
        <f t="shared" si="29"/>
        <v>8.0831312856387727E-2</v>
      </c>
      <c r="K52" s="2"/>
      <c r="L52" s="6">
        <f t="shared" si="30"/>
        <v>-3893.09</v>
      </c>
      <c r="M52" s="2"/>
      <c r="N52" s="7">
        <f t="shared" si="31"/>
        <v>-0.28016367570850698</v>
      </c>
      <c r="O52" s="11"/>
      <c r="P52" s="6">
        <v>50013.4</v>
      </c>
      <c r="Q52" s="2"/>
      <c r="R52" s="7">
        <f t="shared" si="32"/>
        <v>9.4131872973252095E-3</v>
      </c>
      <c r="S52" s="2"/>
      <c r="T52" s="6">
        <v>70989.740000000005</v>
      </c>
      <c r="U52" s="2"/>
      <c r="V52" s="7">
        <f t="shared" si="33"/>
        <v>0.10540970559521191</v>
      </c>
      <c r="W52" s="2"/>
      <c r="X52" s="6">
        <f t="shared" si="34"/>
        <v>-20976.340000000004</v>
      </c>
      <c r="Y52" s="2"/>
      <c r="Z52" s="7">
        <f t="shared" si="35"/>
        <v>-0.2954841079851821</v>
      </c>
    </row>
    <row r="53" spans="1:26" s="29" customFormat="1" outlineLevel="1" collapsed="1" x14ac:dyDescent="0.3">
      <c r="A53" s="28"/>
      <c r="B53" s="14" t="str">
        <f>CONCATENATE("     ","Donations                                         ")</f>
        <v xml:space="preserve">     Donations                                         </v>
      </c>
      <c r="C53" s="14"/>
      <c r="D53" s="1">
        <f>SUM(OSRRefD22_6x_0)</f>
        <v>8398.85</v>
      </c>
      <c r="E53" s="1"/>
      <c r="F53" s="5">
        <f t="shared" ref="F53:F74" si="36">IF(D$12=0,0,D53/D$12)</f>
        <v>6.0530942602596812E-3</v>
      </c>
      <c r="G53" s="1"/>
      <c r="H53" s="1">
        <f>SUM(OSRRefH22_6x_0)</f>
        <v>7935.78</v>
      </c>
      <c r="I53" s="1"/>
      <c r="J53" s="5">
        <f t="shared" ref="J53:J74" si="37">IF(H$12=0,0,H53/H$12)</f>
        <v>4.6162214540069718E-2</v>
      </c>
      <c r="K53" s="1"/>
      <c r="L53" s="1">
        <f t="shared" ref="L53:L74" si="38">+D53-H53</f>
        <v>463.07000000000062</v>
      </c>
      <c r="M53" s="1"/>
      <c r="N53" s="5">
        <f t="shared" ref="N53:N74" si="39">IF(H53=0,0,L53/H53)</f>
        <v>5.8352172061221536E-2</v>
      </c>
      <c r="O53" s="14"/>
      <c r="P53" s="1">
        <f>SUM(OSRRefP22_6x_0)</f>
        <v>32812.589999999997</v>
      </c>
      <c r="Q53" s="1"/>
      <c r="R53" s="5">
        <f t="shared" ref="R53:R74" si="40">IF(P$12=0,0,P53/P$12)</f>
        <v>6.1757660023181813E-3</v>
      </c>
      <c r="S53" s="1"/>
      <c r="T53" s="1">
        <f>SUM(OSRRefT22_6x_0)</f>
        <v>30155.96</v>
      </c>
      <c r="U53" s="1"/>
      <c r="V53" s="5">
        <f t="shared" ref="V53:V74" si="41">IF(T$12=0,0,T53/T$12)</f>
        <v>4.4777327900355546E-2</v>
      </c>
      <c r="W53" s="1"/>
      <c r="X53" s="1">
        <f t="shared" ref="X53:X74" si="42">+P53-T53</f>
        <v>2656.6299999999974</v>
      </c>
      <c r="Y53" s="1"/>
      <c r="Z53" s="5">
        <f t="shared" ref="Z53:Z74" si="43">IF(T53=0,0,X53/T53)</f>
        <v>8.8096349776296212E-2</v>
      </c>
    </row>
    <row r="54" spans="1:26" s="24" customFormat="1" hidden="1" outlineLevel="2" x14ac:dyDescent="0.3">
      <c r="A54" s="27"/>
      <c r="B54" s="11" t="str">
        <f>CONCATENATE("          ", "6399", " - ", "DONATION-ON CAMPUS")</f>
        <v xml:space="preserve">          6399 - DONATION-ON CAMPUS</v>
      </c>
      <c r="C54" s="11"/>
      <c r="D54" s="6">
        <v>8398.85</v>
      </c>
      <c r="E54" s="2"/>
      <c r="F54" s="7">
        <f t="shared" si="36"/>
        <v>6.0530942602596812E-3</v>
      </c>
      <c r="G54" s="2"/>
      <c r="H54" s="6">
        <v>7935.78</v>
      </c>
      <c r="I54" s="2"/>
      <c r="J54" s="7">
        <f t="shared" si="37"/>
        <v>4.6162214540069718E-2</v>
      </c>
      <c r="K54" s="2"/>
      <c r="L54" s="6">
        <f t="shared" si="38"/>
        <v>463.07000000000062</v>
      </c>
      <c r="M54" s="2"/>
      <c r="N54" s="7">
        <f t="shared" si="39"/>
        <v>5.8352172061221536E-2</v>
      </c>
      <c r="O54" s="11"/>
      <c r="P54" s="6">
        <v>32812.589999999997</v>
      </c>
      <c r="Q54" s="2"/>
      <c r="R54" s="7">
        <f t="shared" si="40"/>
        <v>6.1757660023181813E-3</v>
      </c>
      <c r="S54" s="2"/>
      <c r="T54" s="6">
        <v>30155.96</v>
      </c>
      <c r="U54" s="2"/>
      <c r="V54" s="7">
        <f t="shared" si="41"/>
        <v>4.4777327900355546E-2</v>
      </c>
      <c r="W54" s="2"/>
      <c r="X54" s="6">
        <f t="shared" si="42"/>
        <v>2656.6299999999974</v>
      </c>
      <c r="Y54" s="2"/>
      <c r="Z54" s="7">
        <f t="shared" si="43"/>
        <v>8.8096349776296212E-2</v>
      </c>
    </row>
    <row r="55" spans="1:26" s="29" customFormat="1" outlineLevel="1" collapsed="1" x14ac:dyDescent="0.3">
      <c r="A55" s="28"/>
      <c r="B55" s="14" t="str">
        <f>CONCATENATE("     ","Employees' Appreciation                           ")</f>
        <v xml:space="preserve">     Employees' Appreciation                           </v>
      </c>
      <c r="C55" s="14"/>
      <c r="D55" s="1">
        <f>SUM(OSRRefD22_7x_0)</f>
        <v>34.47</v>
      </c>
      <c r="E55" s="1"/>
      <c r="F55" s="5">
        <f t="shared" si="36"/>
        <v>2.48427057455665E-5</v>
      </c>
      <c r="G55" s="1"/>
      <c r="H55" s="1">
        <f>SUM(OSRRefH22_7x_0)</f>
        <v>0</v>
      </c>
      <c r="I55" s="1"/>
      <c r="J55" s="5">
        <f t="shared" si="37"/>
        <v>0</v>
      </c>
      <c r="K55" s="1"/>
      <c r="L55" s="1">
        <f t="shared" si="38"/>
        <v>34.47</v>
      </c>
      <c r="M55" s="1"/>
      <c r="N55" s="5">
        <f t="shared" si="39"/>
        <v>0</v>
      </c>
      <c r="O55" s="14"/>
      <c r="P55" s="1">
        <f>SUM(OSRRefP22_7x_0)</f>
        <v>190.13</v>
      </c>
      <c r="Q55" s="1"/>
      <c r="R55" s="5">
        <f t="shared" si="40"/>
        <v>3.578499563797786E-5</v>
      </c>
      <c r="S55" s="1"/>
      <c r="T55" s="1">
        <f>SUM(OSRRefT22_7x_0)</f>
        <v>0</v>
      </c>
      <c r="U55" s="1"/>
      <c r="V55" s="5">
        <f t="shared" si="41"/>
        <v>0</v>
      </c>
      <c r="W55" s="1"/>
      <c r="X55" s="1">
        <f t="shared" si="42"/>
        <v>190.13</v>
      </c>
      <c r="Y55" s="1"/>
      <c r="Z55" s="5">
        <f t="shared" si="43"/>
        <v>0</v>
      </c>
    </row>
    <row r="56" spans="1:26" s="24" customFormat="1" hidden="1" outlineLevel="2" x14ac:dyDescent="0.3">
      <c r="A56" s="27"/>
      <c r="B56" s="11" t="str">
        <f>CONCATENATE("          ", "6277", " - ", "EMPLOYEE APPRECIATION")</f>
        <v xml:space="preserve">          6277 - EMPLOYEE APPRECIATION</v>
      </c>
      <c r="C56" s="11"/>
      <c r="D56" s="6">
        <v>34.47</v>
      </c>
      <c r="E56" s="2"/>
      <c r="F56" s="7">
        <f t="shared" si="36"/>
        <v>2.48427057455665E-5</v>
      </c>
      <c r="G56" s="2"/>
      <c r="H56" s="6"/>
      <c r="I56" s="2"/>
      <c r="J56" s="7">
        <f t="shared" si="37"/>
        <v>0</v>
      </c>
      <c r="K56" s="2"/>
      <c r="L56" s="6">
        <f t="shared" si="38"/>
        <v>34.47</v>
      </c>
      <c r="M56" s="2"/>
      <c r="N56" s="7">
        <f t="shared" si="39"/>
        <v>0</v>
      </c>
      <c r="O56" s="11"/>
      <c r="P56" s="6">
        <v>190.13</v>
      </c>
      <c r="Q56" s="2"/>
      <c r="R56" s="7">
        <f t="shared" si="40"/>
        <v>3.578499563797786E-5</v>
      </c>
      <c r="S56" s="2"/>
      <c r="T56" s="6"/>
      <c r="U56" s="2"/>
      <c r="V56" s="7">
        <f t="shared" si="41"/>
        <v>0</v>
      </c>
      <c r="W56" s="2"/>
      <c r="X56" s="6">
        <f t="shared" si="42"/>
        <v>190.13</v>
      </c>
      <c r="Y56" s="2"/>
      <c r="Z56" s="7">
        <f t="shared" si="43"/>
        <v>0</v>
      </c>
    </row>
    <row r="57" spans="1:26" s="29" customFormat="1" outlineLevel="1" collapsed="1" x14ac:dyDescent="0.3">
      <c r="A57" s="28"/>
      <c r="B57" s="14" t="str">
        <f>CONCATENATE("     ","Equipment Rental                                  ")</f>
        <v xml:space="preserve">     Equipment Rental                                  </v>
      </c>
      <c r="C57" s="14"/>
      <c r="D57" s="1">
        <f>SUM(OSRRefD22_8x_0)</f>
        <v>1328.91</v>
      </c>
      <c r="E57" s="1"/>
      <c r="F57" s="5">
        <f t="shared" si="36"/>
        <v>9.5775225101075653E-4</v>
      </c>
      <c r="G57" s="1"/>
      <c r="H57" s="1">
        <f>SUM(OSRRefH22_8x_0)</f>
        <v>1043.17</v>
      </c>
      <c r="I57" s="1"/>
      <c r="J57" s="5">
        <f t="shared" si="37"/>
        <v>6.0680912703936513E-3</v>
      </c>
      <c r="K57" s="1"/>
      <c r="L57" s="1">
        <f t="shared" si="38"/>
        <v>285.74</v>
      </c>
      <c r="M57" s="1"/>
      <c r="N57" s="5">
        <f t="shared" si="39"/>
        <v>0.27391508574824813</v>
      </c>
      <c r="O57" s="14"/>
      <c r="P57" s="1">
        <f>SUM(OSRRefP22_8x_0)</f>
        <v>11053.11</v>
      </c>
      <c r="Q57" s="1"/>
      <c r="R57" s="5">
        <f t="shared" si="40"/>
        <v>2.0803423612059616E-3</v>
      </c>
      <c r="S57" s="1"/>
      <c r="T57" s="1">
        <f>SUM(OSRRefT22_8x_0)</f>
        <v>6616.31</v>
      </c>
      <c r="U57" s="1"/>
      <c r="V57" s="5">
        <f t="shared" si="41"/>
        <v>9.8242829066095549E-3</v>
      </c>
      <c r="W57" s="1"/>
      <c r="X57" s="1">
        <f t="shared" si="42"/>
        <v>4436.8</v>
      </c>
      <c r="Y57" s="1"/>
      <c r="Z57" s="5">
        <f t="shared" si="43"/>
        <v>0.67058526580526001</v>
      </c>
    </row>
    <row r="58" spans="1:26" s="24" customFormat="1" hidden="1" outlineLevel="2" x14ac:dyDescent="0.3">
      <c r="A58" s="27"/>
      <c r="B58" s="11" t="str">
        <f>CONCATENATE("          ", "6351", " - ", "EQUIPMENT RENTAL")</f>
        <v xml:space="preserve">          6351 - EQUIPMENT RENTAL</v>
      </c>
      <c r="C58" s="11"/>
      <c r="D58" s="6">
        <v>1328.91</v>
      </c>
      <c r="E58" s="2"/>
      <c r="F58" s="7">
        <f t="shared" si="36"/>
        <v>9.5775225101075653E-4</v>
      </c>
      <c r="G58" s="2"/>
      <c r="H58" s="6">
        <v>1043.17</v>
      </c>
      <c r="I58" s="2"/>
      <c r="J58" s="7">
        <f t="shared" si="37"/>
        <v>6.0680912703936513E-3</v>
      </c>
      <c r="K58" s="2"/>
      <c r="L58" s="6">
        <f t="shared" si="38"/>
        <v>285.74</v>
      </c>
      <c r="M58" s="2"/>
      <c r="N58" s="7">
        <f t="shared" si="39"/>
        <v>0.27391508574824813</v>
      </c>
      <c r="O58" s="11"/>
      <c r="P58" s="6">
        <v>11053.11</v>
      </c>
      <c r="Q58" s="2"/>
      <c r="R58" s="7">
        <f t="shared" si="40"/>
        <v>2.0803423612059616E-3</v>
      </c>
      <c r="S58" s="2"/>
      <c r="T58" s="6">
        <v>6616.31</v>
      </c>
      <c r="U58" s="2"/>
      <c r="V58" s="7">
        <f t="shared" si="41"/>
        <v>9.8242829066095549E-3</v>
      </c>
      <c r="W58" s="2"/>
      <c r="X58" s="6">
        <f t="shared" si="42"/>
        <v>4436.8</v>
      </c>
      <c r="Y58" s="2"/>
      <c r="Z58" s="7">
        <f t="shared" si="43"/>
        <v>0.67058526580526001</v>
      </c>
    </row>
    <row r="59" spans="1:26" s="29" customFormat="1" outlineLevel="1" collapsed="1" x14ac:dyDescent="0.3">
      <c r="A59" s="28"/>
      <c r="B59" s="14" t="str">
        <f>CONCATENATE("     ","Freight out/Postage                               ")</f>
        <v xml:space="preserve">     Freight out/Postage                               </v>
      </c>
      <c r="C59" s="14"/>
      <c r="D59" s="1">
        <f>SUM(OSRRefD22_9x_0)</f>
        <v>0</v>
      </c>
      <c r="E59" s="1"/>
      <c r="F59" s="5">
        <f t="shared" si="36"/>
        <v>0</v>
      </c>
      <c r="G59" s="1"/>
      <c r="H59" s="1">
        <f>SUM(OSRRefH22_9x_0)</f>
        <v>0</v>
      </c>
      <c r="I59" s="1"/>
      <c r="J59" s="5">
        <f t="shared" si="37"/>
        <v>0</v>
      </c>
      <c r="K59" s="1"/>
      <c r="L59" s="1">
        <f t="shared" si="38"/>
        <v>0</v>
      </c>
      <c r="M59" s="1"/>
      <c r="N59" s="5">
        <f t="shared" si="39"/>
        <v>0</v>
      </c>
      <c r="O59" s="14"/>
      <c r="P59" s="1">
        <f>SUM(OSRRefP22_9x_0)</f>
        <v>0</v>
      </c>
      <c r="Q59" s="1"/>
      <c r="R59" s="5">
        <f t="shared" si="40"/>
        <v>0</v>
      </c>
      <c r="S59" s="1"/>
      <c r="T59" s="1">
        <f>SUM(OSRRefT22_9x_0)</f>
        <v>-5.41</v>
      </c>
      <c r="U59" s="1"/>
      <c r="V59" s="5">
        <f t="shared" si="41"/>
        <v>-8.0330834747401029E-6</v>
      </c>
      <c r="W59" s="1"/>
      <c r="X59" s="1">
        <f t="shared" si="42"/>
        <v>5.41</v>
      </c>
      <c r="Y59" s="1"/>
      <c r="Z59" s="5">
        <f t="shared" si="43"/>
        <v>-1</v>
      </c>
    </row>
    <row r="60" spans="1:26" s="24" customFormat="1" hidden="1" outlineLevel="2" x14ac:dyDescent="0.3">
      <c r="A60" s="27"/>
      <c r="B60" s="11" t="str">
        <f>CONCATENATE("          ", "6307", " - ", "POSTAGE")</f>
        <v xml:space="preserve">          6307 - POSTAGE</v>
      </c>
      <c r="C60" s="11"/>
      <c r="D60" s="6"/>
      <c r="E60" s="2"/>
      <c r="F60" s="7">
        <f t="shared" si="36"/>
        <v>0</v>
      </c>
      <c r="G60" s="2"/>
      <c r="H60" s="6"/>
      <c r="I60" s="2"/>
      <c r="J60" s="7">
        <f t="shared" si="37"/>
        <v>0</v>
      </c>
      <c r="K60" s="2"/>
      <c r="L60" s="6">
        <f t="shared" si="38"/>
        <v>0</v>
      </c>
      <c r="M60" s="2"/>
      <c r="N60" s="7">
        <f t="shared" si="39"/>
        <v>0</v>
      </c>
      <c r="O60" s="11"/>
      <c r="P60" s="6"/>
      <c r="Q60" s="2"/>
      <c r="R60" s="7">
        <f t="shared" si="40"/>
        <v>0</v>
      </c>
      <c r="S60" s="2"/>
      <c r="T60" s="6">
        <v>-5.41</v>
      </c>
      <c r="U60" s="2"/>
      <c r="V60" s="7">
        <f t="shared" si="41"/>
        <v>-8.0330834747401029E-6</v>
      </c>
      <c r="W60" s="2"/>
      <c r="X60" s="6">
        <f t="shared" si="42"/>
        <v>5.41</v>
      </c>
      <c r="Y60" s="2"/>
      <c r="Z60" s="7">
        <f t="shared" si="43"/>
        <v>-1</v>
      </c>
    </row>
    <row r="61" spans="1:26" s="29" customFormat="1" outlineLevel="1" collapsed="1" x14ac:dyDescent="0.3">
      <c r="A61" s="28"/>
      <c r="B61" s="14" t="str">
        <f>CONCATENATE("     ","General                                           ")</f>
        <v xml:space="preserve">     General                                           </v>
      </c>
      <c r="C61" s="14"/>
      <c r="D61" s="1">
        <f>SUM(OSRRefD22_10x_0)</f>
        <v>0</v>
      </c>
      <c r="E61" s="1"/>
      <c r="F61" s="5">
        <f t="shared" si="36"/>
        <v>0</v>
      </c>
      <c r="G61" s="1"/>
      <c r="H61" s="1">
        <f>SUM(OSRRefH22_10x_0)</f>
        <v>493</v>
      </c>
      <c r="I61" s="1"/>
      <c r="J61" s="5">
        <f t="shared" si="37"/>
        <v>2.8677674744328058E-3</v>
      </c>
      <c r="K61" s="1"/>
      <c r="L61" s="1">
        <f t="shared" si="38"/>
        <v>-493</v>
      </c>
      <c r="M61" s="1"/>
      <c r="N61" s="5">
        <f t="shared" si="39"/>
        <v>-1</v>
      </c>
      <c r="O61" s="14"/>
      <c r="P61" s="1">
        <f>SUM(OSRRefP22_10x_0)</f>
        <v>25262.97</v>
      </c>
      <c r="Q61" s="1"/>
      <c r="R61" s="5">
        <f t="shared" si="40"/>
        <v>4.7548270722787859E-3</v>
      </c>
      <c r="S61" s="1"/>
      <c r="T61" s="1">
        <f>SUM(OSRRefT22_10x_0)</f>
        <v>10640.4</v>
      </c>
      <c r="U61" s="1"/>
      <c r="V61" s="5">
        <f t="shared" si="41"/>
        <v>1.579948639641859E-2</v>
      </c>
      <c r="W61" s="1"/>
      <c r="X61" s="1">
        <f t="shared" si="42"/>
        <v>14622.570000000002</v>
      </c>
      <c r="Y61" s="1"/>
      <c r="Z61" s="5">
        <f t="shared" si="43"/>
        <v>1.374250028194429</v>
      </c>
    </row>
    <row r="62" spans="1:26" s="24" customFormat="1" hidden="1" outlineLevel="2" x14ac:dyDescent="0.3">
      <c r="A62" s="27"/>
      <c r="B62" s="11" t="str">
        <f>CONCATENATE("          ", "6279", " - ", "GENERAL EXPENSE")</f>
        <v xml:space="preserve">          6279 - GENERAL EXPENSE</v>
      </c>
      <c r="C62" s="11"/>
      <c r="D62" s="6"/>
      <c r="E62" s="2"/>
      <c r="F62" s="7">
        <f t="shared" si="36"/>
        <v>0</v>
      </c>
      <c r="G62" s="2"/>
      <c r="H62" s="6">
        <v>493</v>
      </c>
      <c r="I62" s="2"/>
      <c r="J62" s="7">
        <f t="shared" si="37"/>
        <v>2.8677674744328058E-3</v>
      </c>
      <c r="K62" s="2"/>
      <c r="L62" s="6">
        <f t="shared" si="38"/>
        <v>-493</v>
      </c>
      <c r="M62" s="2"/>
      <c r="N62" s="7">
        <f t="shared" si="39"/>
        <v>-1</v>
      </c>
      <c r="O62" s="11"/>
      <c r="P62" s="6">
        <v>25262.97</v>
      </c>
      <c r="Q62" s="2"/>
      <c r="R62" s="7">
        <f t="shared" si="40"/>
        <v>4.7548270722787859E-3</v>
      </c>
      <c r="S62" s="2"/>
      <c r="T62" s="6">
        <v>10640.4</v>
      </c>
      <c r="U62" s="2"/>
      <c r="V62" s="7">
        <f t="shared" si="41"/>
        <v>1.579948639641859E-2</v>
      </c>
      <c r="W62" s="2"/>
      <c r="X62" s="6">
        <f t="shared" si="42"/>
        <v>14622.570000000002</v>
      </c>
      <c r="Y62" s="2"/>
      <c r="Z62" s="7">
        <f t="shared" si="43"/>
        <v>1.374250028194429</v>
      </c>
    </row>
    <row r="63" spans="1:26" s="29" customFormat="1" outlineLevel="1" collapsed="1" x14ac:dyDescent="0.3">
      <c r="A63" s="28"/>
      <c r="B63" s="14" t="str">
        <f>CONCATENATE("     ","Insurance                                         ")</f>
        <v xml:space="preserve">     Insurance                                         </v>
      </c>
      <c r="C63" s="14"/>
      <c r="D63" s="1">
        <f>SUM(OSRRefD22_11x_0)</f>
        <v>5761.42</v>
      </c>
      <c r="E63" s="1"/>
      <c r="F63" s="5">
        <f t="shared" si="36"/>
        <v>4.1522849357882724E-3</v>
      </c>
      <c r="G63" s="1"/>
      <c r="H63" s="1">
        <f>SUM(OSRRefH22_11x_0)</f>
        <v>4246.03</v>
      </c>
      <c r="I63" s="1"/>
      <c r="J63" s="5">
        <f t="shared" si="37"/>
        <v>2.469904001920066E-2</v>
      </c>
      <c r="K63" s="1"/>
      <c r="L63" s="1">
        <f t="shared" si="38"/>
        <v>1515.3900000000003</v>
      </c>
      <c r="M63" s="1"/>
      <c r="N63" s="5">
        <f t="shared" si="39"/>
        <v>0.35689573554591003</v>
      </c>
      <c r="O63" s="14"/>
      <c r="P63" s="1">
        <f>SUM(OSRRefP22_11x_0)</f>
        <v>35690.11</v>
      </c>
      <c r="Q63" s="1"/>
      <c r="R63" s="5">
        <f t="shared" si="40"/>
        <v>6.7173535510910952E-3</v>
      </c>
      <c r="S63" s="1"/>
      <c r="T63" s="1">
        <f>SUM(OSRRefT22_11x_0)</f>
        <v>27342.15</v>
      </c>
      <c r="U63" s="1"/>
      <c r="V63" s="5">
        <f t="shared" si="41"/>
        <v>4.059921872991961E-2</v>
      </c>
      <c r="W63" s="1"/>
      <c r="X63" s="1">
        <f t="shared" si="42"/>
        <v>8347.9599999999991</v>
      </c>
      <c r="Y63" s="1"/>
      <c r="Z63" s="5">
        <f t="shared" si="43"/>
        <v>0.30531468812803669</v>
      </c>
    </row>
    <row r="64" spans="1:26" s="24" customFormat="1" hidden="1" outlineLevel="2" x14ac:dyDescent="0.3">
      <c r="A64" s="27"/>
      <c r="B64" s="11" t="str">
        <f>CONCATENATE("          ", "6314", " - ", "LIABILITY INSURANCE")</f>
        <v xml:space="preserve">          6314 - LIABILITY INSURANCE</v>
      </c>
      <c r="C64" s="11"/>
      <c r="D64" s="6">
        <v>5761.42</v>
      </c>
      <c r="E64" s="2"/>
      <c r="F64" s="7">
        <f t="shared" si="36"/>
        <v>4.1522849357882724E-3</v>
      </c>
      <c r="G64" s="2"/>
      <c r="H64" s="6">
        <v>4246.03</v>
      </c>
      <c r="I64" s="2"/>
      <c r="J64" s="7">
        <f t="shared" si="37"/>
        <v>2.469904001920066E-2</v>
      </c>
      <c r="K64" s="2"/>
      <c r="L64" s="6">
        <f t="shared" si="38"/>
        <v>1515.3900000000003</v>
      </c>
      <c r="M64" s="2"/>
      <c r="N64" s="7">
        <f t="shared" si="39"/>
        <v>0.35689573554591003</v>
      </c>
      <c r="O64" s="11"/>
      <c r="P64" s="6">
        <v>35690.11</v>
      </c>
      <c r="Q64" s="2"/>
      <c r="R64" s="7">
        <f t="shared" si="40"/>
        <v>6.7173535510910952E-3</v>
      </c>
      <c r="S64" s="2"/>
      <c r="T64" s="6">
        <v>27342.15</v>
      </c>
      <c r="U64" s="2"/>
      <c r="V64" s="7">
        <f t="shared" si="41"/>
        <v>4.059921872991961E-2</v>
      </c>
      <c r="W64" s="2"/>
      <c r="X64" s="6">
        <f t="shared" si="42"/>
        <v>8347.9599999999991</v>
      </c>
      <c r="Y64" s="2"/>
      <c r="Z64" s="7">
        <f t="shared" si="43"/>
        <v>0.30531468812803669</v>
      </c>
    </row>
    <row r="65" spans="1:26" s="29" customFormat="1" outlineLevel="1" collapsed="1" x14ac:dyDescent="0.3">
      <c r="A65" s="28"/>
      <c r="B65" s="14" t="str">
        <f>CONCATENATE("     ","Interest                                          ")</f>
        <v xml:space="preserve">     Interest                                          </v>
      </c>
      <c r="C65" s="14"/>
      <c r="D65" s="1">
        <f>SUM(OSRRefD22_12x_0)</f>
        <v>7253</v>
      </c>
      <c r="E65" s="1"/>
      <c r="F65" s="5">
        <f t="shared" si="36"/>
        <v>5.2272742898924812E-3</v>
      </c>
      <c r="G65" s="1"/>
      <c r="H65" s="1">
        <f>SUM(OSRRefH22_12x_0)</f>
        <v>7510</v>
      </c>
      <c r="I65" s="1"/>
      <c r="J65" s="5">
        <f t="shared" si="37"/>
        <v>4.3685463961440914E-2</v>
      </c>
      <c r="K65" s="1"/>
      <c r="L65" s="1">
        <f t="shared" si="38"/>
        <v>-257</v>
      </c>
      <c r="M65" s="1"/>
      <c r="N65" s="5">
        <f t="shared" si="39"/>
        <v>-3.4221038615179764E-2</v>
      </c>
      <c r="O65" s="14"/>
      <c r="P65" s="1">
        <f>SUM(OSRRefP22_12x_0)</f>
        <v>35751</v>
      </c>
      <c r="Q65" s="1"/>
      <c r="R65" s="5">
        <f t="shared" si="40"/>
        <v>6.7288138592191994E-3</v>
      </c>
      <c r="S65" s="1"/>
      <c r="T65" s="1">
        <f>SUM(OSRRefT22_12x_0)</f>
        <v>37063.15</v>
      </c>
      <c r="U65" s="1"/>
      <c r="V65" s="5">
        <f t="shared" si="41"/>
        <v>5.5033526393126364E-2</v>
      </c>
      <c r="W65" s="1"/>
      <c r="X65" s="1">
        <f t="shared" si="42"/>
        <v>-1312.1500000000015</v>
      </c>
      <c r="Y65" s="1"/>
      <c r="Z65" s="5">
        <f t="shared" si="43"/>
        <v>-3.540308905206388E-2</v>
      </c>
    </row>
    <row r="66" spans="1:26" s="24" customFormat="1" hidden="1" outlineLevel="2" x14ac:dyDescent="0.3">
      <c r="A66" s="27"/>
      <c r="B66" s="11" t="str">
        <f>CONCATENATE("          ", "6401", " - ", "INTEREST EXPENSE")</f>
        <v xml:space="preserve">          6401 - INTEREST EXPENSE</v>
      </c>
      <c r="C66" s="11"/>
      <c r="D66" s="6">
        <v>7253</v>
      </c>
      <c r="E66" s="2"/>
      <c r="F66" s="7">
        <f t="shared" si="36"/>
        <v>5.2272742898924812E-3</v>
      </c>
      <c r="G66" s="2"/>
      <c r="H66" s="6">
        <v>7510</v>
      </c>
      <c r="I66" s="2"/>
      <c r="J66" s="7">
        <f t="shared" si="37"/>
        <v>4.3685463961440914E-2</v>
      </c>
      <c r="K66" s="2"/>
      <c r="L66" s="6">
        <f t="shared" si="38"/>
        <v>-257</v>
      </c>
      <c r="M66" s="2"/>
      <c r="N66" s="7">
        <f t="shared" si="39"/>
        <v>-3.4221038615179764E-2</v>
      </c>
      <c r="O66" s="11"/>
      <c r="P66" s="6">
        <v>35751</v>
      </c>
      <c r="Q66" s="2"/>
      <c r="R66" s="7">
        <f t="shared" si="40"/>
        <v>6.7288138592191994E-3</v>
      </c>
      <c r="S66" s="2"/>
      <c r="T66" s="6">
        <v>37063.15</v>
      </c>
      <c r="U66" s="2"/>
      <c r="V66" s="7">
        <f t="shared" si="41"/>
        <v>5.5033526393126364E-2</v>
      </c>
      <c r="W66" s="2"/>
      <c r="X66" s="6">
        <f t="shared" si="42"/>
        <v>-1312.1500000000015</v>
      </c>
      <c r="Y66" s="2"/>
      <c r="Z66" s="7">
        <f t="shared" si="43"/>
        <v>-3.540308905206388E-2</v>
      </c>
    </row>
    <row r="67" spans="1:26" s="29" customFormat="1" outlineLevel="1" collapsed="1" x14ac:dyDescent="0.3">
      <c r="A67" s="28"/>
      <c r="B67" s="14" t="str">
        <f>CONCATENATE("     ","R/H Commissions                                   ")</f>
        <v xml:space="preserve">     R/H Commissions                                   </v>
      </c>
      <c r="C67" s="14"/>
      <c r="D67" s="1">
        <f>SUM(OSRRefD22_13x_0)</f>
        <v>102145.22</v>
      </c>
      <c r="E67" s="1"/>
      <c r="F67" s="5">
        <f t="shared" si="36"/>
        <v>7.3616583805516514E-2</v>
      </c>
      <c r="G67" s="1"/>
      <c r="H67" s="1">
        <f>SUM(OSRRefH22_13x_0)</f>
        <v>7982.87</v>
      </c>
      <c r="I67" s="1"/>
      <c r="J67" s="5">
        <f t="shared" si="37"/>
        <v>4.6436135778144851E-2</v>
      </c>
      <c r="K67" s="1"/>
      <c r="L67" s="1">
        <f t="shared" si="38"/>
        <v>94162.35</v>
      </c>
      <c r="M67" s="1"/>
      <c r="N67" s="5">
        <f t="shared" si="39"/>
        <v>11.795550973522055</v>
      </c>
      <c r="O67" s="14"/>
      <c r="P67" s="1">
        <f>SUM(OSRRefP22_13x_0)</f>
        <v>372916.2</v>
      </c>
      <c r="Q67" s="1"/>
      <c r="R67" s="5">
        <f t="shared" si="40"/>
        <v>7.0187790408306319E-2</v>
      </c>
      <c r="S67" s="1"/>
      <c r="T67" s="1">
        <f>SUM(OSRRefT22_13x_0)</f>
        <v>36703.07</v>
      </c>
      <c r="U67" s="1"/>
      <c r="V67" s="5">
        <f t="shared" si="41"/>
        <v>5.4498858611687469E-2</v>
      </c>
      <c r="W67" s="1"/>
      <c r="X67" s="1">
        <f t="shared" si="42"/>
        <v>336213.13</v>
      </c>
      <c r="Y67" s="1"/>
      <c r="Z67" s="5">
        <f t="shared" si="43"/>
        <v>9.1603544335664573</v>
      </c>
    </row>
    <row r="68" spans="1:26" s="24" customFormat="1" hidden="1" outlineLevel="2" x14ac:dyDescent="0.3">
      <c r="A68" s="27"/>
      <c r="B68" s="11" t="str">
        <f>CONCATENATE("          ", "6387", " - ", "COMMISSION DUE HOUSING")</f>
        <v xml:space="preserve">          6387 - COMMISSION DUE HOUSING</v>
      </c>
      <c r="C68" s="11"/>
      <c r="D68" s="6">
        <v>102145.22</v>
      </c>
      <c r="E68" s="2"/>
      <c r="F68" s="7">
        <f t="shared" si="36"/>
        <v>7.3616583805516514E-2</v>
      </c>
      <c r="G68" s="2"/>
      <c r="H68" s="6">
        <v>7982.87</v>
      </c>
      <c r="I68" s="2"/>
      <c r="J68" s="7">
        <f t="shared" si="37"/>
        <v>4.6436135778144851E-2</v>
      </c>
      <c r="K68" s="2"/>
      <c r="L68" s="6">
        <f t="shared" si="38"/>
        <v>94162.35</v>
      </c>
      <c r="M68" s="2"/>
      <c r="N68" s="7">
        <f t="shared" si="39"/>
        <v>11.795550973522055</v>
      </c>
      <c r="O68" s="11"/>
      <c r="P68" s="6">
        <v>372916.2</v>
      </c>
      <c r="Q68" s="2"/>
      <c r="R68" s="7">
        <f t="shared" si="40"/>
        <v>7.0187790408306319E-2</v>
      </c>
      <c r="S68" s="2"/>
      <c r="T68" s="6">
        <v>36703.07</v>
      </c>
      <c r="U68" s="2"/>
      <c r="V68" s="7">
        <f t="shared" si="41"/>
        <v>5.4498858611687469E-2</v>
      </c>
      <c r="W68" s="2"/>
      <c r="X68" s="6">
        <f t="shared" si="42"/>
        <v>336213.13</v>
      </c>
      <c r="Y68" s="2"/>
      <c r="Z68" s="7">
        <f t="shared" si="43"/>
        <v>9.1603544335664573</v>
      </c>
    </row>
    <row r="69" spans="1:26" s="29" customFormat="1" outlineLevel="1" collapsed="1" x14ac:dyDescent="0.3">
      <c r="A69" s="28"/>
      <c r="B69" s="14" t="str">
        <f>CONCATENATE("     ","Rent                                              ")</f>
        <v xml:space="preserve">     Rent                                              </v>
      </c>
      <c r="C69" s="14"/>
      <c r="D69" s="1">
        <f>SUM(OSRRefD22_14x_0)</f>
        <v>1850</v>
      </c>
      <c r="E69" s="1"/>
      <c r="F69" s="5">
        <f t="shared" si="36"/>
        <v>1.3333044859094292E-3</v>
      </c>
      <c r="G69" s="1"/>
      <c r="H69" s="1">
        <f>SUM(OSRRefH22_14x_0)</f>
        <v>0</v>
      </c>
      <c r="I69" s="1"/>
      <c r="J69" s="5">
        <f t="shared" si="37"/>
        <v>0</v>
      </c>
      <c r="K69" s="1"/>
      <c r="L69" s="1">
        <f t="shared" si="38"/>
        <v>1850</v>
      </c>
      <c r="M69" s="1"/>
      <c r="N69" s="5">
        <f t="shared" si="39"/>
        <v>0</v>
      </c>
      <c r="O69" s="14"/>
      <c r="P69" s="1">
        <f>SUM(OSRRefP22_14x_0)</f>
        <v>9250</v>
      </c>
      <c r="Q69" s="1"/>
      <c r="R69" s="5">
        <f t="shared" si="40"/>
        <v>1.7409730692226118E-3</v>
      </c>
      <c r="S69" s="1"/>
      <c r="T69" s="1">
        <f>SUM(OSRRefT22_14x_0)</f>
        <v>5550</v>
      </c>
      <c r="U69" s="1"/>
      <c r="V69" s="5">
        <f t="shared" si="41"/>
        <v>8.2409636385965927E-3</v>
      </c>
      <c r="W69" s="1"/>
      <c r="X69" s="1">
        <f t="shared" si="42"/>
        <v>3700</v>
      </c>
      <c r="Y69" s="1"/>
      <c r="Z69" s="5">
        <f t="shared" si="43"/>
        <v>0.66666666666666663</v>
      </c>
    </row>
    <row r="70" spans="1:26" s="24" customFormat="1" hidden="1" outlineLevel="2" x14ac:dyDescent="0.3">
      <c r="A70" s="27"/>
      <c r="B70" s="11" t="str">
        <f>CONCATENATE("          ", "6273", " - ", "RENT")</f>
        <v xml:space="preserve">          6273 - RENT</v>
      </c>
      <c r="C70" s="11"/>
      <c r="D70" s="6">
        <v>1850</v>
      </c>
      <c r="E70" s="2"/>
      <c r="F70" s="7">
        <f t="shared" si="36"/>
        <v>1.3333044859094292E-3</v>
      </c>
      <c r="G70" s="2"/>
      <c r="H70" s="6"/>
      <c r="I70" s="2"/>
      <c r="J70" s="7">
        <f t="shared" si="37"/>
        <v>0</v>
      </c>
      <c r="K70" s="2"/>
      <c r="L70" s="6">
        <f t="shared" si="38"/>
        <v>1850</v>
      </c>
      <c r="M70" s="2"/>
      <c r="N70" s="7">
        <f t="shared" si="39"/>
        <v>0</v>
      </c>
      <c r="O70" s="11"/>
      <c r="P70" s="6">
        <v>9250</v>
      </c>
      <c r="Q70" s="2"/>
      <c r="R70" s="7">
        <f t="shared" si="40"/>
        <v>1.7409730692226118E-3</v>
      </c>
      <c r="S70" s="2"/>
      <c r="T70" s="6">
        <v>5550</v>
      </c>
      <c r="U70" s="2"/>
      <c r="V70" s="7">
        <f t="shared" si="41"/>
        <v>8.2409636385965927E-3</v>
      </c>
      <c r="W70" s="2"/>
      <c r="X70" s="6">
        <f t="shared" si="42"/>
        <v>3700</v>
      </c>
      <c r="Y70" s="2"/>
      <c r="Z70" s="7">
        <f t="shared" si="43"/>
        <v>0.66666666666666663</v>
      </c>
    </row>
    <row r="71" spans="1:26" s="29" customFormat="1" outlineLevel="1" collapsed="1" x14ac:dyDescent="0.3">
      <c r="A71" s="28"/>
      <c r="B71" s="14" t="str">
        <f>CONCATENATE("     ","Repair and Maintenance                            ")</f>
        <v xml:space="preserve">     Repair and Maintenance                            </v>
      </c>
      <c r="C71" s="14"/>
      <c r="D71" s="1">
        <f>SUM(OSRRefD22_15x_0)</f>
        <v>9529.7400000000016</v>
      </c>
      <c r="E71" s="1"/>
      <c r="F71" s="5">
        <f t="shared" si="36"/>
        <v>6.8681324819192032E-3</v>
      </c>
      <c r="G71" s="1"/>
      <c r="H71" s="1">
        <f>SUM(OSRRefH22_15x_0)</f>
        <v>4248.8500000000004</v>
      </c>
      <c r="I71" s="1"/>
      <c r="J71" s="5">
        <f t="shared" si="37"/>
        <v>2.4715443881833322E-2</v>
      </c>
      <c r="K71" s="1"/>
      <c r="L71" s="1">
        <f t="shared" si="38"/>
        <v>5280.8900000000012</v>
      </c>
      <c r="M71" s="1"/>
      <c r="N71" s="5">
        <f t="shared" si="39"/>
        <v>1.2428986666980479</v>
      </c>
      <c r="O71" s="14"/>
      <c r="P71" s="1">
        <f>SUM(OSRRefP22_15x_0)</f>
        <v>64478.33</v>
      </c>
      <c r="Q71" s="1"/>
      <c r="R71" s="5">
        <f t="shared" si="40"/>
        <v>1.2135679576048478E-2</v>
      </c>
      <c r="S71" s="1"/>
      <c r="T71" s="1">
        <f>SUM(OSRRefT22_15x_0)</f>
        <v>22583.9</v>
      </c>
      <c r="U71" s="1"/>
      <c r="V71" s="5">
        <f t="shared" si="41"/>
        <v>3.3533891660847137E-2</v>
      </c>
      <c r="W71" s="1"/>
      <c r="X71" s="1">
        <f t="shared" si="42"/>
        <v>41894.43</v>
      </c>
      <c r="Y71" s="1"/>
      <c r="Z71" s="5">
        <f t="shared" si="43"/>
        <v>1.8550573638742642</v>
      </c>
    </row>
    <row r="72" spans="1:26" s="24" customFormat="1" hidden="1" outlineLevel="2" x14ac:dyDescent="0.3">
      <c r="A72" s="27"/>
      <c r="B72" s="11" t="str">
        <f>CONCATENATE("          ", "6371", " - ", "COMPUTER SOFTWARE MAINTENANCE")</f>
        <v xml:space="preserve">          6371 - COMPUTER SOFTWARE MAINTENANCE</v>
      </c>
      <c r="C72" s="11"/>
      <c r="D72" s="6">
        <v>3880.32</v>
      </c>
      <c r="E72" s="2"/>
      <c r="F72" s="7">
        <f t="shared" si="36"/>
        <v>2.7965665204130142E-3</v>
      </c>
      <c r="G72" s="2"/>
      <c r="H72" s="6"/>
      <c r="I72" s="2"/>
      <c r="J72" s="7">
        <f t="shared" si="37"/>
        <v>0</v>
      </c>
      <c r="K72" s="2"/>
      <c r="L72" s="6">
        <f t="shared" si="38"/>
        <v>3880.32</v>
      </c>
      <c r="M72" s="2"/>
      <c r="N72" s="7">
        <f t="shared" si="39"/>
        <v>0</v>
      </c>
      <c r="O72" s="11"/>
      <c r="P72" s="6">
        <v>23217.72</v>
      </c>
      <c r="Q72" s="2"/>
      <c r="R72" s="7">
        <f t="shared" si="40"/>
        <v>4.3698838106758075E-3</v>
      </c>
      <c r="S72" s="2"/>
      <c r="T72" s="6"/>
      <c r="U72" s="2"/>
      <c r="V72" s="7">
        <f t="shared" si="41"/>
        <v>0</v>
      </c>
      <c r="W72" s="2"/>
      <c r="X72" s="6">
        <f t="shared" si="42"/>
        <v>23217.72</v>
      </c>
      <c r="Y72" s="2"/>
      <c r="Z72" s="7">
        <f t="shared" si="43"/>
        <v>0</v>
      </c>
    </row>
    <row r="73" spans="1:26" s="24" customFormat="1" hidden="1" outlineLevel="2" x14ac:dyDescent="0.3">
      <c r="A73" s="27"/>
      <c r="B73" s="11" t="str">
        <f>CONCATENATE("          ", "6373", " - ", "MAINTENANCE CONTRACTS")</f>
        <v xml:space="preserve">          6373 - MAINTENANCE CONTRACTS</v>
      </c>
      <c r="C73" s="11"/>
      <c r="D73" s="6">
        <v>2873.05</v>
      </c>
      <c r="E73" s="2"/>
      <c r="F73" s="7">
        <f t="shared" si="36"/>
        <v>2.0706218666173438E-3</v>
      </c>
      <c r="G73" s="2"/>
      <c r="H73" s="6">
        <v>908.53</v>
      </c>
      <c r="I73" s="2"/>
      <c r="J73" s="7">
        <f t="shared" si="37"/>
        <v>5.2848940842726913E-3</v>
      </c>
      <c r="K73" s="2"/>
      <c r="L73" s="6">
        <f t="shared" si="38"/>
        <v>1964.5200000000002</v>
      </c>
      <c r="M73" s="2"/>
      <c r="N73" s="7">
        <f t="shared" si="39"/>
        <v>2.1623061428901633</v>
      </c>
      <c r="O73" s="11"/>
      <c r="P73" s="6">
        <v>6996.92</v>
      </c>
      <c r="Q73" s="2"/>
      <c r="R73" s="7">
        <f t="shared" si="40"/>
        <v>1.3169134364870354E-3</v>
      </c>
      <c r="S73" s="2"/>
      <c r="T73" s="6">
        <v>12512.01</v>
      </c>
      <c r="U73" s="2"/>
      <c r="V73" s="7">
        <f t="shared" si="41"/>
        <v>1.8578562064100353E-2</v>
      </c>
      <c r="W73" s="2"/>
      <c r="X73" s="6">
        <f t="shared" si="42"/>
        <v>-5515.09</v>
      </c>
      <c r="Y73" s="2"/>
      <c r="Z73" s="7">
        <f t="shared" si="43"/>
        <v>-0.44078369502581921</v>
      </c>
    </row>
    <row r="74" spans="1:26" s="24" customFormat="1" hidden="1" outlineLevel="2" x14ac:dyDescent="0.3">
      <c r="A74" s="27"/>
      <c r="B74" s="11" t="str">
        <f>CONCATENATE("          ", "6375", " - ", "OUTSIDE REPAIRS &amp; MAINTENANCE")</f>
        <v xml:space="preserve">          6375 - OUTSIDE REPAIRS &amp; MAINTENANCE</v>
      </c>
      <c r="C74" s="11"/>
      <c r="D74" s="6">
        <v>2776.37</v>
      </c>
      <c r="E74" s="2"/>
      <c r="F74" s="7">
        <f t="shared" si="36"/>
        <v>2.0009440948888443E-3</v>
      </c>
      <c r="G74" s="2"/>
      <c r="H74" s="6">
        <v>3340.32</v>
      </c>
      <c r="I74" s="2"/>
      <c r="J74" s="7">
        <f t="shared" si="37"/>
        <v>1.943054979756063E-2</v>
      </c>
      <c r="K74" s="2"/>
      <c r="L74" s="6">
        <f t="shared" si="38"/>
        <v>-563.95000000000027</v>
      </c>
      <c r="M74" s="2"/>
      <c r="N74" s="7">
        <f t="shared" si="39"/>
        <v>-0.16883112995162147</v>
      </c>
      <c r="O74" s="11"/>
      <c r="P74" s="6">
        <v>34263.69</v>
      </c>
      <c r="Q74" s="2"/>
      <c r="R74" s="7">
        <f t="shared" si="40"/>
        <v>6.4488823288856344E-3</v>
      </c>
      <c r="S74" s="2"/>
      <c r="T74" s="6">
        <v>10071.89</v>
      </c>
      <c r="U74" s="2"/>
      <c r="V74" s="7">
        <f t="shared" si="41"/>
        <v>1.495532959674678E-2</v>
      </c>
      <c r="W74" s="2"/>
      <c r="X74" s="6">
        <f t="shared" si="42"/>
        <v>24191.800000000003</v>
      </c>
      <c r="Y74" s="2"/>
      <c r="Z74" s="7">
        <f t="shared" si="43"/>
        <v>2.4019126499594421</v>
      </c>
    </row>
    <row r="75" spans="1:26" s="29" customFormat="1" outlineLevel="1" collapsed="1" x14ac:dyDescent="0.3">
      <c r="A75" s="28"/>
      <c r="B75" s="14" t="str">
        <f>CONCATENATE("     ","Royalty &amp; Commissions                             ")</f>
        <v xml:space="preserve">     Royalty &amp; Commissions                             </v>
      </c>
      <c r="C75" s="14"/>
      <c r="D75" s="1">
        <f>SUM(OSRRefD22_16x_0)</f>
        <v>366.22</v>
      </c>
      <c r="E75" s="1"/>
      <c r="F75" s="5">
        <f t="shared" ref="F75:F81" si="44">IF(D$12=0,0,D75/D$12)</f>
        <v>2.6393663179986551E-4</v>
      </c>
      <c r="G75" s="1"/>
      <c r="H75" s="1">
        <f>SUM(OSRRefH22_16x_0)</f>
        <v>0</v>
      </c>
      <c r="I75" s="1"/>
      <c r="J75" s="5">
        <f t="shared" ref="J75:J81" si="45">IF(H$12=0,0,H75/H$12)</f>
        <v>0</v>
      </c>
      <c r="K75" s="1"/>
      <c r="L75" s="1">
        <f t="shared" ref="L75:L81" si="46">+D75-H75</f>
        <v>366.22</v>
      </c>
      <c r="M75" s="1"/>
      <c r="N75" s="5">
        <f t="shared" ref="N75:N81" si="47">IF(H75=0,0,L75/H75)</f>
        <v>0</v>
      </c>
      <c r="O75" s="14"/>
      <c r="P75" s="1">
        <f>SUM(OSRRefP22_16x_0)</f>
        <v>1432.44</v>
      </c>
      <c r="Q75" s="1"/>
      <c r="R75" s="5">
        <f t="shared" ref="R75:R81" si="48">IF(P$12=0,0,P75/P$12)</f>
        <v>2.6960426630024195E-4</v>
      </c>
      <c r="S75" s="1"/>
      <c r="T75" s="1">
        <f>SUM(OSRRefT22_16x_0)</f>
        <v>0</v>
      </c>
      <c r="U75" s="1"/>
      <c r="V75" s="5">
        <f t="shared" ref="V75:V81" si="49">IF(T$12=0,0,T75/T$12)</f>
        <v>0</v>
      </c>
      <c r="W75" s="1"/>
      <c r="X75" s="1">
        <f t="shared" ref="X75:X81" si="50">+P75-T75</f>
        <v>1432.44</v>
      </c>
      <c r="Y75" s="1"/>
      <c r="Z75" s="5">
        <f t="shared" ref="Z75:Z81" si="51">IF(T75=0,0,X75/T75)</f>
        <v>0</v>
      </c>
    </row>
    <row r="76" spans="1:26" s="24" customFormat="1" hidden="1" outlineLevel="2" x14ac:dyDescent="0.3">
      <c r="A76" s="27"/>
      <c r="B76" s="11" t="str">
        <f>CONCATENATE("          ", "6254", " - ", "ROYALTY &amp; COMMISSIONS")</f>
        <v xml:space="preserve">          6254 - ROYALTY &amp; COMMISSIONS</v>
      </c>
      <c r="C76" s="11"/>
      <c r="D76" s="6">
        <v>366.22</v>
      </c>
      <c r="E76" s="2"/>
      <c r="F76" s="7">
        <f t="shared" si="44"/>
        <v>2.6393663179986551E-4</v>
      </c>
      <c r="G76" s="2"/>
      <c r="H76" s="6"/>
      <c r="I76" s="2"/>
      <c r="J76" s="7">
        <f t="shared" si="45"/>
        <v>0</v>
      </c>
      <c r="K76" s="2"/>
      <c r="L76" s="6">
        <f t="shared" si="46"/>
        <v>366.22</v>
      </c>
      <c r="M76" s="2"/>
      <c r="N76" s="7">
        <f t="shared" si="47"/>
        <v>0</v>
      </c>
      <c r="O76" s="11"/>
      <c r="P76" s="6">
        <v>1432.44</v>
      </c>
      <c r="Q76" s="2"/>
      <c r="R76" s="7">
        <f t="shared" si="48"/>
        <v>2.6960426630024195E-4</v>
      </c>
      <c r="S76" s="2"/>
      <c r="T76" s="6"/>
      <c r="U76" s="2"/>
      <c r="V76" s="7">
        <f t="shared" si="49"/>
        <v>0</v>
      </c>
      <c r="W76" s="2"/>
      <c r="X76" s="6">
        <f t="shared" si="50"/>
        <v>1432.44</v>
      </c>
      <c r="Y76" s="2"/>
      <c r="Z76" s="7">
        <f t="shared" si="51"/>
        <v>0</v>
      </c>
    </row>
    <row r="77" spans="1:26" s="29" customFormat="1" outlineLevel="1" collapsed="1" x14ac:dyDescent="0.3">
      <c r="A77" s="28"/>
      <c r="B77" s="14" t="str">
        <f>CONCATENATE("     ","Services                                          ")</f>
        <v xml:space="preserve">     Services                                          </v>
      </c>
      <c r="C77" s="14"/>
      <c r="D77" s="1">
        <f>SUM(OSRRefD22_17x_0)</f>
        <v>23606.67</v>
      </c>
      <c r="E77" s="1"/>
      <c r="F77" s="5">
        <f t="shared" si="44"/>
        <v>1.7013448112639752E-2</v>
      </c>
      <c r="G77" s="1"/>
      <c r="H77" s="1">
        <f>SUM(OSRRefH22_17x_0)</f>
        <v>17799.97</v>
      </c>
      <c r="I77" s="1"/>
      <c r="J77" s="5">
        <f t="shared" si="45"/>
        <v>0.10354193714377223</v>
      </c>
      <c r="K77" s="1"/>
      <c r="L77" s="1">
        <f t="shared" si="46"/>
        <v>5806.6999999999971</v>
      </c>
      <c r="M77" s="1"/>
      <c r="N77" s="5">
        <f t="shared" si="47"/>
        <v>0.32621965093199579</v>
      </c>
      <c r="O77" s="14"/>
      <c r="P77" s="1">
        <f>SUM(OSRRefP22_17x_0)</f>
        <v>121645.99</v>
      </c>
      <c r="Q77" s="1"/>
      <c r="R77" s="5">
        <f t="shared" si="48"/>
        <v>2.2895393791234935E-2</v>
      </c>
      <c r="S77" s="1"/>
      <c r="T77" s="1">
        <f>SUM(OSRRefT22_17x_0)</f>
        <v>78445.11</v>
      </c>
      <c r="U77" s="1"/>
      <c r="V77" s="5">
        <f t="shared" si="49"/>
        <v>0.11647987371814594</v>
      </c>
      <c r="W77" s="1"/>
      <c r="X77" s="1">
        <f t="shared" si="50"/>
        <v>43200.880000000005</v>
      </c>
      <c r="Y77" s="1"/>
      <c r="Z77" s="5">
        <f t="shared" si="51"/>
        <v>0.55071476093283578</v>
      </c>
    </row>
    <row r="78" spans="1:26" s="24" customFormat="1" hidden="1" outlineLevel="2" x14ac:dyDescent="0.3">
      <c r="A78" s="27"/>
      <c r="B78" s="11" t="str">
        <f>CONCATENATE("          ", "6282", " - ", "JANITORIAL/EXTERMINATOR EXPENS")</f>
        <v xml:space="preserve">          6282 - JANITORIAL/EXTERMINATOR EXPENS</v>
      </c>
      <c r="C78" s="11"/>
      <c r="D78" s="6">
        <v>2727.38</v>
      </c>
      <c r="E78" s="2"/>
      <c r="F78" s="7">
        <f t="shared" si="44"/>
        <v>1.9656367506917078E-3</v>
      </c>
      <c r="G78" s="2"/>
      <c r="H78" s="6">
        <v>130.69999999999999</v>
      </c>
      <c r="I78" s="2"/>
      <c r="J78" s="7">
        <f t="shared" si="45"/>
        <v>7.6027831421575593E-4</v>
      </c>
      <c r="K78" s="2"/>
      <c r="L78" s="6">
        <f t="shared" si="46"/>
        <v>2596.6800000000003</v>
      </c>
      <c r="M78" s="2"/>
      <c r="N78" s="7">
        <f t="shared" si="47"/>
        <v>19.86748278500383</v>
      </c>
      <c r="O78" s="11"/>
      <c r="P78" s="6">
        <v>14564.68</v>
      </c>
      <c r="Q78" s="2"/>
      <c r="R78" s="7">
        <f t="shared" si="48"/>
        <v>2.7412665558751558E-3</v>
      </c>
      <c r="S78" s="2"/>
      <c r="T78" s="6">
        <v>5641.36</v>
      </c>
      <c r="U78" s="2"/>
      <c r="V78" s="7">
        <f t="shared" si="49"/>
        <v>8.3766202940960856E-3</v>
      </c>
      <c r="W78" s="2"/>
      <c r="X78" s="6">
        <f t="shared" si="50"/>
        <v>8923.32</v>
      </c>
      <c r="Y78" s="2"/>
      <c r="Z78" s="7">
        <f t="shared" si="51"/>
        <v>1.5817675170526257</v>
      </c>
    </row>
    <row r="79" spans="1:26" s="24" customFormat="1" hidden="1" outlineLevel="2" x14ac:dyDescent="0.3">
      <c r="A79" s="27"/>
      <c r="B79" s="11" t="str">
        <f>CONCATENATE("          ", "6284", " - ", "TRASH REMOVAL EXPENSE")</f>
        <v xml:space="preserve">          6284 - TRASH REMOVAL EXPENSE</v>
      </c>
      <c r="C79" s="11"/>
      <c r="D79" s="6"/>
      <c r="E79" s="2"/>
      <c r="F79" s="7">
        <f t="shared" si="44"/>
        <v>0</v>
      </c>
      <c r="G79" s="2"/>
      <c r="H79" s="6">
        <v>5369</v>
      </c>
      <c r="I79" s="2"/>
      <c r="J79" s="7">
        <f t="shared" si="45"/>
        <v>3.1231325700263154E-2</v>
      </c>
      <c r="K79" s="2"/>
      <c r="L79" s="6">
        <f t="shared" si="46"/>
        <v>-5369</v>
      </c>
      <c r="M79" s="2"/>
      <c r="N79" s="7">
        <f t="shared" si="47"/>
        <v>-1</v>
      </c>
      <c r="O79" s="11"/>
      <c r="P79" s="6"/>
      <c r="Q79" s="2"/>
      <c r="R79" s="7">
        <f t="shared" si="48"/>
        <v>0</v>
      </c>
      <c r="S79" s="2"/>
      <c r="T79" s="6">
        <v>13499</v>
      </c>
      <c r="U79" s="2"/>
      <c r="V79" s="7">
        <f t="shared" si="49"/>
        <v>2.0044102370705478E-2</v>
      </c>
      <c r="W79" s="2"/>
      <c r="X79" s="6">
        <f t="shared" si="50"/>
        <v>-13499</v>
      </c>
      <c r="Y79" s="2"/>
      <c r="Z79" s="7">
        <f t="shared" si="51"/>
        <v>-1</v>
      </c>
    </row>
    <row r="80" spans="1:26" s="24" customFormat="1" hidden="1" outlineLevel="2" x14ac:dyDescent="0.3">
      <c r="A80" s="27"/>
      <c r="B80" s="11" t="str">
        <f>CONCATENATE("          ", "6285", " - ", "JANITORIAL SERVICES")</f>
        <v xml:space="preserve">          6285 - JANITORIAL SERVICES</v>
      </c>
      <c r="C80" s="11"/>
      <c r="D80" s="6">
        <v>18157.419999999998</v>
      </c>
      <c r="E80" s="2"/>
      <c r="F80" s="7">
        <f t="shared" si="44"/>
        <v>1.3086145696508966E-2</v>
      </c>
      <c r="G80" s="2"/>
      <c r="H80" s="6">
        <v>11530.59</v>
      </c>
      <c r="I80" s="2"/>
      <c r="J80" s="7">
        <f t="shared" si="45"/>
        <v>6.7073125685639279E-2</v>
      </c>
      <c r="K80" s="2"/>
      <c r="L80" s="6">
        <f t="shared" si="46"/>
        <v>6626.8299999999981</v>
      </c>
      <c r="M80" s="2"/>
      <c r="N80" s="7">
        <f t="shared" si="47"/>
        <v>0.57471733883521992</v>
      </c>
      <c r="O80" s="11"/>
      <c r="P80" s="6">
        <v>92064.08</v>
      </c>
      <c r="Q80" s="2"/>
      <c r="R80" s="7">
        <f t="shared" si="48"/>
        <v>1.7327684748406062E-2</v>
      </c>
      <c r="S80" s="2"/>
      <c r="T80" s="6">
        <v>50542.2</v>
      </c>
      <c r="U80" s="2"/>
      <c r="V80" s="7">
        <f t="shared" si="49"/>
        <v>7.5048005840482282E-2</v>
      </c>
      <c r="W80" s="2"/>
      <c r="X80" s="6">
        <f t="shared" si="50"/>
        <v>41521.880000000005</v>
      </c>
      <c r="Y80" s="2"/>
      <c r="Z80" s="7">
        <f t="shared" si="51"/>
        <v>0.82152894017276668</v>
      </c>
    </row>
    <row r="81" spans="1:26" s="24" customFormat="1" hidden="1" outlineLevel="2" x14ac:dyDescent="0.3">
      <c r="A81" s="27"/>
      <c r="B81" s="11" t="str">
        <f>CONCATENATE("          ", "6286", " - ", "LAUNDRY EXPENSE")</f>
        <v xml:space="preserve">          6286 - LAUNDRY EXPENSE</v>
      </c>
      <c r="C81" s="11"/>
      <c r="D81" s="6">
        <v>2721.87</v>
      </c>
      <c r="E81" s="2"/>
      <c r="F81" s="7">
        <f t="shared" si="44"/>
        <v>1.9616656654390797E-3</v>
      </c>
      <c r="G81" s="2"/>
      <c r="H81" s="6">
        <v>769.68</v>
      </c>
      <c r="I81" s="2"/>
      <c r="J81" s="7">
        <f t="shared" si="45"/>
        <v>4.4772074436540401E-3</v>
      </c>
      <c r="K81" s="2"/>
      <c r="L81" s="6">
        <f t="shared" si="46"/>
        <v>1952.19</v>
      </c>
      <c r="M81" s="2"/>
      <c r="N81" s="7">
        <f t="shared" si="47"/>
        <v>2.5363657623947615</v>
      </c>
      <c r="O81" s="11"/>
      <c r="P81" s="6">
        <v>15017.23</v>
      </c>
      <c r="Q81" s="2"/>
      <c r="R81" s="7">
        <f t="shared" si="48"/>
        <v>2.8264424869537171E-3</v>
      </c>
      <c r="S81" s="2"/>
      <c r="T81" s="6">
        <v>8762.5499999999993</v>
      </c>
      <c r="U81" s="2"/>
      <c r="V81" s="7">
        <f t="shared" si="49"/>
        <v>1.3011145212862084E-2</v>
      </c>
      <c r="W81" s="2"/>
      <c r="X81" s="6">
        <f t="shared" si="50"/>
        <v>6254.68</v>
      </c>
      <c r="Y81" s="2"/>
      <c r="Z81" s="7">
        <f t="shared" si="51"/>
        <v>0.71379678289995496</v>
      </c>
    </row>
    <row r="82" spans="1:26" s="29" customFormat="1" outlineLevel="1" collapsed="1" x14ac:dyDescent="0.3">
      <c r="A82" s="28"/>
      <c r="B82" s="14" t="str">
        <f>CONCATENATE("     ","Subscriptions &amp; Dues                              ")</f>
        <v xml:space="preserve">     Subscriptions &amp; Dues                              </v>
      </c>
      <c r="C82" s="14"/>
      <c r="D82" s="1">
        <f>SUM(OSRRefD22_18x_0)</f>
        <v>569.5</v>
      </c>
      <c r="E82" s="1"/>
      <c r="F82" s="5">
        <f t="shared" ref="F82:F84" si="52">IF(D$12=0,0,D82/D$12)</f>
        <v>4.104415701218486E-4</v>
      </c>
      <c r="G82" s="1"/>
      <c r="H82" s="1">
        <f>SUM(OSRRefH22_18x_0)</f>
        <v>795</v>
      </c>
      <c r="I82" s="1"/>
      <c r="J82" s="5">
        <f t="shared" ref="J82:J84" si="53">IF(H$12=0,0,H82/H$12)</f>
        <v>4.6244931889940786E-3</v>
      </c>
      <c r="K82" s="1"/>
      <c r="L82" s="1">
        <f t="shared" ref="L82:L84" si="54">+D82-H82</f>
        <v>-225.5</v>
      </c>
      <c r="M82" s="1"/>
      <c r="N82" s="5">
        <f t="shared" ref="N82:N84" si="55">IF(H82=0,0,L82/H82)</f>
        <v>-0.28364779874213836</v>
      </c>
      <c r="O82" s="14"/>
      <c r="P82" s="1">
        <f>SUM(OSRRefP22_18x_0)</f>
        <v>2516.5</v>
      </c>
      <c r="Q82" s="1"/>
      <c r="R82" s="5">
        <f t="shared" ref="R82:R84" si="56">IF(P$12=0,0,P82/P$12)</f>
        <v>4.7363878148094085E-4</v>
      </c>
      <c r="S82" s="1"/>
      <c r="T82" s="1">
        <f>SUM(OSRRefT22_18x_0)</f>
        <v>1066.33</v>
      </c>
      <c r="U82" s="1"/>
      <c r="V82" s="5">
        <f t="shared" ref="V82:V84" si="57">IF(T$12=0,0,T82/T$12)</f>
        <v>1.5833489651792259E-3</v>
      </c>
      <c r="W82" s="1"/>
      <c r="X82" s="1">
        <f t="shared" ref="X82:X84" si="58">+P82-T82</f>
        <v>1450.17</v>
      </c>
      <c r="Y82" s="1"/>
      <c r="Z82" s="5">
        <f t="shared" ref="Z82:Z84" si="59">IF(T82=0,0,X82/T82)</f>
        <v>1.359963613515516</v>
      </c>
    </row>
    <row r="83" spans="1:26" s="24" customFormat="1" hidden="1" outlineLevel="2" x14ac:dyDescent="0.3">
      <c r="A83" s="27"/>
      <c r="B83" s="11" t="str">
        <f>CONCATENATE("          ", "6258", " - ", "MEMBERSHIP DUES")</f>
        <v xml:space="preserve">          6258 - MEMBERSHIP DUES</v>
      </c>
      <c r="C83" s="11"/>
      <c r="D83" s="6"/>
      <c r="E83" s="2"/>
      <c r="F83" s="7">
        <f t="shared" si="52"/>
        <v>0</v>
      </c>
      <c r="G83" s="2"/>
      <c r="H83" s="6">
        <v>795</v>
      </c>
      <c r="I83" s="2"/>
      <c r="J83" s="7">
        <f t="shared" si="53"/>
        <v>4.6244931889940786E-3</v>
      </c>
      <c r="K83" s="2"/>
      <c r="L83" s="6">
        <f t="shared" si="54"/>
        <v>-795</v>
      </c>
      <c r="M83" s="2"/>
      <c r="N83" s="7">
        <f t="shared" si="55"/>
        <v>-1</v>
      </c>
      <c r="O83" s="11"/>
      <c r="P83" s="6"/>
      <c r="Q83" s="2"/>
      <c r="R83" s="7">
        <f t="shared" si="56"/>
        <v>0</v>
      </c>
      <c r="S83" s="2"/>
      <c r="T83" s="6">
        <v>795</v>
      </c>
      <c r="U83" s="2"/>
      <c r="V83" s="7">
        <f t="shared" si="57"/>
        <v>1.1804623590422145E-3</v>
      </c>
      <c r="W83" s="2"/>
      <c r="X83" s="6">
        <f t="shared" si="58"/>
        <v>-795</v>
      </c>
      <c r="Y83" s="2"/>
      <c r="Z83" s="7">
        <f t="shared" si="59"/>
        <v>-1</v>
      </c>
    </row>
    <row r="84" spans="1:26" s="24" customFormat="1" hidden="1" outlineLevel="2" x14ac:dyDescent="0.3">
      <c r="A84" s="27"/>
      <c r="B84" s="11" t="str">
        <f>CONCATENATE("          ", "6275", " - ", "SUBSCRIPTIONS")</f>
        <v xml:space="preserve">          6275 - SUBSCRIPTIONS</v>
      </c>
      <c r="C84" s="11"/>
      <c r="D84" s="6">
        <v>569.5</v>
      </c>
      <c r="E84" s="2"/>
      <c r="F84" s="7">
        <f t="shared" si="52"/>
        <v>4.104415701218486E-4</v>
      </c>
      <c r="G84" s="2"/>
      <c r="H84" s="6"/>
      <c r="I84" s="2"/>
      <c r="J84" s="7">
        <f t="shared" si="53"/>
        <v>0</v>
      </c>
      <c r="K84" s="2"/>
      <c r="L84" s="6">
        <f t="shared" si="54"/>
        <v>569.5</v>
      </c>
      <c r="M84" s="2"/>
      <c r="N84" s="7">
        <f t="shared" si="55"/>
        <v>0</v>
      </c>
      <c r="O84" s="11"/>
      <c r="P84" s="6">
        <v>2516.5</v>
      </c>
      <c r="Q84" s="2"/>
      <c r="R84" s="7">
        <f t="shared" si="56"/>
        <v>4.7363878148094085E-4</v>
      </c>
      <c r="S84" s="2"/>
      <c r="T84" s="6">
        <v>271.33</v>
      </c>
      <c r="U84" s="2"/>
      <c r="V84" s="7">
        <f t="shared" si="57"/>
        <v>4.0288660613701144E-4</v>
      </c>
      <c r="W84" s="2"/>
      <c r="X84" s="6">
        <f t="shared" si="58"/>
        <v>2245.17</v>
      </c>
      <c r="Y84" s="2"/>
      <c r="Z84" s="7">
        <f t="shared" si="59"/>
        <v>8.2746839641764645</v>
      </c>
    </row>
    <row r="85" spans="1:26" s="29" customFormat="1" outlineLevel="1" collapsed="1" x14ac:dyDescent="0.3">
      <c r="A85" s="28"/>
      <c r="B85" s="14" t="str">
        <f>CONCATENATE("     ","Supplies                                          ")</f>
        <v xml:space="preserve">     Supplies                                          </v>
      </c>
      <c r="C85" s="14"/>
      <c r="D85" s="1">
        <f>SUM(OSRRefD22_19x_0)</f>
        <v>21671.710000000003</v>
      </c>
      <c r="E85" s="1"/>
      <c r="F85" s="5">
        <f t="shared" ref="F85:F94" si="60">IF(D$12=0,0,D85/D$12)</f>
        <v>1.5618912519096346E-2</v>
      </c>
      <c r="G85" s="1"/>
      <c r="H85" s="1">
        <f>SUM(OSRRefH22_19x_0)</f>
        <v>21462.29</v>
      </c>
      <c r="I85" s="1"/>
      <c r="J85" s="5">
        <f t="shared" ref="J85:J94" si="61">IF(H$12=0,0,H85/H$12)</f>
        <v>0.12484555210718959</v>
      </c>
      <c r="K85" s="1"/>
      <c r="L85" s="1">
        <f t="shared" ref="L85:L94" si="62">+D85-H85</f>
        <v>209.42000000000189</v>
      </c>
      <c r="M85" s="1"/>
      <c r="N85" s="5">
        <f t="shared" ref="N85:N94" si="63">IF(H85=0,0,L85/H85)</f>
        <v>9.7575794568054899E-3</v>
      </c>
      <c r="O85" s="14"/>
      <c r="P85" s="1">
        <f>SUM(OSRRefP22_19x_0)</f>
        <v>196723.60000000003</v>
      </c>
      <c r="Q85" s="1"/>
      <c r="R85" s="5">
        <f t="shared" ref="R85:R94" si="64">IF(P$12=0,0,P85/P$12)</f>
        <v>3.7025998884380698E-2</v>
      </c>
      <c r="S85" s="1"/>
      <c r="T85" s="1">
        <f>SUM(OSRRefT22_19x_0)</f>
        <v>54432.520000000004</v>
      </c>
      <c r="U85" s="1"/>
      <c r="V85" s="5">
        <f t="shared" ref="V85:V94" si="65">IF(T$12=0,0,T85/T$12)</f>
        <v>8.0824579833726456E-2</v>
      </c>
      <c r="W85" s="1"/>
      <c r="X85" s="1">
        <f t="shared" ref="X85:X94" si="66">+P85-T85</f>
        <v>142291.08000000002</v>
      </c>
      <c r="Y85" s="1"/>
      <c r="Z85" s="5">
        <f t="shared" ref="Z85:Z94" si="67">IF(T85=0,0,X85/T85)</f>
        <v>2.6140821699969066</v>
      </c>
    </row>
    <row r="86" spans="1:26" s="24" customFormat="1" hidden="1" outlineLevel="2" x14ac:dyDescent="0.3">
      <c r="A86" s="27"/>
      <c r="B86" s="11" t="str">
        <f>CONCATENATE("          ", "6234", " - ", "EXPENDABLE SUPPLIES &amp; EQUIPMEN")</f>
        <v xml:space="preserve">          6234 - EXPENDABLE SUPPLIES &amp; EQUIPMEN</v>
      </c>
      <c r="C86" s="11"/>
      <c r="D86" s="6"/>
      <c r="E86" s="2"/>
      <c r="F86" s="7">
        <f t="shared" si="60"/>
        <v>0</v>
      </c>
      <c r="G86" s="2"/>
      <c r="H86" s="6"/>
      <c r="I86" s="2"/>
      <c r="J86" s="7">
        <f t="shared" si="61"/>
        <v>0</v>
      </c>
      <c r="K86" s="2"/>
      <c r="L86" s="6">
        <f t="shared" si="62"/>
        <v>0</v>
      </c>
      <c r="M86" s="2"/>
      <c r="N86" s="7">
        <f t="shared" si="63"/>
        <v>0</v>
      </c>
      <c r="O86" s="11"/>
      <c r="P86" s="6">
        <v>21.98</v>
      </c>
      <c r="Q86" s="2"/>
      <c r="R86" s="7">
        <f t="shared" si="64"/>
        <v>4.136928439082488E-6</v>
      </c>
      <c r="S86" s="2"/>
      <c r="T86" s="6">
        <v>310.91000000000003</v>
      </c>
      <c r="U86" s="2"/>
      <c r="V86" s="7">
        <f t="shared" si="65"/>
        <v>4.6165729817586792E-4</v>
      </c>
      <c r="W86" s="2"/>
      <c r="X86" s="6">
        <f t="shared" si="66"/>
        <v>-288.93</v>
      </c>
      <c r="Y86" s="2"/>
      <c r="Z86" s="7">
        <f t="shared" si="67"/>
        <v>-0.92930430027982369</v>
      </c>
    </row>
    <row r="87" spans="1:26" s="24" customFormat="1" hidden="1" outlineLevel="2" x14ac:dyDescent="0.3">
      <c r="A87" s="27"/>
      <c r="B87" s="11" t="str">
        <f>CONCATENATE("          ", "6235", " - ", "COVID-19 EXPENSES")</f>
        <v xml:space="preserve">          6235 - COVID-19 EXPENSES</v>
      </c>
      <c r="C87" s="11"/>
      <c r="D87" s="6"/>
      <c r="E87" s="2"/>
      <c r="F87" s="7">
        <f t="shared" si="60"/>
        <v>0</v>
      </c>
      <c r="G87" s="2"/>
      <c r="H87" s="6">
        <v>11925.52</v>
      </c>
      <c r="I87" s="2"/>
      <c r="J87" s="7">
        <f t="shared" si="61"/>
        <v>6.9370422660644859E-2</v>
      </c>
      <c r="K87" s="2"/>
      <c r="L87" s="6">
        <f t="shared" si="62"/>
        <v>-11925.52</v>
      </c>
      <c r="M87" s="2"/>
      <c r="N87" s="7">
        <f t="shared" si="63"/>
        <v>-1</v>
      </c>
      <c r="O87" s="11"/>
      <c r="P87" s="6">
        <v>193.5</v>
      </c>
      <c r="Q87" s="2"/>
      <c r="R87" s="7">
        <f t="shared" si="64"/>
        <v>3.6419274475089234E-5</v>
      </c>
      <c r="S87" s="2"/>
      <c r="T87" s="6">
        <v>49894.03</v>
      </c>
      <c r="U87" s="2"/>
      <c r="V87" s="7">
        <f t="shared" si="65"/>
        <v>7.4085565227576131E-2</v>
      </c>
      <c r="W87" s="2"/>
      <c r="X87" s="6">
        <f t="shared" si="66"/>
        <v>-49700.53</v>
      </c>
      <c r="Y87" s="2"/>
      <c r="Z87" s="7">
        <f t="shared" si="67"/>
        <v>-0.99612178050159506</v>
      </c>
    </row>
    <row r="88" spans="1:26" s="24" customFormat="1" hidden="1" outlineLevel="2" x14ac:dyDescent="0.3">
      <c r="A88" s="27"/>
      <c r="B88" s="11" t="str">
        <f>CONCATENATE("          ", "6237", " - ", "JANITORIAL SUPPLIES")</f>
        <v xml:space="preserve">          6237 - JANITORIAL SUPPLIES</v>
      </c>
      <c r="C88" s="11"/>
      <c r="D88" s="6">
        <v>4642.7700000000004</v>
      </c>
      <c r="E88" s="2"/>
      <c r="F88" s="7">
        <f t="shared" si="60"/>
        <v>3.3460681448895789E-3</v>
      </c>
      <c r="G88" s="2"/>
      <c r="H88" s="6">
        <v>462.1</v>
      </c>
      <c r="I88" s="2"/>
      <c r="J88" s="7">
        <f t="shared" si="61"/>
        <v>2.6880230221813378E-3</v>
      </c>
      <c r="K88" s="2"/>
      <c r="L88" s="6">
        <f t="shared" si="62"/>
        <v>4180.67</v>
      </c>
      <c r="M88" s="2"/>
      <c r="N88" s="7">
        <f t="shared" si="63"/>
        <v>9.0471110149318328</v>
      </c>
      <c r="O88" s="11"/>
      <c r="P88" s="6">
        <v>32093.98</v>
      </c>
      <c r="Q88" s="2"/>
      <c r="R88" s="7">
        <f t="shared" si="64"/>
        <v>6.0405140393696346E-3</v>
      </c>
      <c r="S88" s="2"/>
      <c r="T88" s="6">
        <v>8622.31</v>
      </c>
      <c r="U88" s="2"/>
      <c r="V88" s="7">
        <f t="shared" si="65"/>
        <v>1.2802908683010412E-2</v>
      </c>
      <c r="W88" s="2"/>
      <c r="X88" s="6">
        <f t="shared" si="66"/>
        <v>23471.67</v>
      </c>
      <c r="Y88" s="2"/>
      <c r="Z88" s="7">
        <f t="shared" si="67"/>
        <v>2.7222020549017607</v>
      </c>
    </row>
    <row r="89" spans="1:26" s="24" customFormat="1" hidden="1" outlineLevel="2" x14ac:dyDescent="0.3">
      <c r="A89" s="27"/>
      <c r="B89" s="11" t="str">
        <f>CONCATENATE("          ", "6239", " - ", "KITCHEN SUPPLIES")</f>
        <v xml:space="preserve">          6239 - KITCHEN SUPPLIES</v>
      </c>
      <c r="C89" s="11"/>
      <c r="D89" s="6">
        <v>1163.5</v>
      </c>
      <c r="E89" s="2"/>
      <c r="F89" s="7">
        <f t="shared" si="60"/>
        <v>8.3854041586790319E-4</v>
      </c>
      <c r="G89" s="2"/>
      <c r="H89" s="6">
        <v>1494.83</v>
      </c>
      <c r="I89" s="2"/>
      <c r="J89" s="7">
        <f t="shared" si="61"/>
        <v>8.695385098998764E-3</v>
      </c>
      <c r="K89" s="2"/>
      <c r="L89" s="6">
        <f t="shared" si="62"/>
        <v>-331.32999999999993</v>
      </c>
      <c r="M89" s="2"/>
      <c r="N89" s="7">
        <f t="shared" si="63"/>
        <v>-0.22165062247881026</v>
      </c>
      <c r="O89" s="11"/>
      <c r="P89" s="6">
        <v>26277.119999999999</v>
      </c>
      <c r="Q89" s="2"/>
      <c r="R89" s="7">
        <f t="shared" si="64"/>
        <v>4.9457035953222568E-3</v>
      </c>
      <c r="S89" s="2"/>
      <c r="T89" s="6">
        <v>5686.34</v>
      </c>
      <c r="U89" s="2"/>
      <c r="V89" s="7">
        <f t="shared" si="65"/>
        <v>8.4434092210265502E-3</v>
      </c>
      <c r="W89" s="2"/>
      <c r="X89" s="6">
        <f t="shared" si="66"/>
        <v>20590.78</v>
      </c>
      <c r="Y89" s="2"/>
      <c r="Z89" s="7">
        <f t="shared" si="67"/>
        <v>3.6210954673832374</v>
      </c>
    </row>
    <row r="90" spans="1:26" s="24" customFormat="1" hidden="1" outlineLevel="2" x14ac:dyDescent="0.3">
      <c r="A90" s="27"/>
      <c r="B90" s="11" t="str">
        <f>CONCATENATE("          ", "6241", " - ", "OFFICE EXPENSE")</f>
        <v xml:space="preserve">          6241 - OFFICE EXPENSE</v>
      </c>
      <c r="C90" s="11"/>
      <c r="D90" s="6">
        <v>816.89</v>
      </c>
      <c r="E90" s="2"/>
      <c r="F90" s="7">
        <f t="shared" si="60"/>
        <v>5.8873681161867762E-4</v>
      </c>
      <c r="G90" s="2"/>
      <c r="H90" s="6">
        <v>1207.05</v>
      </c>
      <c r="I90" s="2"/>
      <c r="J90" s="7">
        <f t="shared" si="61"/>
        <v>7.021376734308556E-3</v>
      </c>
      <c r="K90" s="2"/>
      <c r="L90" s="6">
        <f t="shared" si="62"/>
        <v>-390.15999999999997</v>
      </c>
      <c r="M90" s="2"/>
      <c r="N90" s="7">
        <f t="shared" si="63"/>
        <v>-0.32323433163497783</v>
      </c>
      <c r="O90" s="11"/>
      <c r="P90" s="6">
        <v>17609.150000000001</v>
      </c>
      <c r="Q90" s="2"/>
      <c r="R90" s="7">
        <f t="shared" si="64"/>
        <v>3.314276315881228E-3</v>
      </c>
      <c r="S90" s="2"/>
      <c r="T90" s="6">
        <v>-26561.35</v>
      </c>
      <c r="U90" s="2"/>
      <c r="V90" s="7">
        <f t="shared" si="65"/>
        <v>-3.9439841358925691E-2</v>
      </c>
      <c r="W90" s="2"/>
      <c r="X90" s="6">
        <f t="shared" si="66"/>
        <v>44170.5</v>
      </c>
      <c r="Y90" s="2"/>
      <c r="Z90" s="7">
        <f t="shared" si="67"/>
        <v>-1.6629614082115556</v>
      </c>
    </row>
    <row r="91" spans="1:26" s="24" customFormat="1" hidden="1" outlineLevel="2" x14ac:dyDescent="0.3">
      <c r="A91" s="27"/>
      <c r="B91" s="11" t="str">
        <f>CONCATENATE("          ", "6243", " - ", "PAPER SUPPLIES")</f>
        <v xml:space="preserve">          6243 - PAPER SUPPLIES</v>
      </c>
      <c r="C91" s="11"/>
      <c r="D91" s="6">
        <v>14679.37</v>
      </c>
      <c r="E91" s="2"/>
      <c r="F91" s="7">
        <f t="shared" si="60"/>
        <v>1.0579497227742865E-2</v>
      </c>
      <c r="G91" s="2"/>
      <c r="H91" s="6">
        <v>5686.88</v>
      </c>
      <c r="I91" s="2"/>
      <c r="J91" s="7">
        <f t="shared" si="61"/>
        <v>3.3080424939153009E-2</v>
      </c>
      <c r="K91" s="2"/>
      <c r="L91" s="6">
        <f t="shared" si="62"/>
        <v>8992.4900000000016</v>
      </c>
      <c r="M91" s="2"/>
      <c r="N91" s="7">
        <f t="shared" si="63"/>
        <v>1.5812695186112598</v>
      </c>
      <c r="O91" s="11"/>
      <c r="P91" s="6">
        <v>112292.05</v>
      </c>
      <c r="Q91" s="2"/>
      <c r="R91" s="7">
        <f t="shared" si="64"/>
        <v>2.1134857831113407E-2</v>
      </c>
      <c r="S91" s="2"/>
      <c r="T91" s="6">
        <v>11979.69</v>
      </c>
      <c r="U91" s="2"/>
      <c r="V91" s="7">
        <f t="shared" si="65"/>
        <v>1.7788142286785446E-2</v>
      </c>
      <c r="W91" s="2"/>
      <c r="X91" s="6">
        <f t="shared" si="66"/>
        <v>100312.36</v>
      </c>
      <c r="Y91" s="2"/>
      <c r="Z91" s="7">
        <f t="shared" si="67"/>
        <v>8.3735355422385727</v>
      </c>
    </row>
    <row r="92" spans="1:26" s="24" customFormat="1" hidden="1" outlineLevel="2" x14ac:dyDescent="0.3">
      <c r="A92" s="27"/>
      <c r="B92" s="11" t="str">
        <f>CONCATENATE("          ", "6245", " - ", "PRINTING")</f>
        <v xml:space="preserve">          6245 - PRINTING</v>
      </c>
      <c r="C92" s="11"/>
      <c r="D92" s="6"/>
      <c r="E92" s="2"/>
      <c r="F92" s="7">
        <f t="shared" si="60"/>
        <v>0</v>
      </c>
      <c r="G92" s="2"/>
      <c r="H92" s="6"/>
      <c r="I92" s="2"/>
      <c r="J92" s="7">
        <f t="shared" si="61"/>
        <v>0</v>
      </c>
      <c r="K92" s="2"/>
      <c r="L92" s="6">
        <f t="shared" si="62"/>
        <v>0</v>
      </c>
      <c r="M92" s="2"/>
      <c r="N92" s="7">
        <f t="shared" si="63"/>
        <v>0</v>
      </c>
      <c r="O92" s="11"/>
      <c r="P92" s="6">
        <v>1071</v>
      </c>
      <c r="Q92" s="2"/>
      <c r="R92" s="7">
        <f t="shared" si="64"/>
        <v>2.0157644942026134E-4</v>
      </c>
      <c r="S92" s="2"/>
      <c r="T92" s="6"/>
      <c r="U92" s="2"/>
      <c r="V92" s="7">
        <f t="shared" si="65"/>
        <v>0</v>
      </c>
      <c r="W92" s="2"/>
      <c r="X92" s="6">
        <f t="shared" si="66"/>
        <v>1071</v>
      </c>
      <c r="Y92" s="2"/>
      <c r="Z92" s="7">
        <f t="shared" si="67"/>
        <v>0</v>
      </c>
    </row>
    <row r="93" spans="1:26" s="24" customFormat="1" hidden="1" outlineLevel="2" x14ac:dyDescent="0.3">
      <c r="A93" s="27"/>
      <c r="B93" s="11" t="str">
        <f>CONCATENATE("          ", "6247", " - ", "STORE SUPPLIES")</f>
        <v xml:space="preserve">          6247 - STORE SUPPLIES</v>
      </c>
      <c r="C93" s="11"/>
      <c r="D93" s="6">
        <v>116.23</v>
      </c>
      <c r="E93" s="2"/>
      <c r="F93" s="7">
        <f t="shared" si="60"/>
        <v>8.3767556971488081E-5</v>
      </c>
      <c r="G93" s="2"/>
      <c r="H93" s="6"/>
      <c r="I93" s="2"/>
      <c r="J93" s="7">
        <f t="shared" si="61"/>
        <v>0</v>
      </c>
      <c r="K93" s="2"/>
      <c r="L93" s="6">
        <f t="shared" si="62"/>
        <v>116.23</v>
      </c>
      <c r="M93" s="2"/>
      <c r="N93" s="7">
        <f t="shared" si="63"/>
        <v>0</v>
      </c>
      <c r="O93" s="11"/>
      <c r="P93" s="6">
        <v>1300.6400000000001</v>
      </c>
      <c r="Q93" s="2"/>
      <c r="R93" s="7">
        <f t="shared" si="64"/>
        <v>2.4479775273012952E-4</v>
      </c>
      <c r="S93" s="2"/>
      <c r="T93" s="6"/>
      <c r="U93" s="2"/>
      <c r="V93" s="7">
        <f t="shared" si="65"/>
        <v>0</v>
      </c>
      <c r="W93" s="2"/>
      <c r="X93" s="6">
        <f t="shared" si="66"/>
        <v>1300.6400000000001</v>
      </c>
      <c r="Y93" s="2"/>
      <c r="Z93" s="7">
        <f t="shared" si="67"/>
        <v>0</v>
      </c>
    </row>
    <row r="94" spans="1:26" s="24" customFormat="1" hidden="1" outlineLevel="2" x14ac:dyDescent="0.3">
      <c r="A94" s="27"/>
      <c r="B94" s="11" t="str">
        <f>CONCATENATE("          ", "6248", " - ", "UNIFORMS")</f>
        <v xml:space="preserve">          6248 - UNIFORMS</v>
      </c>
      <c r="C94" s="11"/>
      <c r="D94" s="6">
        <v>252.95</v>
      </c>
      <c r="E94" s="2"/>
      <c r="F94" s="7">
        <f t="shared" si="60"/>
        <v>1.8230236200583247E-4</v>
      </c>
      <c r="G94" s="2"/>
      <c r="H94" s="6">
        <v>685.91</v>
      </c>
      <c r="I94" s="2"/>
      <c r="J94" s="7">
        <f t="shared" si="61"/>
        <v>3.9899196519030539E-3</v>
      </c>
      <c r="K94" s="2"/>
      <c r="L94" s="6">
        <f t="shared" si="62"/>
        <v>-432.96</v>
      </c>
      <c r="M94" s="2"/>
      <c r="N94" s="7">
        <f t="shared" si="63"/>
        <v>-0.63121983933752246</v>
      </c>
      <c r="O94" s="11"/>
      <c r="P94" s="6">
        <v>5864.18</v>
      </c>
      <c r="Q94" s="2"/>
      <c r="R94" s="7">
        <f t="shared" si="64"/>
        <v>1.1037166976296062E-3</v>
      </c>
      <c r="S94" s="2"/>
      <c r="T94" s="6">
        <v>4500.59</v>
      </c>
      <c r="U94" s="2"/>
      <c r="V94" s="7">
        <f t="shared" si="65"/>
        <v>6.6827384760777368E-3</v>
      </c>
      <c r="W94" s="2"/>
      <c r="X94" s="6">
        <f t="shared" si="66"/>
        <v>1363.5900000000001</v>
      </c>
      <c r="Y94" s="2"/>
      <c r="Z94" s="7">
        <f t="shared" si="67"/>
        <v>0.30298027591937948</v>
      </c>
    </row>
    <row r="95" spans="1:26" s="29" customFormat="1" outlineLevel="1" collapsed="1" x14ac:dyDescent="0.3">
      <c r="A95" s="28"/>
      <c r="B95" s="14" t="str">
        <f>CONCATENATE("     ","Telephone/Data Lines                              ")</f>
        <v xml:space="preserve">     Telephone/Data Lines                              </v>
      </c>
      <c r="C95" s="14"/>
      <c r="D95" s="1">
        <f>SUM(OSRRefD22_20x_0)</f>
        <v>1356.1</v>
      </c>
      <c r="E95" s="1"/>
      <c r="F95" s="5">
        <f t="shared" ref="F95:F101" si="68">IF(D$12=0,0,D95/D$12)</f>
        <v>9.7734822342798755E-4</v>
      </c>
      <c r="G95" s="1"/>
      <c r="H95" s="1">
        <f>SUM(OSRRefH22_20x_0)</f>
        <v>1120.0999999999999</v>
      </c>
      <c r="I95" s="1"/>
      <c r="J95" s="5">
        <f t="shared" ref="J95:J101" si="69">IF(H$12=0,0,H95/H$12)</f>
        <v>6.5155909698015931E-3</v>
      </c>
      <c r="K95" s="1"/>
      <c r="L95" s="1">
        <f t="shared" ref="L95:L101" si="70">+D95-H95</f>
        <v>236</v>
      </c>
      <c r="M95" s="1"/>
      <c r="N95" s="5">
        <f t="shared" ref="N95:N101" si="71">IF(H95=0,0,L95/H95)</f>
        <v>0.21069547361842694</v>
      </c>
      <c r="O95" s="14"/>
      <c r="P95" s="1">
        <f>SUM(OSRRefP22_20x_0)</f>
        <v>7469.34</v>
      </c>
      <c r="Q95" s="1"/>
      <c r="R95" s="5">
        <f t="shared" ref="R95:R101" si="72">IF(P$12=0,0,P95/P$12)</f>
        <v>1.4058291659315918E-3</v>
      </c>
      <c r="S95" s="1"/>
      <c r="T95" s="1">
        <f>SUM(OSRRefT22_20x_0)</f>
        <v>7343.49</v>
      </c>
      <c r="U95" s="1"/>
      <c r="V95" s="5">
        <f t="shared" ref="V95:V101" si="73">IF(T$12=0,0,T95/T$12)</f>
        <v>1.090404217484643E-2</v>
      </c>
      <c r="W95" s="1"/>
      <c r="X95" s="1">
        <f t="shared" ref="X95:X101" si="74">+P95-T95</f>
        <v>125.85000000000036</v>
      </c>
      <c r="Y95" s="1"/>
      <c r="Z95" s="5">
        <f t="shared" ref="Z95:Z101" si="75">IF(T95=0,0,X95/T95)</f>
        <v>1.7137628021553834E-2</v>
      </c>
    </row>
    <row r="96" spans="1:26" s="24" customFormat="1" hidden="1" outlineLevel="2" x14ac:dyDescent="0.3">
      <c r="A96" s="27"/>
      <c r="B96" s="11" t="str">
        <f>CONCATENATE("          ", "6309", " - ", "TELEPHONE")</f>
        <v xml:space="preserve">          6309 - TELEPHONE</v>
      </c>
      <c r="C96" s="11"/>
      <c r="D96" s="6">
        <v>1356.1</v>
      </c>
      <c r="E96" s="2"/>
      <c r="F96" s="7">
        <f t="shared" si="68"/>
        <v>9.7734822342798755E-4</v>
      </c>
      <c r="G96" s="2"/>
      <c r="H96" s="6">
        <v>1120.0999999999999</v>
      </c>
      <c r="I96" s="2"/>
      <c r="J96" s="7">
        <f t="shared" si="69"/>
        <v>6.5155909698015931E-3</v>
      </c>
      <c r="K96" s="2"/>
      <c r="L96" s="6">
        <f t="shared" si="70"/>
        <v>236</v>
      </c>
      <c r="M96" s="2"/>
      <c r="N96" s="7">
        <f t="shared" si="71"/>
        <v>0.21069547361842694</v>
      </c>
      <c r="O96" s="11"/>
      <c r="P96" s="6">
        <v>7469.34</v>
      </c>
      <c r="Q96" s="2"/>
      <c r="R96" s="7">
        <f t="shared" si="72"/>
        <v>1.4058291659315918E-3</v>
      </c>
      <c r="S96" s="2"/>
      <c r="T96" s="6">
        <v>7343.49</v>
      </c>
      <c r="U96" s="2"/>
      <c r="V96" s="7">
        <f t="shared" si="73"/>
        <v>1.090404217484643E-2</v>
      </c>
      <c r="W96" s="2"/>
      <c r="X96" s="6">
        <f t="shared" si="74"/>
        <v>125.85000000000036</v>
      </c>
      <c r="Y96" s="2"/>
      <c r="Z96" s="7">
        <f t="shared" si="75"/>
        <v>1.7137628021553834E-2</v>
      </c>
    </row>
    <row r="97" spans="1:26" s="29" customFormat="1" outlineLevel="1" collapsed="1" x14ac:dyDescent="0.3">
      <c r="A97" s="28"/>
      <c r="B97" s="14" t="str">
        <f>CONCATENATE("     ","Training                                          ")</f>
        <v xml:space="preserve">     Training                                          </v>
      </c>
      <c r="C97" s="14"/>
      <c r="D97" s="1">
        <f>SUM(OSRRefD22_21x_0)</f>
        <v>245</v>
      </c>
      <c r="E97" s="1"/>
      <c r="F97" s="5">
        <f t="shared" si="68"/>
        <v>1.7657275624205954E-4</v>
      </c>
      <c r="G97" s="1"/>
      <c r="H97" s="1">
        <f>SUM(OSRRefH22_21x_0)</f>
        <v>400</v>
      </c>
      <c r="I97" s="1"/>
      <c r="J97" s="5">
        <f t="shared" si="69"/>
        <v>2.32678902590897E-3</v>
      </c>
      <c r="K97" s="1"/>
      <c r="L97" s="1">
        <f t="shared" si="70"/>
        <v>-155</v>
      </c>
      <c r="M97" s="1"/>
      <c r="N97" s="5">
        <f t="shared" si="71"/>
        <v>-0.38750000000000001</v>
      </c>
      <c r="O97" s="14"/>
      <c r="P97" s="1">
        <f>SUM(OSRRefP22_21x_0)</f>
        <v>245</v>
      </c>
      <c r="Q97" s="1"/>
      <c r="R97" s="5">
        <f t="shared" si="72"/>
        <v>4.6112259671301614E-5</v>
      </c>
      <c r="S97" s="1"/>
      <c r="T97" s="1">
        <f>SUM(OSRRefT22_21x_0)</f>
        <v>1135</v>
      </c>
      <c r="U97" s="1"/>
      <c r="V97" s="5">
        <f t="shared" si="73"/>
        <v>1.6853141855508347E-3</v>
      </c>
      <c r="W97" s="1"/>
      <c r="X97" s="1">
        <f t="shared" si="74"/>
        <v>-890</v>
      </c>
      <c r="Y97" s="1"/>
      <c r="Z97" s="5">
        <f t="shared" si="75"/>
        <v>-0.78414096916299558</v>
      </c>
    </row>
    <row r="98" spans="1:26" s="24" customFormat="1" hidden="1" outlineLevel="2" x14ac:dyDescent="0.3">
      <c r="A98" s="27"/>
      <c r="B98" s="11" t="str">
        <f>CONCATENATE("          ", "6376", " - ", "TRAINING")</f>
        <v xml:space="preserve">          6376 - TRAINING</v>
      </c>
      <c r="C98" s="11"/>
      <c r="D98" s="6">
        <v>245</v>
      </c>
      <c r="E98" s="2"/>
      <c r="F98" s="7">
        <f t="shared" si="68"/>
        <v>1.7657275624205954E-4</v>
      </c>
      <c r="G98" s="2"/>
      <c r="H98" s="6">
        <v>400</v>
      </c>
      <c r="I98" s="2"/>
      <c r="J98" s="7">
        <f t="shared" si="69"/>
        <v>2.32678902590897E-3</v>
      </c>
      <c r="K98" s="2"/>
      <c r="L98" s="6">
        <f t="shared" si="70"/>
        <v>-155</v>
      </c>
      <c r="M98" s="2"/>
      <c r="N98" s="7">
        <f t="shared" si="71"/>
        <v>-0.38750000000000001</v>
      </c>
      <c r="O98" s="11"/>
      <c r="P98" s="6">
        <v>245</v>
      </c>
      <c r="Q98" s="2"/>
      <c r="R98" s="7">
        <f t="shared" si="72"/>
        <v>4.6112259671301614E-5</v>
      </c>
      <c r="S98" s="2"/>
      <c r="T98" s="6">
        <v>1135</v>
      </c>
      <c r="U98" s="2"/>
      <c r="V98" s="7">
        <f t="shared" si="73"/>
        <v>1.6853141855508347E-3</v>
      </c>
      <c r="W98" s="2"/>
      <c r="X98" s="6">
        <f t="shared" si="74"/>
        <v>-890</v>
      </c>
      <c r="Y98" s="2"/>
      <c r="Z98" s="7">
        <f t="shared" si="75"/>
        <v>-0.78414096916299558</v>
      </c>
    </row>
    <row r="99" spans="1:26" s="29" customFormat="1" outlineLevel="1" collapsed="1" x14ac:dyDescent="0.3">
      <c r="A99" s="28"/>
      <c r="B99" s="14" t="str">
        <f>CONCATENATE("     ","Travel                                            ")</f>
        <v xml:space="preserve">     Travel                                            </v>
      </c>
      <c r="C99" s="14"/>
      <c r="D99" s="1">
        <f>SUM(OSRRefD22_22x_0)</f>
        <v>18.59</v>
      </c>
      <c r="E99" s="1"/>
      <c r="F99" s="5">
        <f t="shared" si="68"/>
        <v>1.3397908320570967E-5</v>
      </c>
      <c r="G99" s="1"/>
      <c r="H99" s="1">
        <f>SUM(OSRRefH22_22x_0)</f>
        <v>0</v>
      </c>
      <c r="I99" s="1"/>
      <c r="J99" s="5">
        <f t="shared" si="69"/>
        <v>0</v>
      </c>
      <c r="K99" s="1"/>
      <c r="L99" s="1">
        <f t="shared" si="70"/>
        <v>18.59</v>
      </c>
      <c r="M99" s="1"/>
      <c r="N99" s="5">
        <f t="shared" si="71"/>
        <v>0</v>
      </c>
      <c r="O99" s="14"/>
      <c r="P99" s="1">
        <f>SUM(OSRRefP22_22x_0)</f>
        <v>717.61</v>
      </c>
      <c r="Q99" s="1"/>
      <c r="R99" s="5">
        <f t="shared" si="72"/>
        <v>1.3506374964376632E-4</v>
      </c>
      <c r="S99" s="1"/>
      <c r="T99" s="1">
        <f>SUM(OSRRefT22_22x_0)</f>
        <v>332.21</v>
      </c>
      <c r="U99" s="1"/>
      <c r="V99" s="5">
        <f t="shared" si="73"/>
        <v>4.932847802483196E-4</v>
      </c>
      <c r="W99" s="1"/>
      <c r="X99" s="1">
        <f t="shared" si="74"/>
        <v>385.40000000000003</v>
      </c>
      <c r="Y99" s="1"/>
      <c r="Z99" s="5">
        <f t="shared" si="75"/>
        <v>1.1601095692483672</v>
      </c>
    </row>
    <row r="100" spans="1:26" s="24" customFormat="1" hidden="1" outlineLevel="2" x14ac:dyDescent="0.3">
      <c r="A100" s="27"/>
      <c r="B100" s="11" t="str">
        <f>CONCATENATE("          ", "6292", " - ", "TRAVEL/CONFERENCE")</f>
        <v xml:space="preserve">          6292 - TRAVEL/CONFERENCE</v>
      </c>
      <c r="C100" s="11"/>
      <c r="D100" s="6">
        <v>18.59</v>
      </c>
      <c r="E100" s="2"/>
      <c r="F100" s="7">
        <f t="shared" si="68"/>
        <v>1.3397908320570967E-5</v>
      </c>
      <c r="G100" s="2"/>
      <c r="H100" s="6"/>
      <c r="I100" s="2"/>
      <c r="J100" s="7">
        <f t="shared" si="69"/>
        <v>0</v>
      </c>
      <c r="K100" s="2"/>
      <c r="L100" s="6">
        <f t="shared" si="70"/>
        <v>18.59</v>
      </c>
      <c r="M100" s="2"/>
      <c r="N100" s="7">
        <f t="shared" si="71"/>
        <v>0</v>
      </c>
      <c r="O100" s="11"/>
      <c r="P100" s="6">
        <v>613.59</v>
      </c>
      <c r="Q100" s="2"/>
      <c r="R100" s="7">
        <f t="shared" si="72"/>
        <v>1.1548580168046513E-4</v>
      </c>
      <c r="S100" s="2"/>
      <c r="T100" s="6"/>
      <c r="U100" s="2"/>
      <c r="V100" s="7">
        <f t="shared" si="73"/>
        <v>0</v>
      </c>
      <c r="W100" s="2"/>
      <c r="X100" s="6">
        <f t="shared" si="74"/>
        <v>613.59</v>
      </c>
      <c r="Y100" s="2"/>
      <c r="Z100" s="7">
        <f t="shared" si="75"/>
        <v>0</v>
      </c>
    </row>
    <row r="101" spans="1:26" s="24" customFormat="1" hidden="1" outlineLevel="2" x14ac:dyDescent="0.3">
      <c r="A101" s="27"/>
      <c r="B101" s="11" t="str">
        <f>CONCATENATE("          ", "6298", " - ", "VEHICLE MILEAGE")</f>
        <v xml:space="preserve">          6298 - VEHICLE MILEAGE</v>
      </c>
      <c r="C101" s="11"/>
      <c r="D101" s="6"/>
      <c r="E101" s="2"/>
      <c r="F101" s="7">
        <f t="shared" si="68"/>
        <v>0</v>
      </c>
      <c r="G101" s="2"/>
      <c r="H101" s="6"/>
      <c r="I101" s="2"/>
      <c r="J101" s="7">
        <f t="shared" si="69"/>
        <v>0</v>
      </c>
      <c r="K101" s="2"/>
      <c r="L101" s="6">
        <f t="shared" si="70"/>
        <v>0</v>
      </c>
      <c r="M101" s="2"/>
      <c r="N101" s="7">
        <f t="shared" si="71"/>
        <v>0</v>
      </c>
      <c r="O101" s="11"/>
      <c r="P101" s="6">
        <v>104.02</v>
      </c>
      <c r="Q101" s="2"/>
      <c r="R101" s="7">
        <f t="shared" si="72"/>
        <v>1.9577947963301199E-5</v>
      </c>
      <c r="S101" s="2"/>
      <c r="T101" s="6">
        <v>332.21</v>
      </c>
      <c r="U101" s="2"/>
      <c r="V101" s="7">
        <f t="shared" si="73"/>
        <v>4.932847802483196E-4</v>
      </c>
      <c r="W101" s="2"/>
      <c r="X101" s="6">
        <f t="shared" si="74"/>
        <v>-228.19</v>
      </c>
      <c r="Y101" s="2"/>
      <c r="Z101" s="7">
        <f t="shared" si="75"/>
        <v>-0.68688480178200539</v>
      </c>
    </row>
    <row r="102" spans="1:26" s="29" customFormat="1" outlineLevel="1" collapsed="1" x14ac:dyDescent="0.3">
      <c r="A102" s="28"/>
      <c r="B102" s="14" t="str">
        <f>CONCATENATE("     ","Utilities                                         ")</f>
        <v xml:space="preserve">     Utilities                                         </v>
      </c>
      <c r="C102" s="14"/>
      <c r="D102" s="1">
        <f>SUM(OSRRefD22_23x_0)</f>
        <v>8150</v>
      </c>
      <c r="E102" s="1"/>
      <c r="F102" s="5">
        <f t="shared" ref="F102:F103" si="76">IF(D$12=0,0,D102/D$12)</f>
        <v>5.8737467892766744E-3</v>
      </c>
      <c r="G102" s="1"/>
      <c r="H102" s="1">
        <f>SUM(OSRRefH22_23x_0)</f>
        <v>3660</v>
      </c>
      <c r="I102" s="1"/>
      <c r="J102" s="5">
        <f t="shared" ref="J102:J103" si="77">IF(H$12=0,0,H102/H$12)</f>
        <v>2.1290119587067079E-2</v>
      </c>
      <c r="K102" s="1"/>
      <c r="L102" s="1">
        <f t="shared" ref="L102:L103" si="78">+D102-H102</f>
        <v>4490</v>
      </c>
      <c r="M102" s="1"/>
      <c r="N102" s="5">
        <f t="shared" ref="N102:N103" si="79">IF(H102=0,0,L102/H102)</f>
        <v>1.2267759562841529</v>
      </c>
      <c r="O102" s="14"/>
      <c r="P102" s="1">
        <f>SUM(OSRRefP22_23x_0)</f>
        <v>38350</v>
      </c>
      <c r="Q102" s="1"/>
      <c r="R102" s="5">
        <f t="shared" ref="R102:R103" si="80">IF(P$12=0,0,P102/P$12)</f>
        <v>7.2179802383445582E-3</v>
      </c>
      <c r="S102" s="1"/>
      <c r="T102" s="1">
        <f>SUM(OSRRefT22_23x_0)</f>
        <v>-2668</v>
      </c>
      <c r="U102" s="1"/>
      <c r="V102" s="5">
        <f t="shared" ref="V102:V103" si="81">IF(T$12=0,0,T102/T$12)</f>
        <v>-3.9616019797794073E-3</v>
      </c>
      <c r="W102" s="1"/>
      <c r="X102" s="1">
        <f t="shared" ref="X102:X103" si="82">+P102-T102</f>
        <v>41018</v>
      </c>
      <c r="Y102" s="1"/>
      <c r="Z102" s="5">
        <f t="shared" ref="Z102:Z103" si="83">IF(T102=0,0,X102/T102)</f>
        <v>-15.374062968515743</v>
      </c>
    </row>
    <row r="103" spans="1:26" s="24" customFormat="1" hidden="1" outlineLevel="2" x14ac:dyDescent="0.3">
      <c r="A103" s="27"/>
      <c r="B103" s="11" t="str">
        <f>CONCATENATE("          ", "6274", " - ", "UTILITIES")</f>
        <v xml:space="preserve">          6274 - UTILITIES</v>
      </c>
      <c r="C103" s="11"/>
      <c r="D103" s="6">
        <v>8150</v>
      </c>
      <c r="E103" s="2"/>
      <c r="F103" s="7">
        <f t="shared" si="76"/>
        <v>5.8737467892766744E-3</v>
      </c>
      <c r="G103" s="2"/>
      <c r="H103" s="6">
        <v>3660</v>
      </c>
      <c r="I103" s="2"/>
      <c r="J103" s="7">
        <f t="shared" si="77"/>
        <v>2.1290119587067079E-2</v>
      </c>
      <c r="K103" s="2"/>
      <c r="L103" s="6">
        <f t="shared" si="78"/>
        <v>4490</v>
      </c>
      <c r="M103" s="2"/>
      <c r="N103" s="7">
        <f t="shared" si="79"/>
        <v>1.2267759562841529</v>
      </c>
      <c r="O103" s="11"/>
      <c r="P103" s="6">
        <v>38350</v>
      </c>
      <c r="Q103" s="2"/>
      <c r="R103" s="7">
        <f t="shared" si="80"/>
        <v>7.2179802383445582E-3</v>
      </c>
      <c r="S103" s="2"/>
      <c r="T103" s="6">
        <v>-2668</v>
      </c>
      <c r="U103" s="2"/>
      <c r="V103" s="7">
        <f t="shared" si="81"/>
        <v>-3.9616019797794073E-3</v>
      </c>
      <c r="W103" s="2"/>
      <c r="X103" s="6">
        <f t="shared" si="82"/>
        <v>41018</v>
      </c>
      <c r="Y103" s="2"/>
      <c r="Z103" s="7">
        <f t="shared" si="83"/>
        <v>-15.374062968515743</v>
      </c>
    </row>
    <row r="104" spans="1:26" s="62" customFormat="1" x14ac:dyDescent="0.3">
      <c r="A104" s="37"/>
      <c r="B104" s="37"/>
      <c r="C104" s="37"/>
      <c r="D104" s="1"/>
      <c r="E104" s="1"/>
      <c r="F104" s="5"/>
      <c r="G104" s="1"/>
      <c r="H104" s="1"/>
      <c r="I104" s="1"/>
      <c r="J104" s="5"/>
      <c r="K104" s="1"/>
      <c r="L104" s="1"/>
      <c r="M104" s="1"/>
      <c r="N104" s="5"/>
      <c r="O104" s="37"/>
      <c r="P104" s="1"/>
      <c r="Q104" s="1"/>
      <c r="R104" s="5"/>
      <c r="S104" s="1"/>
      <c r="T104" s="1"/>
      <c r="U104" s="1"/>
      <c r="V104" s="5"/>
      <c r="W104" s="1"/>
      <c r="X104" s="1"/>
      <c r="Y104" s="1"/>
      <c r="Z104" s="5"/>
    </row>
    <row r="105" spans="1:26" s="23" customFormat="1" collapsed="1" x14ac:dyDescent="0.3">
      <c r="A105" s="10"/>
      <c r="B105" s="26" t="s">
        <v>292</v>
      </c>
      <c r="C105" s="10"/>
      <c r="D105" s="4">
        <f>SUM(OSRRefD25x_0)</f>
        <v>6011.63</v>
      </c>
      <c r="E105" s="4"/>
      <c r="F105" s="12">
        <f t="shared" ref="F105:F108" si="84">IF(D$12=0,0,D105/D$12)</f>
        <v>4.3326125657447033E-3</v>
      </c>
      <c r="G105" s="4"/>
      <c r="H105" s="4">
        <f>SUM(OSRRefH25x_0)</f>
        <v>173.47</v>
      </c>
      <c r="I105" s="4"/>
      <c r="J105" s="12">
        <f t="shared" ref="J105:J108" si="85">IF(H$12=0,0,H105/H$12)</f>
        <v>1.0090702308110727E-3</v>
      </c>
      <c r="K105" s="4"/>
      <c r="L105" s="4">
        <f t="shared" ref="L105:L108" si="86">+D105-H105</f>
        <v>5838.16</v>
      </c>
      <c r="M105" s="4"/>
      <c r="N105" s="12">
        <f t="shared" ref="N105:N108" si="87">IF(H105=0,0,L105/H105)</f>
        <v>33.655156511212311</v>
      </c>
      <c r="O105" s="10"/>
      <c r="P105" s="4">
        <f>SUM(OSRRefP25x_0)</f>
        <v>30018.35</v>
      </c>
      <c r="Q105" s="4"/>
      <c r="R105" s="12">
        <f t="shared" ref="R105:R108" si="88">IF(P$12=0,0,P105/P$12)</f>
        <v>5.649852857567415E-3</v>
      </c>
      <c r="S105" s="4"/>
      <c r="T105" s="4">
        <f>SUM(OSRRefT25x_0)</f>
        <v>4250.67</v>
      </c>
      <c r="U105" s="4"/>
      <c r="V105" s="12">
        <f t="shared" ref="V105:V108" si="89">IF(T$12=0,0,T105/T$12)</f>
        <v>6.3116426864276362E-3</v>
      </c>
      <c r="W105" s="4"/>
      <c r="X105" s="4">
        <f t="shared" ref="X105:X108" si="90">+P105-T105</f>
        <v>25767.68</v>
      </c>
      <c r="Y105" s="4"/>
      <c r="Z105" s="12">
        <f t="shared" ref="Z105:Z108" si="91">IF(T105=0,0,X105/T105)</f>
        <v>6.0620278685477818</v>
      </c>
    </row>
    <row r="106" spans="1:26" s="24" customFormat="1" hidden="1" outlineLevel="1" x14ac:dyDescent="0.3">
      <c r="A106" s="44"/>
      <c r="B106" s="11" t="str">
        <f>CONCATENATE("          ", "9150", " - ", "MISC. INCOME")</f>
        <v xml:space="preserve">          9150 - MISC. INCOME</v>
      </c>
      <c r="C106" s="11"/>
      <c r="D106" s="2">
        <f>--6011.63</f>
        <v>6011.63</v>
      </c>
      <c r="E106" s="2"/>
      <c r="F106" s="19">
        <f t="shared" si="84"/>
        <v>4.3326125657447033E-3</v>
      </c>
      <c r="G106" s="2"/>
      <c r="H106" s="2">
        <f t="shared" ref="H106:H107" si="92">0</f>
        <v>0</v>
      </c>
      <c r="I106" s="2"/>
      <c r="J106" s="19">
        <f t="shared" si="85"/>
        <v>0</v>
      </c>
      <c r="K106" s="2"/>
      <c r="L106" s="2">
        <f t="shared" si="86"/>
        <v>6011.63</v>
      </c>
      <c r="M106" s="2"/>
      <c r="N106" s="19">
        <f t="shared" si="87"/>
        <v>0</v>
      </c>
      <c r="O106" s="11"/>
      <c r="P106" s="2">
        <f>--30018.35</f>
        <v>30018.35</v>
      </c>
      <c r="Q106" s="2"/>
      <c r="R106" s="19">
        <f t="shared" si="88"/>
        <v>5.649852857567415E-3</v>
      </c>
      <c r="S106" s="2"/>
      <c r="T106" s="2">
        <f>--923.77</f>
        <v>923.77</v>
      </c>
      <c r="U106" s="2"/>
      <c r="V106" s="19">
        <f t="shared" si="89"/>
        <v>1.3716675640407881E-3</v>
      </c>
      <c r="W106" s="2"/>
      <c r="X106" s="2">
        <f t="shared" si="90"/>
        <v>29094.579999999998</v>
      </c>
      <c r="Y106" s="2"/>
      <c r="Z106" s="19">
        <f t="shared" si="91"/>
        <v>31.495480476742046</v>
      </c>
    </row>
    <row r="107" spans="1:26" s="24" customFormat="1" hidden="1" outlineLevel="1" x14ac:dyDescent="0.3">
      <c r="A107" s="44"/>
      <c r="B107" s="11" t="str">
        <f>CONCATENATE("          ", "9160", " - ", "MISC. INCOME")</f>
        <v xml:space="preserve">          9160 - MISC. INCOME</v>
      </c>
      <c r="C107" s="11"/>
      <c r="D107" s="2">
        <f t="shared" ref="D107:D108" si="93">0</f>
        <v>0</v>
      </c>
      <c r="E107" s="2"/>
      <c r="F107" s="19">
        <f t="shared" si="84"/>
        <v>0</v>
      </c>
      <c r="G107" s="2"/>
      <c r="H107" s="2">
        <f t="shared" si="92"/>
        <v>0</v>
      </c>
      <c r="I107" s="2"/>
      <c r="J107" s="19">
        <f t="shared" si="85"/>
        <v>0</v>
      </c>
      <c r="K107" s="2"/>
      <c r="L107" s="2">
        <f t="shared" si="86"/>
        <v>0</v>
      </c>
      <c r="M107" s="2"/>
      <c r="N107" s="19">
        <f t="shared" si="87"/>
        <v>0</v>
      </c>
      <c r="O107" s="11"/>
      <c r="P107" s="2">
        <f t="shared" ref="P107:P108" si="94">0</f>
        <v>0</v>
      </c>
      <c r="Q107" s="2"/>
      <c r="R107" s="19">
        <f t="shared" si="88"/>
        <v>0</v>
      </c>
      <c r="S107" s="2"/>
      <c r="T107" s="2">
        <f>--2328.25</f>
        <v>2328.25</v>
      </c>
      <c r="U107" s="2"/>
      <c r="V107" s="19">
        <f t="shared" si="89"/>
        <v>3.4571213678491019E-3</v>
      </c>
      <c r="W107" s="2"/>
      <c r="X107" s="2">
        <f t="shared" si="90"/>
        <v>-2328.25</v>
      </c>
      <c r="Y107" s="2"/>
      <c r="Z107" s="19">
        <f t="shared" si="91"/>
        <v>-1</v>
      </c>
    </row>
    <row r="108" spans="1:26" s="24" customFormat="1" hidden="1" outlineLevel="1" x14ac:dyDescent="0.3">
      <c r="A108" s="44"/>
      <c r="B108" s="11" t="str">
        <f>CONCATENATE("          ", "9165", " - ", "OTHER INCOME")</f>
        <v xml:space="preserve">          9165 - OTHER INCOME</v>
      </c>
      <c r="C108" s="11"/>
      <c r="D108" s="2">
        <f t="shared" si="93"/>
        <v>0</v>
      </c>
      <c r="E108" s="2"/>
      <c r="F108" s="19">
        <f t="shared" si="84"/>
        <v>0</v>
      </c>
      <c r="G108" s="2"/>
      <c r="H108" s="2">
        <f>--173.47</f>
        <v>173.47</v>
      </c>
      <c r="I108" s="2"/>
      <c r="J108" s="19">
        <f t="shared" si="85"/>
        <v>1.0090702308110727E-3</v>
      </c>
      <c r="K108" s="2"/>
      <c r="L108" s="2">
        <f t="shared" si="86"/>
        <v>-173.47</v>
      </c>
      <c r="M108" s="2"/>
      <c r="N108" s="19">
        <f t="shared" si="87"/>
        <v>-1</v>
      </c>
      <c r="O108" s="11"/>
      <c r="P108" s="2">
        <f t="shared" si="94"/>
        <v>0</v>
      </c>
      <c r="Q108" s="2"/>
      <c r="R108" s="19">
        <f t="shared" si="88"/>
        <v>0</v>
      </c>
      <c r="S108" s="2"/>
      <c r="T108" s="2">
        <f>--998.65</f>
        <v>998.65</v>
      </c>
      <c r="U108" s="2"/>
      <c r="V108" s="19">
        <f t="shared" si="89"/>
        <v>1.4828537545377453E-3</v>
      </c>
      <c r="W108" s="2"/>
      <c r="X108" s="2">
        <f t="shared" si="90"/>
        <v>-998.65</v>
      </c>
      <c r="Y108" s="2"/>
      <c r="Z108" s="19">
        <f t="shared" si="91"/>
        <v>-1</v>
      </c>
    </row>
    <row r="109" spans="1:26" x14ac:dyDescent="0.3">
      <c r="A109" s="9"/>
      <c r="B109" s="10"/>
      <c r="C109" s="10"/>
      <c r="D109" s="3"/>
      <c r="E109" s="3"/>
      <c r="F109" s="8"/>
      <c r="G109" s="3"/>
      <c r="H109" s="3"/>
      <c r="I109" s="3"/>
      <c r="J109" s="8"/>
      <c r="K109" s="3"/>
      <c r="L109" s="3"/>
      <c r="M109" s="3"/>
      <c r="N109" s="8"/>
      <c r="O109" s="10"/>
      <c r="P109" s="3"/>
      <c r="Q109" s="3"/>
      <c r="R109" s="8"/>
      <c r="S109" s="3"/>
      <c r="T109" s="3"/>
      <c r="U109" s="3"/>
      <c r="V109" s="8"/>
      <c r="W109" s="3"/>
      <c r="X109" s="3"/>
      <c r="Y109" s="3"/>
      <c r="Z109" s="8"/>
    </row>
    <row r="110" spans="1:26" s="23" customFormat="1" x14ac:dyDescent="0.3">
      <c r="A110" s="10"/>
      <c r="B110" s="25" t="s">
        <v>276</v>
      </c>
      <c r="C110" s="25"/>
      <c r="D110" s="21">
        <f>+D24-D26+D105</f>
        <v>420777.39</v>
      </c>
      <c r="E110" s="13"/>
      <c r="F110" s="22">
        <f>IF(D$12=0,0,D110/D$12)</f>
        <v>0.30325642251689805</v>
      </c>
      <c r="G110" s="13"/>
      <c r="H110" s="21">
        <f>+H24-H26+H105</f>
        <v>-225052.63</v>
      </c>
      <c r="I110" s="13"/>
      <c r="J110" s="22">
        <f>IF(H$12=0,0,H110/H$12)</f>
        <v>-1.3091249743398796</v>
      </c>
      <c r="K110" s="16"/>
      <c r="L110" s="21">
        <f>+D110-H110</f>
        <v>645830.02</v>
      </c>
      <c r="M110" s="16"/>
      <c r="N110" s="22">
        <f>IF(H110=0,0,L110/H110)</f>
        <v>-2.8696843933794507</v>
      </c>
      <c r="O110" s="26"/>
      <c r="P110" s="21">
        <f>+P24-P26+P105</f>
        <v>736043.43000000052</v>
      </c>
      <c r="Q110" s="13"/>
      <c r="R110" s="22">
        <f>IF(P$12=0,0,P110/P$12)</f>
        <v>0.1385331664225124</v>
      </c>
      <c r="S110" s="13"/>
      <c r="T110" s="21">
        <f>+T24-T26+T105</f>
        <v>-1267419.9400000002</v>
      </c>
      <c r="U110" s="13"/>
      <c r="V110" s="22">
        <f>IF(T$12=0,0,T110/T$12)</f>
        <v>-1.8819390343013112</v>
      </c>
      <c r="W110" s="16"/>
      <c r="X110" s="21">
        <f>+P110-T110</f>
        <v>2003463.3700000006</v>
      </c>
      <c r="Y110" s="16"/>
      <c r="Z110" s="22">
        <f>IF(T110=0,0,X110/T110)</f>
        <v>-1.5807415575298589</v>
      </c>
    </row>
    <row r="111" spans="1:26" x14ac:dyDescent="0.3">
      <c r="A111" s="9"/>
      <c r="B111" s="10"/>
      <c r="C111" s="9"/>
      <c r="D111" s="3"/>
      <c r="E111" s="3"/>
      <c r="F111" s="8"/>
      <c r="G111" s="3"/>
      <c r="H111" s="3"/>
      <c r="I111" s="3"/>
      <c r="J111" s="8"/>
      <c r="K111" s="3"/>
      <c r="L111" s="3"/>
      <c r="M111" s="3"/>
      <c r="N111" s="8"/>
      <c r="P111" s="3"/>
      <c r="Q111" s="3"/>
      <c r="R111" s="8"/>
      <c r="S111" s="3"/>
      <c r="T111" s="3"/>
      <c r="U111" s="3"/>
      <c r="V111" s="8"/>
      <c r="W111" s="3"/>
      <c r="X111" s="3"/>
      <c r="Y111" s="3"/>
      <c r="Z111" s="8"/>
    </row>
    <row r="112" spans="1:26" s="23" customFormat="1" x14ac:dyDescent="0.3">
      <c r="A112" s="51"/>
      <c r="B112" s="10" t="s">
        <v>127</v>
      </c>
      <c r="C112" s="10"/>
      <c r="D112" s="4">
        <v>179089.22</v>
      </c>
      <c r="E112" s="4"/>
      <c r="F112" s="12">
        <f>IF(D$12=0,0,D112/D$12)</f>
        <v>0.12907051913730846</v>
      </c>
      <c r="G112" s="4"/>
      <c r="H112" s="4">
        <v>-1633.85</v>
      </c>
      <c r="I112" s="4"/>
      <c r="J112" s="12">
        <f>IF(H$12=0,0,H112/H$12)</f>
        <v>-9.5040606249534275E-3</v>
      </c>
      <c r="K112" s="4"/>
      <c r="L112" s="4">
        <f>+D112-H112</f>
        <v>180723.07</v>
      </c>
      <c r="M112" s="4"/>
      <c r="N112" s="12">
        <f>IF(H112=0,0,L112/H112)</f>
        <v>-110.61178810784345</v>
      </c>
      <c r="O112" s="10"/>
      <c r="P112" s="4">
        <v>632855.06000000006</v>
      </c>
      <c r="Q112" s="4"/>
      <c r="R112" s="12">
        <f>IF(P$12=0,0,P112/P$12)</f>
        <v>0.11911174228986599</v>
      </c>
      <c r="S112" s="4"/>
      <c r="T112" s="4">
        <v>107013.59</v>
      </c>
      <c r="U112" s="4"/>
      <c r="V112" s="12">
        <f>IF(T$12=0,0,T112/T$12)</f>
        <v>0.15890001874336648</v>
      </c>
      <c r="W112" s="4"/>
      <c r="X112" s="4">
        <f>+P112-T112</f>
        <v>525841.47000000009</v>
      </c>
      <c r="Y112" s="4"/>
      <c r="Z112" s="12">
        <f>IF(T112=0,0,X112/T112)</f>
        <v>4.9137821654240375</v>
      </c>
    </row>
    <row r="113" spans="1:26" x14ac:dyDescent="0.3">
      <c r="A113" s="9"/>
      <c r="B113" s="10"/>
      <c r="C113" s="10"/>
      <c r="D113" s="3"/>
      <c r="E113" s="3"/>
      <c r="F113" s="8"/>
      <c r="G113" s="3"/>
      <c r="H113" s="3"/>
      <c r="I113" s="3"/>
      <c r="J113" s="8"/>
      <c r="K113" s="3"/>
      <c r="L113" s="3"/>
      <c r="M113" s="3"/>
      <c r="N113" s="8"/>
      <c r="O113" s="10"/>
      <c r="P113" s="3"/>
      <c r="Q113" s="3"/>
      <c r="R113" s="8"/>
      <c r="S113" s="3"/>
      <c r="T113" s="3"/>
      <c r="U113" s="3"/>
      <c r="V113" s="8"/>
      <c r="W113" s="3"/>
      <c r="X113" s="3"/>
      <c r="Y113" s="3"/>
      <c r="Z113" s="8"/>
    </row>
    <row r="114" spans="1:26" s="23" customFormat="1" ht="15" thickBot="1" x14ac:dyDescent="0.35">
      <c r="A114" s="10"/>
      <c r="B114" s="25" t="s">
        <v>125</v>
      </c>
      <c r="C114" s="25"/>
      <c r="D114" s="35">
        <f>+D110-D112</f>
        <v>241688.17</v>
      </c>
      <c r="E114" s="13"/>
      <c r="F114" s="31">
        <f>IF(D$12=0,0,D114/D$12)</f>
        <v>0.17418590337958959</v>
      </c>
      <c r="G114" s="13"/>
      <c r="H114" s="35">
        <f>+H110-H112</f>
        <v>-223418.78</v>
      </c>
      <c r="I114" s="13"/>
      <c r="J114" s="31">
        <f>IF(H$12=0,0,H114/H$12)</f>
        <v>-1.2996209137149262</v>
      </c>
      <c r="K114" s="16"/>
      <c r="L114" s="35">
        <f>D114-H114</f>
        <v>465106.95</v>
      </c>
      <c r="M114" s="16"/>
      <c r="N114" s="31">
        <f>IF(H114=0,0,L114/H114)</f>
        <v>-2.0817719531008092</v>
      </c>
      <c r="O114" s="26"/>
      <c r="P114" s="35">
        <f>+P110-P112</f>
        <v>103188.37000000046</v>
      </c>
      <c r="Q114" s="13"/>
      <c r="R114" s="31">
        <f>IF(P$12=0,0,P114/P$12)</f>
        <v>1.9421424132646411E-2</v>
      </c>
      <c r="S114" s="13"/>
      <c r="T114" s="35">
        <f>+T110-T112</f>
        <v>-1374433.5300000003</v>
      </c>
      <c r="U114" s="13"/>
      <c r="V114" s="31">
        <f>IF(T$12=0,0,T114/T$12)</f>
        <v>-2.0408390530446776</v>
      </c>
      <c r="W114" s="16"/>
      <c r="X114" s="35">
        <f>P114-T114</f>
        <v>1477621.9000000008</v>
      </c>
      <c r="Y114" s="16"/>
      <c r="Z114" s="31">
        <f>IF(T114=0,0,X114/T114)</f>
        <v>-1.0750770173658384</v>
      </c>
    </row>
    <row r="115" spans="1:26" ht="15" thickTop="1" x14ac:dyDescent="0.3">
      <c r="A115" s="9"/>
      <c r="B115" s="9"/>
      <c r="C115" s="9"/>
      <c r="D115" s="3"/>
      <c r="E115" s="3"/>
      <c r="F115" s="8"/>
      <c r="G115" s="3"/>
      <c r="H115" s="3"/>
      <c r="I115" s="3"/>
      <c r="J115" s="8"/>
      <c r="K115" s="3"/>
      <c r="L115" s="3"/>
      <c r="M115" s="3"/>
      <c r="N115" s="8"/>
      <c r="P115" s="3"/>
      <c r="Q115" s="3"/>
      <c r="R115" s="8"/>
      <c r="S115" s="3"/>
      <c r="T115" s="3"/>
      <c r="U115" s="3"/>
      <c r="V115" s="8"/>
      <c r="W115" s="3"/>
      <c r="X115" s="3"/>
      <c r="Y115" s="3"/>
      <c r="Z115" s="8"/>
    </row>
    <row r="116" spans="1:26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s="23" customFormat="1" ht="15" thickBot="1" x14ac:dyDescent="0.35">
      <c r="A117" s="10"/>
      <c r="B117" s="25" t="s">
        <v>293</v>
      </c>
      <c r="C117" s="25"/>
      <c r="D117" s="36">
        <f>SUM(D114:D116)</f>
        <v>241688.17</v>
      </c>
      <c r="E117" s="13"/>
      <c r="F117" s="33">
        <f>IF(D$12=0,0,D117/D$12)</f>
        <v>0.17418590337958959</v>
      </c>
      <c r="G117" s="13"/>
      <c r="H117" s="36">
        <f>SUM(H114:H116)</f>
        <v>-223418.78</v>
      </c>
      <c r="I117" s="13"/>
      <c r="J117" s="33">
        <f>IF(H$12=0,0,H117/H$12)</f>
        <v>-1.2996209137149262</v>
      </c>
      <c r="K117" s="16"/>
      <c r="L117" s="36">
        <f>+D117-H117</f>
        <v>465106.95</v>
      </c>
      <c r="M117" s="16"/>
      <c r="N117" s="33">
        <f>IF(H117=0,0,L117/H117)</f>
        <v>-2.0817719531008092</v>
      </c>
      <c r="O117" s="26"/>
      <c r="P117" s="36">
        <f>SUM(P114:P116)</f>
        <v>103188.37000000046</v>
      </c>
      <c r="Q117" s="13"/>
      <c r="R117" s="33">
        <f>IF(P$12=0,0,P117/P$12)</f>
        <v>1.9421424132646411E-2</v>
      </c>
      <c r="S117" s="13"/>
      <c r="T117" s="36">
        <f>SUM(T114:T116)</f>
        <v>-1374433.5300000003</v>
      </c>
      <c r="U117" s="13"/>
      <c r="V117" s="33">
        <f>IF(T$12=0,0,T117/T$12)</f>
        <v>-2.0408390530446776</v>
      </c>
      <c r="W117" s="16"/>
      <c r="X117" s="36">
        <f>+P117-T117</f>
        <v>1477621.9000000008</v>
      </c>
      <c r="Y117" s="16"/>
      <c r="Z117" s="33">
        <f>IF(T117=0,0,X117/T117)</f>
        <v>-1.0750770173658384</v>
      </c>
    </row>
    <row r="118" spans="1:26" ht="15" thickTop="1" x14ac:dyDescent="0.3">
      <c r="A118" s="9"/>
      <c r="C118" s="9"/>
      <c r="D118" s="17"/>
      <c r="E118" s="17"/>
      <c r="G118" s="17"/>
      <c r="H118" s="17"/>
      <c r="I118" s="17"/>
      <c r="J118" s="42"/>
      <c r="K118" s="17"/>
      <c r="L118" s="17"/>
      <c r="M118" s="17"/>
      <c r="P118" s="17"/>
      <c r="Q118" s="17"/>
      <c r="R118" s="42"/>
      <c r="S118" s="17"/>
      <c r="T118" s="17"/>
      <c r="U118" s="17"/>
      <c r="V118" s="42"/>
      <c r="W118" s="17"/>
      <c r="X118" s="17"/>
    </row>
    <row r="119" spans="1:26" x14ac:dyDescent="0.3">
      <c r="A119" s="9"/>
      <c r="B119" s="52">
        <v>44543.765578240738</v>
      </c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A120" s="9"/>
      <c r="B120" s="59" t="s">
        <v>56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61"/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</sheetData>
  <pageMargins left="0.25" right="0.25" top="0.75" bottom="0.75" header="0.3" footer="0.3"/>
  <pageSetup scale="55" fitToWidth="2" orientation="landscape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5" tint="0.39997558519241921"/>
    <outlinePr summaryBelow="0" summaryRight="0"/>
  </sheetPr>
  <dimension ref="A2:Z123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55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117637.06</v>
      </c>
      <c r="E12" s="4"/>
      <c r="F12" s="12"/>
      <c r="G12" s="4"/>
      <c r="H12" s="4">
        <f>SUM(OSRRefH13x_0)</f>
        <v>64151.59</v>
      </c>
      <c r="I12" s="4"/>
      <c r="J12" s="12"/>
      <c r="K12" s="4"/>
      <c r="L12" s="4">
        <f t="shared" ref="L12:L25" si="0">+D12-H12</f>
        <v>53485.47</v>
      </c>
      <c r="M12" s="4"/>
      <c r="N12" s="12">
        <f t="shared" ref="N12:N25" si="1">IF(H12=0,0,L12/H12)</f>
        <v>0.83373568761117234</v>
      </c>
      <c r="O12" s="10"/>
      <c r="P12" s="4">
        <f>SUM(OSRRefP13x_0)</f>
        <v>548931.67999999993</v>
      </c>
      <c r="Q12" s="4"/>
      <c r="R12" s="12"/>
      <c r="S12" s="4"/>
      <c r="T12" s="4">
        <f>SUM(OSRRefT13x_0)</f>
        <v>124630.46000000002</v>
      </c>
      <c r="U12" s="4"/>
      <c r="V12" s="12"/>
      <c r="W12" s="4"/>
      <c r="X12" s="4">
        <f t="shared" ref="X12:X25" si="2">+P12-T12</f>
        <v>424301.21999999991</v>
      </c>
      <c r="Y12" s="4"/>
      <c r="Z12" s="12">
        <f t="shared" ref="Z12:Z25" si="3">IF(T12=0,0,X12/T12)</f>
        <v>3.4044744759828363</v>
      </c>
    </row>
    <row r="13" spans="1:26" s="24" customFormat="1" hidden="1" outlineLevel="1" x14ac:dyDescent="0.3">
      <c r="A13" s="44"/>
      <c r="B13" s="11" t="str">
        <f>CONCATENATE("          ", "4000", " - ", "TAXABLE SALES")</f>
        <v xml:space="preserve">          4000 - TAXABLE SALES</v>
      </c>
      <c r="C13" s="11"/>
      <c r="D13" s="2">
        <f>--2305.85</f>
        <v>2305.85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2305.85</v>
      </c>
      <c r="M13" s="2"/>
      <c r="N13" s="19">
        <f t="shared" si="1"/>
        <v>0</v>
      </c>
      <c r="O13" s="11"/>
      <c r="P13" s="2">
        <f>--10622.35</f>
        <v>10622.35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10622.35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"4032", " - ", "TAXABLE SALES-JUICE")</f>
        <v xml:space="preserve">          4032 - TAXABLE SALES-JUICE</v>
      </c>
      <c r="C14" s="11"/>
      <c r="D14" s="2">
        <f t="shared" ref="D14:D15" si="5">0</f>
        <v>0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0</v>
      </c>
      <c r="M14" s="2"/>
      <c r="N14" s="19">
        <f t="shared" si="1"/>
        <v>0</v>
      </c>
      <c r="O14" s="11"/>
      <c r="P14" s="2">
        <f t="shared" ref="P14:P15" si="6">0</f>
        <v>0</v>
      </c>
      <c r="Q14" s="2"/>
      <c r="R14" s="19"/>
      <c r="S14" s="2"/>
      <c r="T14" s="2">
        <f>--444.59</f>
        <v>444.59</v>
      </c>
      <c r="U14" s="2"/>
      <c r="V14" s="19"/>
      <c r="W14" s="2"/>
      <c r="X14" s="2">
        <f t="shared" si="2"/>
        <v>-444.59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"4034", " - ", "TAXABLE SALES-SODA")</f>
        <v xml:space="preserve">          4034 - TAXABLE SALES-SODA</v>
      </c>
      <c r="C15" s="11"/>
      <c r="D15" s="2">
        <f t="shared" si="5"/>
        <v>0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0</v>
      </c>
      <c r="M15" s="2"/>
      <c r="N15" s="19">
        <f t="shared" si="1"/>
        <v>0</v>
      </c>
      <c r="O15" s="11"/>
      <c r="P15" s="2">
        <f t="shared" si="6"/>
        <v>0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0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"4051", " - ", "TAXABLE SALES-FOOD")</f>
        <v xml:space="preserve">          4051 - TAXABLE SALES-FOOD</v>
      </c>
      <c r="C16" s="11"/>
      <c r="D16" s="2">
        <f>--23100.6</f>
        <v>23100.6</v>
      </c>
      <c r="E16" s="2"/>
      <c r="F16" s="19"/>
      <c r="G16" s="2"/>
      <c r="H16" s="2">
        <f>--4501.27</f>
        <v>4501.2700000000004</v>
      </c>
      <c r="I16" s="2"/>
      <c r="J16" s="19"/>
      <c r="K16" s="2"/>
      <c r="L16" s="2">
        <f t="shared" si="0"/>
        <v>18599.329999999998</v>
      </c>
      <c r="M16" s="2"/>
      <c r="N16" s="19">
        <f t="shared" si="1"/>
        <v>4.1320182970583845</v>
      </c>
      <c r="O16" s="11"/>
      <c r="P16" s="2">
        <f>--127351.17</f>
        <v>127351.17</v>
      </c>
      <c r="Q16" s="2"/>
      <c r="R16" s="19"/>
      <c r="S16" s="2"/>
      <c r="T16" s="2">
        <f>--17251.21</f>
        <v>17251.21</v>
      </c>
      <c r="U16" s="2"/>
      <c r="V16" s="19"/>
      <c r="W16" s="2"/>
      <c r="X16" s="2">
        <f t="shared" si="2"/>
        <v>110099.95999999999</v>
      </c>
      <c r="Y16" s="2"/>
      <c r="Z16" s="19">
        <f t="shared" si="3"/>
        <v>6.3821587007520053</v>
      </c>
    </row>
    <row r="17" spans="1:26" s="24" customFormat="1" hidden="1" outlineLevel="1" x14ac:dyDescent="0.3">
      <c r="A17" s="44"/>
      <c r="B17" s="11" t="str">
        <f>CONCATENATE("          ", "4052", " - ", "TAXABLE SALES-FOOD")</f>
        <v xml:space="preserve">          4052 - TAXABLE SALES-FOOD</v>
      </c>
      <c r="C17" s="11"/>
      <c r="D17" s="2">
        <f>0</f>
        <v>0</v>
      </c>
      <c r="E17" s="2"/>
      <c r="F17" s="19"/>
      <c r="G17" s="2"/>
      <c r="H17" s="2">
        <f>--55493.87</f>
        <v>55493.87</v>
      </c>
      <c r="I17" s="2"/>
      <c r="J17" s="19"/>
      <c r="K17" s="2"/>
      <c r="L17" s="2">
        <f t="shared" si="0"/>
        <v>-55493.87</v>
      </c>
      <c r="M17" s="2"/>
      <c r="N17" s="19">
        <f t="shared" si="1"/>
        <v>-1</v>
      </c>
      <c r="O17" s="11"/>
      <c r="P17" s="2">
        <f>0</f>
        <v>0</v>
      </c>
      <c r="Q17" s="2"/>
      <c r="R17" s="19"/>
      <c r="S17" s="2"/>
      <c r="T17" s="2">
        <f>--85725.16</f>
        <v>85725.16</v>
      </c>
      <c r="U17" s="2"/>
      <c r="V17" s="19"/>
      <c r="W17" s="2"/>
      <c r="X17" s="2">
        <f t="shared" si="2"/>
        <v>-85725.16</v>
      </c>
      <c r="Y17" s="2"/>
      <c r="Z17" s="19">
        <f t="shared" si="3"/>
        <v>-1</v>
      </c>
    </row>
    <row r="18" spans="1:26" s="24" customFormat="1" hidden="1" outlineLevel="1" x14ac:dyDescent="0.3">
      <c r="A18" s="44"/>
      <c r="B18" s="11" t="str">
        <f>CONCATENATE("          ", "4053", " - ", "TAXABLE SALES-FOOD")</f>
        <v xml:space="preserve">          4053 - TAXABLE SALES-FOOD</v>
      </c>
      <c r="C18" s="11"/>
      <c r="D18" s="2">
        <f>--1549.19</f>
        <v>1549.19</v>
      </c>
      <c r="E18" s="2"/>
      <c r="F18" s="19"/>
      <c r="G18" s="2"/>
      <c r="H18" s="2">
        <f t="shared" ref="H18:H23" si="7">0</f>
        <v>0</v>
      </c>
      <c r="I18" s="2"/>
      <c r="J18" s="19"/>
      <c r="K18" s="2"/>
      <c r="L18" s="2">
        <f t="shared" si="0"/>
        <v>1549.19</v>
      </c>
      <c r="M18" s="2"/>
      <c r="N18" s="19">
        <f t="shared" si="1"/>
        <v>0</v>
      </c>
      <c r="O18" s="11"/>
      <c r="P18" s="2">
        <f>--6357.65</f>
        <v>6357.65</v>
      </c>
      <c r="Q18" s="2"/>
      <c r="R18" s="19"/>
      <c r="S18" s="2"/>
      <c r="T18" s="2">
        <f>0</f>
        <v>0</v>
      </c>
      <c r="U18" s="2"/>
      <c r="V18" s="19"/>
      <c r="W18" s="2"/>
      <c r="X18" s="2">
        <f t="shared" si="2"/>
        <v>6357.65</v>
      </c>
      <c r="Y18" s="2"/>
      <c r="Z18" s="19">
        <f t="shared" si="3"/>
        <v>0</v>
      </c>
    </row>
    <row r="19" spans="1:26" s="24" customFormat="1" hidden="1" outlineLevel="1" x14ac:dyDescent="0.3">
      <c r="A19" s="44"/>
      <c r="B19" s="11" t="str">
        <f>CONCATENATE("          ", "4058", " - ", "TAXABLE SALES-FOOD")</f>
        <v xml:space="preserve">          4058 - TAXABLE SALES-FOOD</v>
      </c>
      <c r="C19" s="11"/>
      <c r="D19" s="2">
        <f>0</f>
        <v>0</v>
      </c>
      <c r="E19" s="2"/>
      <c r="F19" s="19"/>
      <c r="G19" s="2"/>
      <c r="H19" s="2">
        <f t="shared" si="7"/>
        <v>0</v>
      </c>
      <c r="I19" s="2"/>
      <c r="J19" s="19"/>
      <c r="K19" s="2"/>
      <c r="L19" s="2">
        <f t="shared" si="0"/>
        <v>0</v>
      </c>
      <c r="M19" s="2"/>
      <c r="N19" s="19">
        <f t="shared" si="1"/>
        <v>0</v>
      </c>
      <c r="O19" s="11"/>
      <c r="P19" s="2">
        <f>0</f>
        <v>0</v>
      </c>
      <c r="Q19" s="2"/>
      <c r="R19" s="19"/>
      <c r="S19" s="2"/>
      <c r="T19" s="2">
        <f>--974.91</f>
        <v>974.91</v>
      </c>
      <c r="U19" s="2"/>
      <c r="V19" s="19"/>
      <c r="W19" s="2"/>
      <c r="X19" s="2">
        <f t="shared" si="2"/>
        <v>-974.91</v>
      </c>
      <c r="Y19" s="2"/>
      <c r="Z19" s="19">
        <f t="shared" si="3"/>
        <v>-1</v>
      </c>
    </row>
    <row r="20" spans="1:26" s="24" customFormat="1" hidden="1" outlineLevel="1" x14ac:dyDescent="0.3">
      <c r="A20" s="44"/>
      <c r="B20" s="11" t="str">
        <f>CONCATENATE("          ", "4100", " - ", "NON-TAXABLE SALES")</f>
        <v xml:space="preserve">          4100 - NON-TAXABLE SALES</v>
      </c>
      <c r="C20" s="11"/>
      <c r="D20" s="2">
        <f>--12930.99</f>
        <v>12930.99</v>
      </c>
      <c r="E20" s="2"/>
      <c r="F20" s="19"/>
      <c r="G20" s="2"/>
      <c r="H20" s="2">
        <f t="shared" si="7"/>
        <v>0</v>
      </c>
      <c r="I20" s="2"/>
      <c r="J20" s="19"/>
      <c r="K20" s="2"/>
      <c r="L20" s="2">
        <f t="shared" si="0"/>
        <v>12930.99</v>
      </c>
      <c r="M20" s="2"/>
      <c r="N20" s="19">
        <f t="shared" si="1"/>
        <v>0</v>
      </c>
      <c r="O20" s="11"/>
      <c r="P20" s="2">
        <f>--52678.96</f>
        <v>52678.96</v>
      </c>
      <c r="Q20" s="2"/>
      <c r="R20" s="19"/>
      <c r="S20" s="2"/>
      <c r="T20" s="2">
        <f>0</f>
        <v>0</v>
      </c>
      <c r="U20" s="2"/>
      <c r="V20" s="19"/>
      <c r="W20" s="2"/>
      <c r="X20" s="2">
        <f t="shared" si="2"/>
        <v>52678.96</v>
      </c>
      <c r="Y20" s="2"/>
      <c r="Z20" s="19">
        <f t="shared" si="3"/>
        <v>0</v>
      </c>
    </row>
    <row r="21" spans="1:26" s="24" customFormat="1" hidden="1" outlineLevel="1" x14ac:dyDescent="0.3">
      <c r="A21" s="44"/>
      <c r="B21" s="11" t="str">
        <f>CONCATENATE("          ", "4132", " - ", "NON-TAXABLE SALES-JUICE")</f>
        <v xml:space="preserve">          4132 - NON-TAXABLE SALES-JUICE</v>
      </c>
      <c r="C21" s="11"/>
      <c r="D21" s="2">
        <f t="shared" ref="D21:D23" si="8">0</f>
        <v>0</v>
      </c>
      <c r="E21" s="2"/>
      <c r="F21" s="19"/>
      <c r="G21" s="2"/>
      <c r="H21" s="2">
        <f t="shared" si="7"/>
        <v>0</v>
      </c>
      <c r="I21" s="2"/>
      <c r="J21" s="19"/>
      <c r="K21" s="2"/>
      <c r="L21" s="2">
        <f t="shared" si="0"/>
        <v>0</v>
      </c>
      <c r="M21" s="2"/>
      <c r="N21" s="19">
        <f t="shared" si="1"/>
        <v>0</v>
      </c>
      <c r="O21" s="11"/>
      <c r="P21" s="2">
        <f t="shared" ref="P21:P23" si="9">0</f>
        <v>0</v>
      </c>
      <c r="Q21" s="2"/>
      <c r="R21" s="19"/>
      <c r="S21" s="2"/>
      <c r="T21" s="2">
        <f>--2031.88</f>
        <v>2031.88</v>
      </c>
      <c r="U21" s="2"/>
      <c r="V21" s="19"/>
      <c r="W21" s="2"/>
      <c r="X21" s="2">
        <f t="shared" si="2"/>
        <v>-2031.88</v>
      </c>
      <c r="Y21" s="2"/>
      <c r="Z21" s="19">
        <f t="shared" si="3"/>
        <v>-1</v>
      </c>
    </row>
    <row r="22" spans="1:26" s="24" customFormat="1" hidden="1" outlineLevel="1" x14ac:dyDescent="0.3">
      <c r="A22" s="44"/>
      <c r="B22" s="11" t="str">
        <f>CONCATENATE("          ", "4134", " - ", "NON-TAXABLE SALES-SODA")</f>
        <v xml:space="preserve">          4134 - NON-TAXABLE SALES-SODA</v>
      </c>
      <c r="C22" s="11"/>
      <c r="D22" s="2">
        <f t="shared" si="8"/>
        <v>0</v>
      </c>
      <c r="E22" s="2"/>
      <c r="F22" s="19"/>
      <c r="G22" s="2"/>
      <c r="H22" s="2">
        <f t="shared" si="7"/>
        <v>0</v>
      </c>
      <c r="I22" s="2"/>
      <c r="J22" s="19"/>
      <c r="K22" s="2"/>
      <c r="L22" s="2">
        <f t="shared" si="0"/>
        <v>0</v>
      </c>
      <c r="M22" s="2"/>
      <c r="N22" s="19">
        <f t="shared" si="1"/>
        <v>0</v>
      </c>
      <c r="O22" s="11"/>
      <c r="P22" s="2">
        <f t="shared" si="9"/>
        <v>0</v>
      </c>
      <c r="Q22" s="2"/>
      <c r="R22" s="19"/>
      <c r="S22" s="2"/>
      <c r="T22" s="2">
        <f t="shared" ref="T22:T23" si="10">0</f>
        <v>0</v>
      </c>
      <c r="U22" s="2"/>
      <c r="V22" s="19"/>
      <c r="W22" s="2"/>
      <c r="X22" s="2">
        <f t="shared" si="2"/>
        <v>0</v>
      </c>
      <c r="Y22" s="2"/>
      <c r="Z22" s="19">
        <f t="shared" si="3"/>
        <v>0</v>
      </c>
    </row>
    <row r="23" spans="1:26" s="24" customFormat="1" hidden="1" outlineLevel="1" x14ac:dyDescent="0.3">
      <c r="A23" s="44"/>
      <c r="B23" s="11" t="str">
        <f>CONCATENATE("          ", "4137", " - ", "NON-TAXABLE SALES-WATER")</f>
        <v xml:space="preserve">          4137 - NON-TAXABLE SALES-WATER</v>
      </c>
      <c r="C23" s="11"/>
      <c r="D23" s="2">
        <f t="shared" si="8"/>
        <v>0</v>
      </c>
      <c r="E23" s="2"/>
      <c r="F23" s="19"/>
      <c r="G23" s="2"/>
      <c r="H23" s="2">
        <f t="shared" si="7"/>
        <v>0</v>
      </c>
      <c r="I23" s="2"/>
      <c r="J23" s="19"/>
      <c r="K23" s="2"/>
      <c r="L23" s="2">
        <f t="shared" si="0"/>
        <v>0</v>
      </c>
      <c r="M23" s="2"/>
      <c r="N23" s="19">
        <f t="shared" si="1"/>
        <v>0</v>
      </c>
      <c r="O23" s="11"/>
      <c r="P23" s="2">
        <f t="shared" si="9"/>
        <v>0</v>
      </c>
      <c r="Q23" s="2"/>
      <c r="R23" s="19"/>
      <c r="S23" s="2"/>
      <c r="T23" s="2">
        <f t="shared" si="10"/>
        <v>0</v>
      </c>
      <c r="U23" s="2"/>
      <c r="V23" s="19"/>
      <c r="W23" s="2"/>
      <c r="X23" s="2">
        <f t="shared" si="2"/>
        <v>0</v>
      </c>
      <c r="Y23" s="2"/>
      <c r="Z23" s="19">
        <f t="shared" si="3"/>
        <v>0</v>
      </c>
    </row>
    <row r="24" spans="1:26" s="24" customFormat="1" hidden="1" outlineLevel="1" x14ac:dyDescent="0.3">
      <c r="A24" s="44"/>
      <c r="B24" s="11" t="str">
        <f>CONCATENATE("          ", "4151", " - ", "NON-TAXABLE SALES-FOOD")</f>
        <v xml:space="preserve">          4151 - NON-TAXABLE SALES-FOOD</v>
      </c>
      <c r="C24" s="11"/>
      <c r="D24" s="2">
        <f>--77750.43</f>
        <v>77750.429999999993</v>
      </c>
      <c r="E24" s="2"/>
      <c r="F24" s="19"/>
      <c r="G24" s="2"/>
      <c r="H24" s="2">
        <f>--4156.45</f>
        <v>4156.45</v>
      </c>
      <c r="I24" s="2"/>
      <c r="J24" s="19"/>
      <c r="K24" s="2"/>
      <c r="L24" s="2">
        <f t="shared" si="0"/>
        <v>73593.98</v>
      </c>
      <c r="M24" s="2"/>
      <c r="N24" s="19">
        <f t="shared" si="1"/>
        <v>17.70597023902609</v>
      </c>
      <c r="O24" s="11"/>
      <c r="P24" s="2">
        <f>--351921.55</f>
        <v>351921.55</v>
      </c>
      <c r="Q24" s="2"/>
      <c r="R24" s="19"/>
      <c r="S24" s="2"/>
      <c r="T24" s="2">
        <f>--18092.71</f>
        <v>18092.71</v>
      </c>
      <c r="U24" s="2"/>
      <c r="V24" s="19"/>
      <c r="W24" s="2"/>
      <c r="X24" s="2">
        <f t="shared" si="2"/>
        <v>333828.83999999997</v>
      </c>
      <c r="Y24" s="2"/>
      <c r="Z24" s="19">
        <f t="shared" si="3"/>
        <v>18.451013695571309</v>
      </c>
    </row>
    <row r="25" spans="1:26" s="24" customFormat="1" hidden="1" outlineLevel="1" x14ac:dyDescent="0.3">
      <c r="A25" s="44"/>
      <c r="B25" s="11" t="str">
        <f>CONCATENATE("          ", "4153", " - ", "NON-TAXABLE SALES-FOOD")</f>
        <v xml:space="preserve">          4153 - NON-TAXABLE SALES-FOOD</v>
      </c>
      <c r="C25" s="11"/>
      <c r="D25" s="2">
        <f>0</f>
        <v>0</v>
      </c>
      <c r="E25" s="2"/>
      <c r="F25" s="19"/>
      <c r="G25" s="2"/>
      <c r="H25" s="2">
        <f>0</f>
        <v>0</v>
      </c>
      <c r="I25" s="2"/>
      <c r="J25" s="19"/>
      <c r="K25" s="2"/>
      <c r="L25" s="2">
        <f t="shared" si="0"/>
        <v>0</v>
      </c>
      <c r="M25" s="2"/>
      <c r="N25" s="19">
        <f t="shared" si="1"/>
        <v>0</v>
      </c>
      <c r="O25" s="11"/>
      <c r="P25" s="2">
        <f>0</f>
        <v>0</v>
      </c>
      <c r="Q25" s="2"/>
      <c r="R25" s="19"/>
      <c r="S25" s="2"/>
      <c r="T25" s="2">
        <f>--110</f>
        <v>110</v>
      </c>
      <c r="U25" s="2"/>
      <c r="V25" s="19"/>
      <c r="W25" s="2"/>
      <c r="X25" s="2">
        <f t="shared" si="2"/>
        <v>-110</v>
      </c>
      <c r="Y25" s="2"/>
      <c r="Z25" s="19">
        <f t="shared" si="3"/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collapsed="1" x14ac:dyDescent="0.3">
      <c r="A27" s="10"/>
      <c r="B27" s="26" t="s">
        <v>256</v>
      </c>
      <c r="C27" s="10"/>
      <c r="D27" s="4">
        <f>SUM(OSRRefD16x_0)</f>
        <v>58189.270000000004</v>
      </c>
      <c r="E27" s="4"/>
      <c r="F27" s="12">
        <f t="shared" ref="F27:F29" si="11">IF(D$12=0,0,D27/D$12)</f>
        <v>0.4946508353744985</v>
      </c>
      <c r="G27" s="4"/>
      <c r="H27" s="4">
        <f>SUM(OSRRefH16x_0)</f>
        <v>2843.9300000000003</v>
      </c>
      <c r="I27" s="4"/>
      <c r="J27" s="12">
        <f t="shared" ref="J27:J29" si="12">IF(H$12=0,0,H27/H$12)</f>
        <v>4.4331403165533391E-2</v>
      </c>
      <c r="K27" s="4"/>
      <c r="L27" s="4">
        <f t="shared" ref="L27:L29" si="13">+D27-H27</f>
        <v>55345.340000000004</v>
      </c>
      <c r="M27" s="4"/>
      <c r="N27" s="12">
        <f t="shared" ref="N27:N29" si="14">IF(H27=0,0,L27/H27)</f>
        <v>19.460865773770802</v>
      </c>
      <c r="O27" s="10"/>
      <c r="P27" s="4">
        <f>SUM(OSRRefP16x_0)</f>
        <v>229677.18</v>
      </c>
      <c r="Q27" s="4"/>
      <c r="R27" s="12">
        <f t="shared" ref="R27:R29" si="15">IF(P$12=0,0,P27/P$12)</f>
        <v>0.41840758762547647</v>
      </c>
      <c r="S27" s="4"/>
      <c r="T27" s="4">
        <f>SUM(OSRRefT16x_0)</f>
        <v>23498.739999999998</v>
      </c>
      <c r="U27" s="4"/>
      <c r="V27" s="12">
        <f t="shared" ref="V27:V29" si="16">IF(T$12=0,0,T27/T$12)</f>
        <v>0.18854732623148462</v>
      </c>
      <c r="W27" s="4"/>
      <c r="X27" s="4">
        <f t="shared" ref="X27:X29" si="17">+P27-T27</f>
        <v>206178.44</v>
      </c>
      <c r="Y27" s="4"/>
      <c r="Z27" s="12">
        <f t="shared" ref="Z27:Z29" si="18">IF(T27=0,0,X27/T27)</f>
        <v>8.7740210751725414</v>
      </c>
    </row>
    <row r="28" spans="1:26" s="24" customFormat="1" hidden="1" outlineLevel="1" x14ac:dyDescent="0.3">
      <c r="A28" s="44"/>
      <c r="B28" s="11" t="str">
        <f>CONCATENATE("          ", "5053", " - ", "PURCHASES @ COST-FOOD")</f>
        <v xml:space="preserve">          5053 - PURCHASES @ COST-FOOD</v>
      </c>
      <c r="C28" s="11"/>
      <c r="D28" s="2">
        <v>42622.29</v>
      </c>
      <c r="E28" s="2"/>
      <c r="F28" s="19">
        <f t="shared" si="11"/>
        <v>0.36232025859877831</v>
      </c>
      <c r="G28" s="2"/>
      <c r="H28" s="2">
        <v>1847.93</v>
      </c>
      <c r="I28" s="2"/>
      <c r="J28" s="19">
        <f t="shared" si="12"/>
        <v>2.8805677302776129E-2</v>
      </c>
      <c r="K28" s="2"/>
      <c r="L28" s="2">
        <f t="shared" si="13"/>
        <v>40774.36</v>
      </c>
      <c r="M28" s="2"/>
      <c r="N28" s="19">
        <f t="shared" si="14"/>
        <v>22.06488341008588</v>
      </c>
      <c r="O28" s="11"/>
      <c r="P28" s="2">
        <v>233066.22</v>
      </c>
      <c r="Q28" s="2"/>
      <c r="R28" s="19">
        <f t="shared" si="15"/>
        <v>0.42458147068502228</v>
      </c>
      <c r="S28" s="2"/>
      <c r="T28" s="2">
        <v>8621.77</v>
      </c>
      <c r="U28" s="2"/>
      <c r="V28" s="19">
        <f t="shared" si="16"/>
        <v>6.917867429840184E-2</v>
      </c>
      <c r="W28" s="2"/>
      <c r="X28" s="2">
        <f t="shared" si="17"/>
        <v>224444.45</v>
      </c>
      <c r="Y28" s="2"/>
      <c r="Z28" s="19">
        <f t="shared" si="18"/>
        <v>26.032293832936855</v>
      </c>
    </row>
    <row r="29" spans="1:26" s="24" customFormat="1" hidden="1" outlineLevel="1" x14ac:dyDescent="0.3">
      <c r="A29" s="44"/>
      <c r="B29" s="11" t="str">
        <f>CONCATENATE("          ", "5059", " - ", "PURCHASES @ COST-FOOD")</f>
        <v xml:space="preserve">          5059 - PURCHASES @ COST-FOOD</v>
      </c>
      <c r="C29" s="11"/>
      <c r="D29" s="2">
        <v>15566.98</v>
      </c>
      <c r="E29" s="2"/>
      <c r="F29" s="19">
        <f t="shared" si="11"/>
        <v>0.13233057677572016</v>
      </c>
      <c r="G29" s="2"/>
      <c r="H29" s="2">
        <v>996</v>
      </c>
      <c r="I29" s="2"/>
      <c r="J29" s="19">
        <f t="shared" si="12"/>
        <v>1.552572586275726E-2</v>
      </c>
      <c r="K29" s="2"/>
      <c r="L29" s="2">
        <f t="shared" si="13"/>
        <v>14570.98</v>
      </c>
      <c r="M29" s="2"/>
      <c r="N29" s="19">
        <f t="shared" si="14"/>
        <v>14.62949799196787</v>
      </c>
      <c r="O29" s="11"/>
      <c r="P29" s="2">
        <v>-3389.04</v>
      </c>
      <c r="Q29" s="2"/>
      <c r="R29" s="19">
        <f t="shared" si="15"/>
        <v>-6.1738830595457718E-3</v>
      </c>
      <c r="S29" s="2"/>
      <c r="T29" s="2">
        <v>14876.97</v>
      </c>
      <c r="U29" s="2"/>
      <c r="V29" s="19">
        <f t="shared" si="16"/>
        <v>0.11936865193308278</v>
      </c>
      <c r="W29" s="2"/>
      <c r="X29" s="2">
        <f t="shared" si="17"/>
        <v>-18266.009999999998</v>
      </c>
      <c r="Y29" s="2"/>
      <c r="Z29" s="19">
        <f t="shared" si="18"/>
        <v>-1.2278044521162574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x14ac:dyDescent="0.3">
      <c r="A31" s="10"/>
      <c r="B31" s="25" t="s">
        <v>107</v>
      </c>
      <c r="C31" s="25"/>
      <c r="D31" s="21">
        <f>D12-D27</f>
        <v>59447.789999999994</v>
      </c>
      <c r="E31" s="13"/>
      <c r="F31" s="22">
        <f>IF(D$12=0,0,D31/D$12)</f>
        <v>0.5053491646255015</v>
      </c>
      <c r="G31" s="13"/>
      <c r="H31" s="21">
        <f>H12-H27</f>
        <v>61307.659999999996</v>
      </c>
      <c r="I31" s="13"/>
      <c r="J31" s="22">
        <f>IF(H$12=0,0,H31/H$12)</f>
        <v>0.95566859683446659</v>
      </c>
      <c r="K31" s="16"/>
      <c r="L31" s="21">
        <f>+D31-H31</f>
        <v>-1859.8700000000026</v>
      </c>
      <c r="M31" s="16"/>
      <c r="N31" s="22">
        <f>IF(H31=0,0,L31/H31)</f>
        <v>-3.0336665923964522E-2</v>
      </c>
      <c r="O31" s="26"/>
      <c r="P31" s="21">
        <f>P12-P27</f>
        <v>319254.49999999994</v>
      </c>
      <c r="Q31" s="13"/>
      <c r="R31" s="22">
        <f>IF(P$12=0,0,P31/P$12)</f>
        <v>0.58159241237452353</v>
      </c>
      <c r="S31" s="13"/>
      <c r="T31" s="21">
        <f>T12-T27</f>
        <v>101131.72000000003</v>
      </c>
      <c r="U31" s="13"/>
      <c r="V31" s="22">
        <f>IF(T$12=0,0,T31/T$12)</f>
        <v>0.81145267376851549</v>
      </c>
      <c r="W31" s="16"/>
      <c r="X31" s="21">
        <f>+P31-T31</f>
        <v>218122.77999999991</v>
      </c>
      <c r="Y31" s="16"/>
      <c r="Z31" s="22">
        <f>IF(T31=0,0,X31/T31)</f>
        <v>2.156818651952126</v>
      </c>
    </row>
    <row r="32" spans="1:26" x14ac:dyDescent="0.3">
      <c r="A32" s="9"/>
      <c r="B32" s="10"/>
      <c r="C32" s="9"/>
      <c r="D32" s="1"/>
      <c r="E32" s="1"/>
      <c r="F32" s="5"/>
      <c r="G32" s="1"/>
      <c r="H32" s="1"/>
      <c r="I32" s="1"/>
      <c r="J32" s="5"/>
      <c r="K32" s="1"/>
      <c r="L32" s="1"/>
      <c r="M32" s="1"/>
      <c r="N32" s="5"/>
      <c r="O32" s="37"/>
      <c r="P32" s="1"/>
      <c r="Q32" s="1"/>
      <c r="R32" s="5"/>
      <c r="S32" s="1"/>
      <c r="T32" s="1"/>
      <c r="U32" s="1"/>
      <c r="V32" s="5"/>
      <c r="W32" s="1"/>
      <c r="X32" s="1"/>
      <c r="Y32" s="1"/>
      <c r="Z32" s="5"/>
    </row>
    <row r="33" spans="1:26" s="23" customFormat="1" x14ac:dyDescent="0.3">
      <c r="A33" s="10"/>
      <c r="B33" s="26" t="s">
        <v>294</v>
      </c>
      <c r="C33" s="10"/>
      <c r="D33" s="20">
        <f>SUM(OSRRefD22x_0)</f>
        <v>181675.08000000002</v>
      </c>
      <c r="E33" s="20"/>
      <c r="F33" s="32">
        <f t="shared" ref="F33:F42" si="19">IF(D$12=0,0,D33/D$12)</f>
        <v>1.5443694359583622</v>
      </c>
      <c r="G33" s="20"/>
      <c r="H33" s="20">
        <f>SUM(OSRRefH22x_0)</f>
        <v>137621.79</v>
      </c>
      <c r="I33" s="20"/>
      <c r="J33" s="32">
        <f t="shared" ref="J33:J42" si="20">IF(H$12=0,0,H33/H$12)</f>
        <v>2.145259221166615</v>
      </c>
      <c r="K33" s="4"/>
      <c r="L33" s="20">
        <f t="shared" ref="L33:L42" si="21">+D33-H33</f>
        <v>44053.290000000008</v>
      </c>
      <c r="M33" s="4"/>
      <c r="N33" s="32">
        <f t="shared" ref="N33:N42" si="22">IF(H33=0,0,L33/H33)</f>
        <v>0.3201040329442017</v>
      </c>
      <c r="O33" s="10"/>
      <c r="P33" s="20">
        <f>SUM(OSRRefP22x_0)</f>
        <v>991185.82999999973</v>
      </c>
      <c r="Q33" s="20"/>
      <c r="R33" s="32">
        <f t="shared" ref="R33:R42" si="23">IF(P$12=0,0,P33/P$12)</f>
        <v>1.8056633750852198</v>
      </c>
      <c r="S33" s="20"/>
      <c r="T33" s="20">
        <f>SUM(OSRRefT22x_0)</f>
        <v>710812.7999999997</v>
      </c>
      <c r="U33" s="20"/>
      <c r="V33" s="32">
        <f t="shared" ref="V33:V42" si="24">IF(T$12=0,0,T33/T$12)</f>
        <v>5.7033633671896871</v>
      </c>
      <c r="W33" s="4"/>
      <c r="X33" s="20">
        <f t="shared" ref="X33:X42" si="25">+P33-T33</f>
        <v>280373.03000000003</v>
      </c>
      <c r="Y33" s="4"/>
      <c r="Z33" s="32">
        <f t="shared" ref="Z33:Z42" si="26">IF(T33=0,0,X33/T33)</f>
        <v>0.39444004103471425</v>
      </c>
    </row>
    <row r="34" spans="1:26" s="29" customFormat="1" outlineLevel="1" collapsed="1" x14ac:dyDescent="0.3">
      <c r="A34" s="28"/>
      <c r="B34" s="14" t="str">
        <f>CONCATENATE("     ","*Benefits                                         ")</f>
        <v xml:space="preserve">     *Benefits                                         </v>
      </c>
      <c r="C34" s="14"/>
      <c r="D34" s="1">
        <f>SUM(OSRRefD22_0x_0)</f>
        <v>29406.38</v>
      </c>
      <c r="E34" s="1"/>
      <c r="F34" s="5">
        <f t="shared" si="19"/>
        <v>0.2499754754156556</v>
      </c>
      <c r="G34" s="1"/>
      <c r="H34" s="1">
        <f>SUM(OSRRefH22_0x_0)</f>
        <v>25779.710000000003</v>
      </c>
      <c r="I34" s="1"/>
      <c r="J34" s="5">
        <f t="shared" si="20"/>
        <v>0.40185613482066468</v>
      </c>
      <c r="K34" s="1"/>
      <c r="L34" s="1">
        <f t="shared" si="21"/>
        <v>3626.6699999999983</v>
      </c>
      <c r="M34" s="1"/>
      <c r="N34" s="5">
        <f t="shared" si="22"/>
        <v>0.14067923960354861</v>
      </c>
      <c r="O34" s="14"/>
      <c r="P34" s="1">
        <f>SUM(OSRRefP22_0x_0)</f>
        <v>148227.77000000002</v>
      </c>
      <c r="Q34" s="1"/>
      <c r="R34" s="5">
        <f t="shared" si="23"/>
        <v>0.27002954174552296</v>
      </c>
      <c r="S34" s="1"/>
      <c r="T34" s="1">
        <f>SUM(OSRRefT22_0x_0)</f>
        <v>145239.57999999999</v>
      </c>
      <c r="U34" s="1"/>
      <c r="V34" s="5">
        <f t="shared" si="24"/>
        <v>1.1653618224629834</v>
      </c>
      <c r="W34" s="1"/>
      <c r="X34" s="1">
        <f t="shared" si="25"/>
        <v>2988.1900000000314</v>
      </c>
      <c r="Y34" s="1"/>
      <c r="Z34" s="5">
        <f t="shared" si="26"/>
        <v>2.0574212621656107E-2</v>
      </c>
    </row>
    <row r="35" spans="1:26" s="24" customFormat="1" hidden="1" outlineLevel="2" x14ac:dyDescent="0.3">
      <c r="A35" s="27"/>
      <c r="B35" s="11" t="str">
        <f>CONCATENATE("          ", "6111", " - ", "F.I.C.A.")</f>
        <v xml:space="preserve">          6111 - F.I.C.A.</v>
      </c>
      <c r="C35" s="11"/>
      <c r="D35" s="6">
        <v>4199.12</v>
      </c>
      <c r="E35" s="2"/>
      <c r="F35" s="7">
        <f t="shared" si="19"/>
        <v>3.5695553765114497E-2</v>
      </c>
      <c r="G35" s="2"/>
      <c r="H35" s="6">
        <v>2059.0700000000002</v>
      </c>
      <c r="I35" s="2"/>
      <c r="J35" s="7">
        <f t="shared" si="20"/>
        <v>3.2096944128742567E-2</v>
      </c>
      <c r="K35" s="2"/>
      <c r="L35" s="6">
        <f t="shared" si="21"/>
        <v>2140.0499999999997</v>
      </c>
      <c r="M35" s="2"/>
      <c r="N35" s="7">
        <f t="shared" si="22"/>
        <v>1.0393284346816765</v>
      </c>
      <c r="O35" s="11"/>
      <c r="P35" s="6">
        <v>22670.46</v>
      </c>
      <c r="Q35" s="2"/>
      <c r="R35" s="7">
        <f t="shared" si="23"/>
        <v>4.1299237821362397E-2</v>
      </c>
      <c r="S35" s="2"/>
      <c r="T35" s="6">
        <v>17978.580000000002</v>
      </c>
      <c r="U35" s="2"/>
      <c r="V35" s="7">
        <f t="shared" si="24"/>
        <v>0.14425510424979573</v>
      </c>
      <c r="W35" s="2"/>
      <c r="X35" s="6">
        <f t="shared" si="25"/>
        <v>4691.8799999999974</v>
      </c>
      <c r="Y35" s="2"/>
      <c r="Z35" s="7">
        <f t="shared" si="26"/>
        <v>0.26097055496040272</v>
      </c>
    </row>
    <row r="36" spans="1:26" s="24" customFormat="1" hidden="1" outlineLevel="2" x14ac:dyDescent="0.3">
      <c r="A36" s="27"/>
      <c r="B36" s="11" t="str">
        <f>CONCATENATE("          ", "6112", " - ", "COMPENSATION INSURANCE")</f>
        <v xml:space="preserve">          6112 - COMPENSATION INSURANCE</v>
      </c>
      <c r="C36" s="11"/>
      <c r="D36" s="6">
        <v>2024.87</v>
      </c>
      <c r="E36" s="2"/>
      <c r="F36" s="7">
        <f t="shared" si="19"/>
        <v>1.7212857920794689E-2</v>
      </c>
      <c r="G36" s="2"/>
      <c r="H36" s="6">
        <v>1316.81</v>
      </c>
      <c r="I36" s="2"/>
      <c r="J36" s="7">
        <f t="shared" si="20"/>
        <v>2.0526537222226294E-2</v>
      </c>
      <c r="K36" s="2"/>
      <c r="L36" s="6">
        <f t="shared" si="21"/>
        <v>708.06</v>
      </c>
      <c r="M36" s="2"/>
      <c r="N36" s="7">
        <f t="shared" si="22"/>
        <v>0.53770855324610234</v>
      </c>
      <c r="O36" s="11"/>
      <c r="P36" s="6">
        <v>10222.48</v>
      </c>
      <c r="Q36" s="2"/>
      <c r="R36" s="7">
        <f t="shared" si="23"/>
        <v>1.8622499615981357E-2</v>
      </c>
      <c r="S36" s="2"/>
      <c r="T36" s="6">
        <v>4641.07</v>
      </c>
      <c r="U36" s="2"/>
      <c r="V36" s="7">
        <f t="shared" si="24"/>
        <v>3.723864936388744E-2</v>
      </c>
      <c r="W36" s="2"/>
      <c r="X36" s="6">
        <f t="shared" si="25"/>
        <v>5581.41</v>
      </c>
      <c r="Y36" s="2"/>
      <c r="Z36" s="7">
        <f t="shared" si="26"/>
        <v>1.2026127595576022</v>
      </c>
    </row>
    <row r="37" spans="1:26" s="24" customFormat="1" hidden="1" outlineLevel="2" x14ac:dyDescent="0.3">
      <c r="A37" s="27"/>
      <c r="B37" s="11" t="str">
        <f>CONCATENATE("          ", "6113", " - ", "GROUP INSURANCE")</f>
        <v xml:space="preserve">          6113 - GROUP INSURANCE</v>
      </c>
      <c r="C37" s="11"/>
      <c r="D37" s="6">
        <v>12571.1</v>
      </c>
      <c r="E37" s="2"/>
      <c r="F37" s="7">
        <f t="shared" si="19"/>
        <v>0.10686343232311314</v>
      </c>
      <c r="G37" s="2"/>
      <c r="H37" s="6">
        <v>11367.93</v>
      </c>
      <c r="I37" s="2"/>
      <c r="J37" s="7">
        <f t="shared" si="20"/>
        <v>0.17720418153314674</v>
      </c>
      <c r="K37" s="2"/>
      <c r="L37" s="6">
        <f t="shared" si="21"/>
        <v>1203.17</v>
      </c>
      <c r="M37" s="2"/>
      <c r="N37" s="7">
        <f t="shared" si="22"/>
        <v>0.10583896980364939</v>
      </c>
      <c r="O37" s="11"/>
      <c r="P37" s="6">
        <v>62291.98</v>
      </c>
      <c r="Q37" s="2"/>
      <c r="R37" s="7">
        <f t="shared" si="23"/>
        <v>0.11347856622157426</v>
      </c>
      <c r="S37" s="2"/>
      <c r="T37" s="6">
        <v>67709.19</v>
      </c>
      <c r="U37" s="2"/>
      <c r="V37" s="7">
        <f t="shared" si="24"/>
        <v>0.54327962843112343</v>
      </c>
      <c r="W37" s="2"/>
      <c r="X37" s="6">
        <f t="shared" si="25"/>
        <v>-5417.2099999999991</v>
      </c>
      <c r="Y37" s="2"/>
      <c r="Z37" s="7">
        <f t="shared" si="26"/>
        <v>-8.0007012342046907E-2</v>
      </c>
    </row>
    <row r="38" spans="1:26" s="24" customFormat="1" hidden="1" outlineLevel="2" x14ac:dyDescent="0.3">
      <c r="A38" s="27"/>
      <c r="B38" s="11" t="str">
        <f>CONCATENATE("          ", "6114", " - ", "STATE UNEMPLOYMENT INSURANCE")</f>
        <v xml:space="preserve">          6114 - STATE UNEMPLOYMENT INSURANCE</v>
      </c>
      <c r="C38" s="11"/>
      <c r="D38" s="6">
        <v>182.23</v>
      </c>
      <c r="E38" s="2"/>
      <c r="F38" s="7">
        <f t="shared" si="19"/>
        <v>1.5490866568749677E-3</v>
      </c>
      <c r="G38" s="2"/>
      <c r="H38" s="6">
        <v>208.58</v>
      </c>
      <c r="I38" s="2"/>
      <c r="J38" s="7">
        <f t="shared" si="20"/>
        <v>3.2513613458372585E-3</v>
      </c>
      <c r="K38" s="2"/>
      <c r="L38" s="6">
        <f t="shared" si="21"/>
        <v>-26.350000000000023</v>
      </c>
      <c r="M38" s="2"/>
      <c r="N38" s="7">
        <f t="shared" si="22"/>
        <v>-0.12633042477706405</v>
      </c>
      <c r="O38" s="11"/>
      <c r="P38" s="6">
        <v>928.69</v>
      </c>
      <c r="Q38" s="2"/>
      <c r="R38" s="7">
        <f t="shared" si="23"/>
        <v>1.691813451174835E-3</v>
      </c>
      <c r="S38" s="2"/>
      <c r="T38" s="6">
        <v>640.41999999999996</v>
      </c>
      <c r="U38" s="2"/>
      <c r="V38" s="7">
        <f t="shared" si="24"/>
        <v>5.1385512016885746E-3</v>
      </c>
      <c r="W38" s="2"/>
      <c r="X38" s="6">
        <f t="shared" si="25"/>
        <v>288.2700000000001</v>
      </c>
      <c r="Y38" s="2"/>
      <c r="Z38" s="7">
        <f t="shared" si="26"/>
        <v>0.45012647949782975</v>
      </c>
    </row>
    <row r="39" spans="1:26" s="24" customFormat="1" hidden="1" outlineLevel="2" x14ac:dyDescent="0.3">
      <c r="A39" s="27"/>
      <c r="B39" s="11" t="str">
        <f>CONCATENATE("          ", "6115", " - ", "P.E.R.S.")</f>
        <v xml:space="preserve">          6115 - P.E.R.S.</v>
      </c>
      <c r="C39" s="11"/>
      <c r="D39" s="6">
        <v>3325.3</v>
      </c>
      <c r="E39" s="2"/>
      <c r="F39" s="7">
        <f t="shared" si="19"/>
        <v>2.8267452450783794E-2</v>
      </c>
      <c r="G39" s="2"/>
      <c r="H39" s="6">
        <v>5938.65</v>
      </c>
      <c r="I39" s="2"/>
      <c r="J39" s="7">
        <f t="shared" si="20"/>
        <v>9.2572140456690155E-2</v>
      </c>
      <c r="K39" s="2"/>
      <c r="L39" s="6">
        <f t="shared" si="21"/>
        <v>-2613.3499999999995</v>
      </c>
      <c r="M39" s="2"/>
      <c r="N39" s="7">
        <f t="shared" si="22"/>
        <v>-0.4400579256228267</v>
      </c>
      <c r="O39" s="11"/>
      <c r="P39" s="6">
        <v>17348.12</v>
      </c>
      <c r="Q39" s="2"/>
      <c r="R39" s="7">
        <f t="shared" si="23"/>
        <v>3.1603422852184447E-2</v>
      </c>
      <c r="S39" s="2"/>
      <c r="T39" s="6">
        <v>23041.42</v>
      </c>
      <c r="U39" s="2"/>
      <c r="V39" s="7">
        <f t="shared" si="24"/>
        <v>0.18487791828739134</v>
      </c>
      <c r="W39" s="2"/>
      <c r="X39" s="6">
        <f t="shared" si="25"/>
        <v>-5693.2999999999993</v>
      </c>
      <c r="Y39" s="2"/>
      <c r="Z39" s="7">
        <f t="shared" si="26"/>
        <v>-0.24708980609702005</v>
      </c>
    </row>
    <row r="40" spans="1:26" s="24" customFormat="1" hidden="1" outlineLevel="2" x14ac:dyDescent="0.3">
      <c r="A40" s="27"/>
      <c r="B40" s="11" t="str">
        <f>CONCATENATE("          ", "6118", " - ", "VACATION")</f>
        <v xml:space="preserve">          6118 - VACATION</v>
      </c>
      <c r="C40" s="11"/>
      <c r="D40" s="6">
        <v>3350.12</v>
      </c>
      <c r="E40" s="2"/>
      <c r="F40" s="7">
        <f t="shared" si="19"/>
        <v>2.8478440382648122E-2</v>
      </c>
      <c r="G40" s="2"/>
      <c r="H40" s="6">
        <v>2723.77</v>
      </c>
      <c r="I40" s="2"/>
      <c r="J40" s="7">
        <f t="shared" si="20"/>
        <v>4.2458339691970222E-2</v>
      </c>
      <c r="K40" s="2"/>
      <c r="L40" s="6">
        <f t="shared" si="21"/>
        <v>626.34999999999991</v>
      </c>
      <c r="M40" s="2"/>
      <c r="N40" s="7">
        <f t="shared" si="22"/>
        <v>0.22995700811742545</v>
      </c>
      <c r="O40" s="11"/>
      <c r="P40" s="6">
        <v>16749.27</v>
      </c>
      <c r="Q40" s="2"/>
      <c r="R40" s="7">
        <f t="shared" si="23"/>
        <v>3.05124856339135E-2</v>
      </c>
      <c r="S40" s="2"/>
      <c r="T40" s="6">
        <v>17070.919999999998</v>
      </c>
      <c r="U40" s="2"/>
      <c r="V40" s="7">
        <f t="shared" si="24"/>
        <v>0.136972293931997</v>
      </c>
      <c r="W40" s="2"/>
      <c r="X40" s="6">
        <f t="shared" si="25"/>
        <v>-321.64999999999782</v>
      </c>
      <c r="Y40" s="2"/>
      <c r="Z40" s="7">
        <f t="shared" si="26"/>
        <v>-1.884198391182185E-2</v>
      </c>
    </row>
    <row r="41" spans="1:26" s="24" customFormat="1" hidden="1" outlineLevel="2" x14ac:dyDescent="0.3">
      <c r="A41" s="27"/>
      <c r="B41" s="11" t="str">
        <f>CONCATENATE("          ", "6119", " - ", "SICK LEAVE")</f>
        <v xml:space="preserve">          6119 - SICK LEAVE</v>
      </c>
      <c r="C41" s="11"/>
      <c r="D41" s="6">
        <v>2220.08</v>
      </c>
      <c r="E41" s="2"/>
      <c r="F41" s="7">
        <f t="shared" si="19"/>
        <v>1.887228395541337E-2</v>
      </c>
      <c r="G41" s="2"/>
      <c r="H41" s="6">
        <v>1592.42</v>
      </c>
      <c r="I41" s="2"/>
      <c r="J41" s="7">
        <f t="shared" si="20"/>
        <v>2.4822767448164577E-2</v>
      </c>
      <c r="K41" s="2"/>
      <c r="L41" s="6">
        <f t="shared" si="21"/>
        <v>627.65999999999985</v>
      </c>
      <c r="M41" s="2"/>
      <c r="N41" s="7">
        <f t="shared" si="22"/>
        <v>0.3941548084048177</v>
      </c>
      <c r="O41" s="11"/>
      <c r="P41" s="6">
        <v>10854.05</v>
      </c>
      <c r="Q41" s="2"/>
      <c r="R41" s="7">
        <f t="shared" si="23"/>
        <v>1.9773043523376169E-2</v>
      </c>
      <c r="S41" s="2"/>
      <c r="T41" s="6">
        <v>10438.64</v>
      </c>
      <c r="U41" s="2"/>
      <c r="V41" s="7">
        <f t="shared" si="24"/>
        <v>8.3756731701062473E-2</v>
      </c>
      <c r="W41" s="2"/>
      <c r="X41" s="6">
        <f t="shared" si="25"/>
        <v>415.40999999999985</v>
      </c>
      <c r="Y41" s="2"/>
      <c r="Z41" s="7">
        <f t="shared" si="26"/>
        <v>3.9795413961972045E-2</v>
      </c>
    </row>
    <row r="42" spans="1:26" s="24" customFormat="1" hidden="1" outlineLevel="2" x14ac:dyDescent="0.3">
      <c r="A42" s="27"/>
      <c r="B42" s="11" t="str">
        <f>CONCATENATE("          ", "6156", " - ", "EMPLOYEE MEALS")</f>
        <v xml:space="preserve">          6156 - EMPLOYEE MEALS</v>
      </c>
      <c r="C42" s="11"/>
      <c r="D42" s="6">
        <v>1533.56</v>
      </c>
      <c r="E42" s="2"/>
      <c r="F42" s="7">
        <f t="shared" si="19"/>
        <v>1.3036367960912999E-2</v>
      </c>
      <c r="G42" s="2"/>
      <c r="H42" s="6">
        <v>572.48</v>
      </c>
      <c r="I42" s="2"/>
      <c r="J42" s="7">
        <f t="shared" si="20"/>
        <v>8.9238629938868247E-3</v>
      </c>
      <c r="K42" s="2"/>
      <c r="L42" s="6">
        <f t="shared" si="21"/>
        <v>961.07999999999993</v>
      </c>
      <c r="M42" s="2"/>
      <c r="N42" s="7">
        <f t="shared" si="22"/>
        <v>1.6788010061486862</v>
      </c>
      <c r="O42" s="11"/>
      <c r="P42" s="6">
        <v>7162.72</v>
      </c>
      <c r="Q42" s="2"/>
      <c r="R42" s="7">
        <f t="shared" si="23"/>
        <v>1.3048472625955931E-2</v>
      </c>
      <c r="S42" s="2"/>
      <c r="T42" s="6">
        <v>3719.34</v>
      </c>
      <c r="U42" s="2"/>
      <c r="V42" s="7">
        <f t="shared" si="24"/>
        <v>2.9842945296037579E-2</v>
      </c>
      <c r="W42" s="2"/>
      <c r="X42" s="6">
        <f t="shared" si="25"/>
        <v>3443.38</v>
      </c>
      <c r="Y42" s="2"/>
      <c r="Z42" s="7">
        <f t="shared" si="26"/>
        <v>0.92580404050180942</v>
      </c>
    </row>
    <row r="43" spans="1:26" s="29" customFormat="1" outlineLevel="1" collapsed="1" x14ac:dyDescent="0.3">
      <c r="A43" s="28"/>
      <c r="B43" s="14" t="str">
        <f>CONCATENATE("     ","*Payroll                                          ")</f>
        <v xml:space="preserve">     *Payroll                                          </v>
      </c>
      <c r="C43" s="14"/>
      <c r="D43" s="1">
        <f>SUM(OSRRefD22_1x_0)</f>
        <v>65477.14</v>
      </c>
      <c r="E43" s="1"/>
      <c r="F43" s="5">
        <f t="shared" ref="F43:F48" si="27">IF(D$12=0,0,D43/D$12)</f>
        <v>0.55660299568860361</v>
      </c>
      <c r="G43" s="1"/>
      <c r="H43" s="1">
        <f>SUM(OSRRefH22_1x_0)</f>
        <v>29696.65</v>
      </c>
      <c r="I43" s="1"/>
      <c r="J43" s="5">
        <f t="shared" ref="J43:J48" si="28">IF(H$12=0,0,H43/H$12)</f>
        <v>0.4629137017492474</v>
      </c>
      <c r="K43" s="1"/>
      <c r="L43" s="1">
        <f t="shared" ref="L43:L48" si="29">+D43-H43</f>
        <v>35780.49</v>
      </c>
      <c r="M43" s="1"/>
      <c r="N43" s="5">
        <f t="shared" ref="N43:N48" si="30">IF(H43=0,0,L43/H43)</f>
        <v>1.2048662054474157</v>
      </c>
      <c r="O43" s="14"/>
      <c r="P43" s="1">
        <f>SUM(OSRRefP22_1x_0)</f>
        <v>340368.12</v>
      </c>
      <c r="Q43" s="1"/>
      <c r="R43" s="5">
        <f t="shared" ref="R43:R48" si="31">IF(P$12=0,0,P43/P$12)</f>
        <v>0.62005552312083723</v>
      </c>
      <c r="S43" s="1"/>
      <c r="T43" s="1">
        <f>SUM(OSRRefT22_1x_0)</f>
        <v>196433.55000000002</v>
      </c>
      <c r="U43" s="1"/>
      <c r="V43" s="5">
        <f t="shared" ref="V43:V48" si="32">IF(T$12=0,0,T43/T$12)</f>
        <v>1.5761279385472859</v>
      </c>
      <c r="W43" s="1"/>
      <c r="X43" s="1">
        <f t="shared" ref="X43:X48" si="33">+P43-T43</f>
        <v>143934.56999999998</v>
      </c>
      <c r="Y43" s="1"/>
      <c r="Z43" s="5">
        <f t="shared" ref="Z43:Z48" si="34">IF(T43=0,0,X43/T43)</f>
        <v>0.73273923930000739</v>
      </c>
    </row>
    <row r="44" spans="1:26" s="24" customFormat="1" hidden="1" outlineLevel="2" x14ac:dyDescent="0.3">
      <c r="A44" s="27"/>
      <c r="B44" s="11" t="str">
        <f>CONCATENATE("          ", "6001", " - ", "ADMINISTRATIVE SALARIES")</f>
        <v xml:space="preserve">          6001 - ADMINISTRATIVE SALARIES</v>
      </c>
      <c r="C44" s="11"/>
      <c r="D44" s="6">
        <v>9209.65</v>
      </c>
      <c r="E44" s="2"/>
      <c r="F44" s="7">
        <f t="shared" si="27"/>
        <v>7.828867875480737E-2</v>
      </c>
      <c r="G44" s="2"/>
      <c r="H44" s="6">
        <v>9962.35</v>
      </c>
      <c r="I44" s="2"/>
      <c r="J44" s="7">
        <f t="shared" si="28"/>
        <v>0.15529389061128493</v>
      </c>
      <c r="K44" s="2"/>
      <c r="L44" s="6">
        <f t="shared" si="29"/>
        <v>-752.70000000000073</v>
      </c>
      <c r="M44" s="2"/>
      <c r="N44" s="7">
        <f t="shared" si="30"/>
        <v>-7.5554462551506496E-2</v>
      </c>
      <c r="O44" s="11"/>
      <c r="P44" s="6">
        <v>52933.31</v>
      </c>
      <c r="Q44" s="2"/>
      <c r="R44" s="7">
        <f t="shared" si="31"/>
        <v>9.6429686841903534E-2</v>
      </c>
      <c r="S44" s="2"/>
      <c r="T44" s="6">
        <v>53824.38</v>
      </c>
      <c r="U44" s="2"/>
      <c r="V44" s="7">
        <f t="shared" si="32"/>
        <v>0.43187179121380109</v>
      </c>
      <c r="W44" s="2"/>
      <c r="X44" s="6">
        <f t="shared" si="33"/>
        <v>-891.06999999999971</v>
      </c>
      <c r="Y44" s="2"/>
      <c r="Z44" s="7">
        <f t="shared" si="34"/>
        <v>-1.655513728165563E-2</v>
      </c>
    </row>
    <row r="45" spans="1:26" s="24" customFormat="1" hidden="1" outlineLevel="2" x14ac:dyDescent="0.3">
      <c r="A45" s="27"/>
      <c r="B45" s="11" t="str">
        <f>CONCATENATE("          ", "6002", " - ", "STAFF SALARIES")</f>
        <v xml:space="preserve">          6002 - STAFF SALARIES</v>
      </c>
      <c r="C45" s="11"/>
      <c r="D45" s="6">
        <v>21413.4</v>
      </c>
      <c r="E45" s="2"/>
      <c r="F45" s="7">
        <f t="shared" si="27"/>
        <v>0.18202937067621378</v>
      </c>
      <c r="G45" s="2"/>
      <c r="H45" s="6">
        <v>16607.05</v>
      </c>
      <c r="I45" s="2"/>
      <c r="J45" s="7">
        <f t="shared" si="28"/>
        <v>0.25887199366375796</v>
      </c>
      <c r="K45" s="2"/>
      <c r="L45" s="6">
        <f t="shared" si="29"/>
        <v>4806.3500000000022</v>
      </c>
      <c r="M45" s="2"/>
      <c r="N45" s="7">
        <f t="shared" si="30"/>
        <v>0.28941624189726667</v>
      </c>
      <c r="O45" s="11"/>
      <c r="P45" s="6">
        <v>110936.4</v>
      </c>
      <c r="Q45" s="2"/>
      <c r="R45" s="7">
        <f t="shared" si="31"/>
        <v>0.20209509496700939</v>
      </c>
      <c r="S45" s="2"/>
      <c r="T45" s="6">
        <v>119806.32</v>
      </c>
      <c r="U45" s="2"/>
      <c r="V45" s="7">
        <f t="shared" si="32"/>
        <v>0.9612924480901377</v>
      </c>
      <c r="W45" s="2"/>
      <c r="X45" s="6">
        <f t="shared" si="33"/>
        <v>-8869.9200000000128</v>
      </c>
      <c r="Y45" s="2"/>
      <c r="Z45" s="7">
        <f t="shared" si="34"/>
        <v>-7.4035493286163975E-2</v>
      </c>
    </row>
    <row r="46" spans="1:26" s="24" customFormat="1" hidden="1" outlineLevel="2" x14ac:dyDescent="0.3">
      <c r="A46" s="27"/>
      <c r="B46" s="11" t="str">
        <f>CONCATENATE("          ", "6004", " - ", "STAFF HOURLY")</f>
        <v xml:space="preserve">          6004 - STAFF HOURLY</v>
      </c>
      <c r="C46" s="11"/>
      <c r="D46" s="6">
        <v>9506.17</v>
      </c>
      <c r="E46" s="2"/>
      <c r="F46" s="7">
        <f t="shared" si="27"/>
        <v>8.0809312983510476E-2</v>
      </c>
      <c r="G46" s="2"/>
      <c r="H46" s="6">
        <v>2751.03</v>
      </c>
      <c r="I46" s="2"/>
      <c r="J46" s="7">
        <f t="shared" si="28"/>
        <v>4.2883270703033244E-2</v>
      </c>
      <c r="K46" s="2"/>
      <c r="L46" s="6">
        <f t="shared" si="29"/>
        <v>6755.1399999999994</v>
      </c>
      <c r="M46" s="2"/>
      <c r="N46" s="7">
        <f t="shared" si="30"/>
        <v>2.4554948510194361</v>
      </c>
      <c r="O46" s="11"/>
      <c r="P46" s="6">
        <v>45857.14</v>
      </c>
      <c r="Q46" s="2"/>
      <c r="R46" s="7">
        <f t="shared" si="31"/>
        <v>8.3538884110314071E-2</v>
      </c>
      <c r="S46" s="2"/>
      <c r="T46" s="6">
        <v>18098.330000000002</v>
      </c>
      <c r="U46" s="2"/>
      <c r="V46" s="7">
        <f t="shared" si="32"/>
        <v>0.14521594480193686</v>
      </c>
      <c r="W46" s="2"/>
      <c r="X46" s="6">
        <f t="shared" si="33"/>
        <v>27758.809999999998</v>
      </c>
      <c r="Y46" s="2"/>
      <c r="Z46" s="7">
        <f t="shared" si="34"/>
        <v>1.5337774258729946</v>
      </c>
    </row>
    <row r="47" spans="1:26" s="24" customFormat="1" hidden="1" outlineLevel="2" x14ac:dyDescent="0.3">
      <c r="A47" s="27"/>
      <c r="B47" s="11" t="str">
        <f>CONCATENATE("          ", "6005", " - ", "TEMPORARY WAGES-HOURLY")</f>
        <v xml:space="preserve">          6005 - TEMPORARY WAGES-HOURLY</v>
      </c>
      <c r="C47" s="11"/>
      <c r="D47" s="6">
        <v>10102.19</v>
      </c>
      <c r="E47" s="2"/>
      <c r="F47" s="7">
        <f t="shared" si="27"/>
        <v>8.5875913593896347E-2</v>
      </c>
      <c r="G47" s="2"/>
      <c r="H47" s="6">
        <v>376.22</v>
      </c>
      <c r="I47" s="2"/>
      <c r="J47" s="7">
        <f t="shared" si="28"/>
        <v>5.8645467711712215E-3</v>
      </c>
      <c r="K47" s="2"/>
      <c r="L47" s="6">
        <f t="shared" si="29"/>
        <v>9725.9700000000012</v>
      </c>
      <c r="M47" s="2"/>
      <c r="N47" s="7">
        <f t="shared" si="30"/>
        <v>25.851815427143695</v>
      </c>
      <c r="O47" s="11"/>
      <c r="P47" s="6">
        <v>61954.64</v>
      </c>
      <c r="Q47" s="2"/>
      <c r="R47" s="7">
        <f t="shared" si="31"/>
        <v>0.11286402708621227</v>
      </c>
      <c r="S47" s="2"/>
      <c r="T47" s="6">
        <v>4634.8100000000004</v>
      </c>
      <c r="U47" s="2"/>
      <c r="V47" s="7">
        <f t="shared" si="32"/>
        <v>3.718842087239347E-2</v>
      </c>
      <c r="W47" s="2"/>
      <c r="X47" s="6">
        <f t="shared" si="33"/>
        <v>57319.83</v>
      </c>
      <c r="Y47" s="2"/>
      <c r="Z47" s="7">
        <f t="shared" si="34"/>
        <v>12.367244827727566</v>
      </c>
    </row>
    <row r="48" spans="1:26" s="24" customFormat="1" hidden="1" outlineLevel="2" x14ac:dyDescent="0.3">
      <c r="A48" s="27"/>
      <c r="B48" s="11" t="str">
        <f>CONCATENATE("          ", "6007", " - ", "STUDENT HOURLY")</f>
        <v xml:space="preserve">          6007 - STUDENT HOURLY</v>
      </c>
      <c r="C48" s="11"/>
      <c r="D48" s="6">
        <v>15245.73</v>
      </c>
      <c r="E48" s="2"/>
      <c r="F48" s="7">
        <f t="shared" si="27"/>
        <v>0.12959971968017561</v>
      </c>
      <c r="G48" s="2"/>
      <c r="H48" s="6"/>
      <c r="I48" s="2"/>
      <c r="J48" s="7">
        <f t="shared" si="28"/>
        <v>0</v>
      </c>
      <c r="K48" s="2"/>
      <c r="L48" s="6">
        <f t="shared" si="29"/>
        <v>15245.73</v>
      </c>
      <c r="M48" s="2"/>
      <c r="N48" s="7">
        <f t="shared" si="30"/>
        <v>0</v>
      </c>
      <c r="O48" s="11"/>
      <c r="P48" s="6">
        <v>68686.63</v>
      </c>
      <c r="Q48" s="2"/>
      <c r="R48" s="7">
        <f t="shared" si="31"/>
        <v>0.12512783011539799</v>
      </c>
      <c r="S48" s="2"/>
      <c r="T48" s="6">
        <v>69.709999999999994</v>
      </c>
      <c r="U48" s="2"/>
      <c r="V48" s="7">
        <f t="shared" si="32"/>
        <v>5.5933356901675545E-4</v>
      </c>
      <c r="W48" s="2"/>
      <c r="X48" s="6">
        <f t="shared" si="33"/>
        <v>68616.92</v>
      </c>
      <c r="Y48" s="2"/>
      <c r="Z48" s="7">
        <f t="shared" si="34"/>
        <v>984.31960981207862</v>
      </c>
    </row>
    <row r="49" spans="1:26" s="29" customFormat="1" outlineLevel="1" collapsed="1" x14ac:dyDescent="0.3">
      <c r="A49" s="28"/>
      <c r="B49" s="14" t="str">
        <f>CONCATENATE("     ","Advertising/Promo                                 ")</f>
        <v xml:space="preserve">     Advertising/Promo                                 </v>
      </c>
      <c r="C49" s="14"/>
      <c r="D49" s="1">
        <f>SUM(OSRRefD22_2x_0)</f>
        <v>149.79</v>
      </c>
      <c r="E49" s="1"/>
      <c r="F49" s="5">
        <f t="shared" ref="F49:F57" si="35">IF(D$12=0,0,D49/D$12)</f>
        <v>1.2733232197404457E-3</v>
      </c>
      <c r="G49" s="1"/>
      <c r="H49" s="1">
        <f>SUM(OSRRefH22_2x_0)</f>
        <v>15.9</v>
      </c>
      <c r="I49" s="1"/>
      <c r="J49" s="5">
        <f t="shared" ref="J49:J57" si="36">IF(H$12=0,0,H49/H$12)</f>
        <v>2.4785044298979966E-4</v>
      </c>
      <c r="K49" s="1"/>
      <c r="L49" s="1">
        <f t="shared" ref="L49:L57" si="37">+D49-H49</f>
        <v>133.88999999999999</v>
      </c>
      <c r="M49" s="1"/>
      <c r="N49" s="5">
        <f t="shared" ref="N49:N57" si="38">IF(H49=0,0,L49/H49)</f>
        <v>8.420754716981131</v>
      </c>
      <c r="O49" s="14"/>
      <c r="P49" s="1">
        <f>SUM(OSRRefP22_2x_0)</f>
        <v>961.05</v>
      </c>
      <c r="Q49" s="1"/>
      <c r="R49" s="5">
        <f t="shared" ref="R49:R57" si="39">IF(P$12=0,0,P49/P$12)</f>
        <v>1.7507643209807094E-3</v>
      </c>
      <c r="S49" s="1"/>
      <c r="T49" s="1">
        <f>SUM(OSRRefT22_2x_0)</f>
        <v>126.53</v>
      </c>
      <c r="U49" s="1"/>
      <c r="V49" s="5">
        <f t="shared" ref="V49:V57" si="40">IF(T$12=0,0,T49/T$12)</f>
        <v>1.015241378391767E-3</v>
      </c>
      <c r="W49" s="1"/>
      <c r="X49" s="1">
        <f t="shared" ref="X49:X57" si="41">+P49-T49</f>
        <v>834.52</v>
      </c>
      <c r="Y49" s="1"/>
      <c r="Z49" s="5">
        <f t="shared" ref="Z49:Z57" si="42">IF(T49=0,0,X49/T49)</f>
        <v>6.5954319133802262</v>
      </c>
    </row>
    <row r="50" spans="1:26" s="24" customFormat="1" hidden="1" outlineLevel="2" x14ac:dyDescent="0.3">
      <c r="A50" s="27"/>
      <c r="B50" s="11" t="str">
        <f>CONCATENATE("          ", "6362", " - ", "ADVERTISING EXPENSE")</f>
        <v xml:space="preserve">          6362 - ADVERTISING EXPENSE</v>
      </c>
      <c r="C50" s="11"/>
      <c r="D50" s="6">
        <v>149.79</v>
      </c>
      <c r="E50" s="2"/>
      <c r="F50" s="7">
        <f t="shared" si="35"/>
        <v>1.2733232197404457E-3</v>
      </c>
      <c r="G50" s="2"/>
      <c r="H50" s="6">
        <v>15.9</v>
      </c>
      <c r="I50" s="2"/>
      <c r="J50" s="7">
        <f t="shared" si="36"/>
        <v>2.4785044298979966E-4</v>
      </c>
      <c r="K50" s="2"/>
      <c r="L50" s="6">
        <f t="shared" si="37"/>
        <v>133.88999999999999</v>
      </c>
      <c r="M50" s="2"/>
      <c r="N50" s="7">
        <f t="shared" si="38"/>
        <v>8.420754716981131</v>
      </c>
      <c r="O50" s="11"/>
      <c r="P50" s="6">
        <v>961.05</v>
      </c>
      <c r="Q50" s="2"/>
      <c r="R50" s="7">
        <f t="shared" si="39"/>
        <v>1.7507643209807094E-3</v>
      </c>
      <c r="S50" s="2"/>
      <c r="T50" s="6">
        <v>126.53</v>
      </c>
      <c r="U50" s="2"/>
      <c r="V50" s="7">
        <f t="shared" si="40"/>
        <v>1.015241378391767E-3</v>
      </c>
      <c r="W50" s="2"/>
      <c r="X50" s="6">
        <f t="shared" si="41"/>
        <v>834.52</v>
      </c>
      <c r="Y50" s="2"/>
      <c r="Z50" s="7">
        <f t="shared" si="42"/>
        <v>6.5954319133802262</v>
      </c>
    </row>
    <row r="51" spans="1:26" s="29" customFormat="1" outlineLevel="1" collapsed="1" x14ac:dyDescent="0.3">
      <c r="A51" s="28"/>
      <c r="B51" s="14" t="str">
        <f>CONCATENATE("     ","Bad Debts/Over/Short                              ")</f>
        <v xml:space="preserve">     Bad Debts/Over/Short                              </v>
      </c>
      <c r="C51" s="14"/>
      <c r="D51" s="1">
        <f>SUM(OSRRefD22_3x_0)</f>
        <v>6.25</v>
      </c>
      <c r="E51" s="1"/>
      <c r="F51" s="5">
        <f t="shared" si="35"/>
        <v>5.3129515477520436E-5</v>
      </c>
      <c r="G51" s="1"/>
      <c r="H51" s="1">
        <f>SUM(OSRRefH22_3x_0)</f>
        <v>-1331.23</v>
      </c>
      <c r="I51" s="1"/>
      <c r="J51" s="5">
        <f t="shared" si="36"/>
        <v>-2.0751317309516414E-2</v>
      </c>
      <c r="K51" s="1"/>
      <c r="L51" s="1">
        <f t="shared" si="37"/>
        <v>1337.48</v>
      </c>
      <c r="M51" s="1"/>
      <c r="N51" s="5">
        <f t="shared" si="38"/>
        <v>-1.0046949062145534</v>
      </c>
      <c r="O51" s="14"/>
      <c r="P51" s="1">
        <f>SUM(OSRRefP22_3x_0)</f>
        <v>-97.67</v>
      </c>
      <c r="Q51" s="1"/>
      <c r="R51" s="5">
        <f t="shared" si="39"/>
        <v>-1.7792742441099412E-4</v>
      </c>
      <c r="S51" s="1"/>
      <c r="T51" s="1">
        <f>SUM(OSRRefT22_3x_0)</f>
        <v>10.36</v>
      </c>
      <c r="U51" s="1"/>
      <c r="V51" s="5">
        <f t="shared" si="40"/>
        <v>8.3125746306320279E-5</v>
      </c>
      <c r="W51" s="1"/>
      <c r="X51" s="1">
        <f t="shared" si="41"/>
        <v>-108.03</v>
      </c>
      <c r="Y51" s="1"/>
      <c r="Z51" s="5">
        <f t="shared" si="42"/>
        <v>-10.427606177606178</v>
      </c>
    </row>
    <row r="52" spans="1:26" s="24" customFormat="1" hidden="1" outlineLevel="2" x14ac:dyDescent="0.3">
      <c r="A52" s="27"/>
      <c r="B52" s="11" t="str">
        <f>CONCATENATE("          ", "6272", " - ", "CASH (OVER/SHORT)")</f>
        <v xml:space="preserve">          6272 - CASH (OVER/SHORT)</v>
      </c>
      <c r="C52" s="11"/>
      <c r="D52" s="6">
        <v>6.25</v>
      </c>
      <c r="E52" s="2"/>
      <c r="F52" s="7">
        <f t="shared" si="35"/>
        <v>5.3129515477520436E-5</v>
      </c>
      <c r="G52" s="2"/>
      <c r="H52" s="6">
        <v>-1331.23</v>
      </c>
      <c r="I52" s="2"/>
      <c r="J52" s="7">
        <f t="shared" si="36"/>
        <v>-2.0751317309516414E-2</v>
      </c>
      <c r="K52" s="2"/>
      <c r="L52" s="6">
        <f t="shared" si="37"/>
        <v>1337.48</v>
      </c>
      <c r="M52" s="2"/>
      <c r="N52" s="7">
        <f t="shared" si="38"/>
        <v>-1.0046949062145534</v>
      </c>
      <c r="O52" s="11"/>
      <c r="P52" s="6">
        <v>-97.67</v>
      </c>
      <c r="Q52" s="2"/>
      <c r="R52" s="7">
        <f t="shared" si="39"/>
        <v>-1.7792742441099412E-4</v>
      </c>
      <c r="S52" s="2"/>
      <c r="T52" s="6">
        <v>10.36</v>
      </c>
      <c r="U52" s="2"/>
      <c r="V52" s="7">
        <f t="shared" si="40"/>
        <v>8.3125746306320279E-5</v>
      </c>
      <c r="W52" s="2"/>
      <c r="X52" s="6">
        <f t="shared" si="41"/>
        <v>-108.03</v>
      </c>
      <c r="Y52" s="2"/>
      <c r="Z52" s="7">
        <f t="shared" si="42"/>
        <v>-10.427606177606178</v>
      </c>
    </row>
    <row r="53" spans="1:26" s="29" customFormat="1" outlineLevel="1" collapsed="1" x14ac:dyDescent="0.3">
      <c r="A53" s="28"/>
      <c r="B53" s="14" t="str">
        <f>CONCATENATE("     ","Bank/card Fees                                    ")</f>
        <v xml:space="preserve">     Bank/card Fees                                    </v>
      </c>
      <c r="C53" s="14"/>
      <c r="D53" s="1">
        <f>SUM(OSRRefD22_4x_0)</f>
        <v>5070.1099999999997</v>
      </c>
      <c r="E53" s="1"/>
      <c r="F53" s="5">
        <f t="shared" si="35"/>
        <v>4.3099598034836976E-2</v>
      </c>
      <c r="G53" s="1"/>
      <c r="H53" s="1">
        <f>SUM(OSRRefH22_4x_0)</f>
        <v>952.48</v>
      </c>
      <c r="I53" s="1"/>
      <c r="J53" s="5">
        <f t="shared" si="36"/>
        <v>1.484733270056128E-2</v>
      </c>
      <c r="K53" s="1"/>
      <c r="L53" s="1">
        <f t="shared" si="37"/>
        <v>4117.6299999999992</v>
      </c>
      <c r="M53" s="1"/>
      <c r="N53" s="5">
        <f t="shared" si="38"/>
        <v>4.3230619015622365</v>
      </c>
      <c r="O53" s="14"/>
      <c r="P53" s="1">
        <f>SUM(OSRRefP22_4x_0)</f>
        <v>22050.41</v>
      </c>
      <c r="Q53" s="1"/>
      <c r="R53" s="5">
        <f t="shared" si="39"/>
        <v>4.0169680132143226E-2</v>
      </c>
      <c r="S53" s="1"/>
      <c r="T53" s="1">
        <f>SUM(OSRRefT22_4x_0)</f>
        <v>3254.53</v>
      </c>
      <c r="U53" s="1"/>
      <c r="V53" s="5">
        <f t="shared" si="40"/>
        <v>2.6113439684006621E-2</v>
      </c>
      <c r="W53" s="1"/>
      <c r="X53" s="1">
        <f t="shared" si="41"/>
        <v>18795.88</v>
      </c>
      <c r="Y53" s="1"/>
      <c r="Z53" s="5">
        <f t="shared" si="42"/>
        <v>5.7752978156600188</v>
      </c>
    </row>
    <row r="54" spans="1:26" s="24" customFormat="1" hidden="1" outlineLevel="2" x14ac:dyDescent="0.3">
      <c r="A54" s="27"/>
      <c r="B54" s="11" t="str">
        <f>CONCATENATE("          ", "6381", " - ", "BANK/CREDIT CARD FEES")</f>
        <v xml:space="preserve">          6381 - BANK/CREDIT CARD FEES</v>
      </c>
      <c r="C54" s="11"/>
      <c r="D54" s="6">
        <v>5070.1099999999997</v>
      </c>
      <c r="E54" s="2"/>
      <c r="F54" s="7">
        <f t="shared" si="35"/>
        <v>4.3099598034836976E-2</v>
      </c>
      <c r="G54" s="2"/>
      <c r="H54" s="6">
        <v>952.48</v>
      </c>
      <c r="I54" s="2"/>
      <c r="J54" s="7">
        <f t="shared" si="36"/>
        <v>1.484733270056128E-2</v>
      </c>
      <c r="K54" s="2"/>
      <c r="L54" s="6">
        <f t="shared" si="37"/>
        <v>4117.6299999999992</v>
      </c>
      <c r="M54" s="2"/>
      <c r="N54" s="7">
        <f t="shared" si="38"/>
        <v>4.3230619015622365</v>
      </c>
      <c r="O54" s="11"/>
      <c r="P54" s="6">
        <v>22050.41</v>
      </c>
      <c r="Q54" s="2"/>
      <c r="R54" s="7">
        <f t="shared" si="39"/>
        <v>4.0169680132143226E-2</v>
      </c>
      <c r="S54" s="2"/>
      <c r="T54" s="6">
        <v>3254.53</v>
      </c>
      <c r="U54" s="2"/>
      <c r="V54" s="7">
        <f t="shared" si="40"/>
        <v>2.6113439684006621E-2</v>
      </c>
      <c r="W54" s="2"/>
      <c r="X54" s="6">
        <f t="shared" si="41"/>
        <v>18795.88</v>
      </c>
      <c r="Y54" s="2"/>
      <c r="Z54" s="7">
        <f t="shared" si="42"/>
        <v>5.7752978156600188</v>
      </c>
    </row>
    <row r="55" spans="1:26" s="29" customFormat="1" outlineLevel="1" collapsed="1" x14ac:dyDescent="0.3">
      <c r="A55" s="28"/>
      <c r="B55" s="14" t="str">
        <f>CONCATENATE("     ","Depreciation                                      ")</f>
        <v xml:space="preserve">     Depreciation                                      </v>
      </c>
      <c r="C55" s="14"/>
      <c r="D55" s="1">
        <f>SUM(OSRRefD22_5x_0)</f>
        <v>39106.79</v>
      </c>
      <c r="E55" s="1"/>
      <c r="F55" s="5">
        <f t="shared" si="35"/>
        <v>0.33243596873298265</v>
      </c>
      <c r="G55" s="1"/>
      <c r="H55" s="1">
        <f>SUM(OSRRefH22_5x_0)</f>
        <v>45872.85</v>
      </c>
      <c r="I55" s="1"/>
      <c r="J55" s="5">
        <f t="shared" si="36"/>
        <v>0.71506957193110887</v>
      </c>
      <c r="K55" s="1"/>
      <c r="L55" s="1">
        <f t="shared" si="37"/>
        <v>-6766.0599999999977</v>
      </c>
      <c r="M55" s="1"/>
      <c r="N55" s="5">
        <f t="shared" si="38"/>
        <v>-0.14749595893867501</v>
      </c>
      <c r="O55" s="14"/>
      <c r="P55" s="1">
        <f>SUM(OSRRefP22_5x_0)</f>
        <v>198054.45</v>
      </c>
      <c r="Q55" s="1"/>
      <c r="R55" s="5">
        <f t="shared" si="39"/>
        <v>0.36079981756563956</v>
      </c>
      <c r="S55" s="1"/>
      <c r="T55" s="1">
        <f>SUM(OSRRefT22_5x_0)</f>
        <v>232369.05</v>
      </c>
      <c r="U55" s="1"/>
      <c r="V55" s="5">
        <f t="shared" si="40"/>
        <v>1.8644643532568197</v>
      </c>
      <c r="W55" s="1"/>
      <c r="X55" s="1">
        <f t="shared" si="41"/>
        <v>-34314.599999999977</v>
      </c>
      <c r="Y55" s="1"/>
      <c r="Z55" s="5">
        <f t="shared" si="42"/>
        <v>-0.14767285057971352</v>
      </c>
    </row>
    <row r="56" spans="1:26" s="24" customFormat="1" hidden="1" outlineLevel="2" x14ac:dyDescent="0.3">
      <c r="A56" s="27"/>
      <c r="B56" s="11" t="str">
        <f>CONCATENATE("          ", "6321", " - ", "BUILDING DEPRECIATION")</f>
        <v xml:space="preserve">          6321 - BUILDING DEPRECIATION</v>
      </c>
      <c r="C56" s="11"/>
      <c r="D56" s="6">
        <v>28619.91</v>
      </c>
      <c r="E56" s="2"/>
      <c r="F56" s="7">
        <f t="shared" si="35"/>
        <v>0.24328991220963869</v>
      </c>
      <c r="G56" s="2"/>
      <c r="H56" s="6">
        <v>28664</v>
      </c>
      <c r="I56" s="2"/>
      <c r="J56" s="7">
        <f t="shared" si="36"/>
        <v>0.44681667282135956</v>
      </c>
      <c r="K56" s="2"/>
      <c r="L56" s="6">
        <f t="shared" si="37"/>
        <v>-44.090000000000146</v>
      </c>
      <c r="M56" s="2"/>
      <c r="N56" s="7">
        <f t="shared" si="38"/>
        <v>-1.5381663410549869E-3</v>
      </c>
      <c r="O56" s="11"/>
      <c r="P56" s="6">
        <v>143187.69</v>
      </c>
      <c r="Q56" s="2"/>
      <c r="R56" s="7">
        <f t="shared" si="39"/>
        <v>0.26084792555605468</v>
      </c>
      <c r="S56" s="2"/>
      <c r="T56" s="6">
        <v>144104.19</v>
      </c>
      <c r="U56" s="2"/>
      <c r="V56" s="7">
        <f t="shared" si="40"/>
        <v>1.1562517702333761</v>
      </c>
      <c r="W56" s="2"/>
      <c r="X56" s="6">
        <f t="shared" si="41"/>
        <v>-916.5</v>
      </c>
      <c r="Y56" s="2"/>
      <c r="Z56" s="7">
        <f t="shared" si="42"/>
        <v>-6.359981621630849E-3</v>
      </c>
    </row>
    <row r="57" spans="1:26" s="24" customFormat="1" hidden="1" outlineLevel="2" x14ac:dyDescent="0.3">
      <c r="A57" s="27"/>
      <c r="B57" s="11" t="str">
        <f>CONCATENATE("          ", "6322", " - ", "EQUIPMENT DEPRECIATION EXPENSE")</f>
        <v xml:space="preserve">          6322 - EQUIPMENT DEPRECIATION EXPENSE</v>
      </c>
      <c r="C57" s="11"/>
      <c r="D57" s="6">
        <v>10486.88</v>
      </c>
      <c r="E57" s="2"/>
      <c r="F57" s="7">
        <f t="shared" si="35"/>
        <v>8.9146056523343911E-2</v>
      </c>
      <c r="G57" s="2"/>
      <c r="H57" s="6">
        <v>17208.849999999999</v>
      </c>
      <c r="I57" s="2"/>
      <c r="J57" s="7">
        <f t="shared" si="36"/>
        <v>0.26825289910974925</v>
      </c>
      <c r="K57" s="2"/>
      <c r="L57" s="6">
        <f t="shared" si="37"/>
        <v>-6721.9699999999993</v>
      </c>
      <c r="M57" s="2"/>
      <c r="N57" s="7">
        <f t="shared" si="38"/>
        <v>-0.39061122620047245</v>
      </c>
      <c r="O57" s="11"/>
      <c r="P57" s="6">
        <v>54866.76</v>
      </c>
      <c r="Q57" s="2"/>
      <c r="R57" s="7">
        <f t="shared" si="39"/>
        <v>9.9951892009584889E-2</v>
      </c>
      <c r="S57" s="2"/>
      <c r="T57" s="6">
        <v>88264.86</v>
      </c>
      <c r="U57" s="2"/>
      <c r="V57" s="7">
        <f t="shared" si="40"/>
        <v>0.7082125830234437</v>
      </c>
      <c r="W57" s="2"/>
      <c r="X57" s="6">
        <f t="shared" si="41"/>
        <v>-33398.1</v>
      </c>
      <c r="Y57" s="2"/>
      <c r="Z57" s="7">
        <f t="shared" si="42"/>
        <v>-0.37838501075059766</v>
      </c>
    </row>
    <row r="58" spans="1:26" s="29" customFormat="1" outlineLevel="1" collapsed="1" x14ac:dyDescent="0.3">
      <c r="A58" s="28"/>
      <c r="B58" s="14" t="str">
        <f>CONCATENATE("     ","Employees' Appreciation                           ")</f>
        <v xml:space="preserve">     Employees' Appreciation                           </v>
      </c>
      <c r="C58" s="14"/>
      <c r="D58" s="1">
        <f>SUM(OSRRefD22_6x_0)</f>
        <v>0</v>
      </c>
      <c r="E58" s="1"/>
      <c r="F58" s="5">
        <f t="shared" ref="F58:F64" si="43">IF(D$12=0,0,D58/D$12)</f>
        <v>0</v>
      </c>
      <c r="G58" s="1"/>
      <c r="H58" s="1">
        <f>SUM(OSRRefH22_6x_0)</f>
        <v>0</v>
      </c>
      <c r="I58" s="1"/>
      <c r="J58" s="5">
        <f t="shared" ref="J58:J64" si="44">IF(H$12=0,0,H58/H$12)</f>
        <v>0</v>
      </c>
      <c r="K58" s="1"/>
      <c r="L58" s="1">
        <f t="shared" ref="L58:L64" si="45">+D58-H58</f>
        <v>0</v>
      </c>
      <c r="M58" s="1"/>
      <c r="N58" s="5">
        <f t="shared" ref="N58:N64" si="46">IF(H58=0,0,L58/H58)</f>
        <v>0</v>
      </c>
      <c r="O58" s="14"/>
      <c r="P58" s="1">
        <f>SUM(OSRRefP22_6x_0)</f>
        <v>141.16999999999999</v>
      </c>
      <c r="Q58" s="1"/>
      <c r="R58" s="5">
        <f t="shared" ref="R58:R64" si="47">IF(P$12=0,0,P58/P$12)</f>
        <v>2.5717225866796396E-4</v>
      </c>
      <c r="S58" s="1"/>
      <c r="T58" s="1">
        <f>SUM(OSRRefT22_6x_0)</f>
        <v>0</v>
      </c>
      <c r="U58" s="1"/>
      <c r="V58" s="5">
        <f t="shared" ref="V58:V64" si="48">IF(T$12=0,0,T58/T$12)</f>
        <v>0</v>
      </c>
      <c r="W58" s="1"/>
      <c r="X58" s="1">
        <f t="shared" ref="X58:X64" si="49">+P58-T58</f>
        <v>141.16999999999999</v>
      </c>
      <c r="Y58" s="1"/>
      <c r="Z58" s="5">
        <f t="shared" ref="Z58:Z64" si="50">IF(T58=0,0,X58/T58)</f>
        <v>0</v>
      </c>
    </row>
    <row r="59" spans="1:26" s="24" customFormat="1" hidden="1" outlineLevel="2" x14ac:dyDescent="0.3">
      <c r="A59" s="27"/>
      <c r="B59" s="11" t="str">
        <f>CONCATENATE("          ", "6277", " - ", "EMPLOYEE APPRECIATION")</f>
        <v xml:space="preserve">          6277 - EMPLOYEE APPRECIATION</v>
      </c>
      <c r="C59" s="11"/>
      <c r="D59" s="6"/>
      <c r="E59" s="2"/>
      <c r="F59" s="7">
        <f t="shared" si="43"/>
        <v>0</v>
      </c>
      <c r="G59" s="2"/>
      <c r="H59" s="6"/>
      <c r="I59" s="2"/>
      <c r="J59" s="7">
        <f t="shared" si="44"/>
        <v>0</v>
      </c>
      <c r="K59" s="2"/>
      <c r="L59" s="6">
        <f t="shared" si="45"/>
        <v>0</v>
      </c>
      <c r="M59" s="2"/>
      <c r="N59" s="7">
        <f t="shared" si="46"/>
        <v>0</v>
      </c>
      <c r="O59" s="11"/>
      <c r="P59" s="6">
        <v>141.16999999999999</v>
      </c>
      <c r="Q59" s="2"/>
      <c r="R59" s="7">
        <f t="shared" si="47"/>
        <v>2.5717225866796396E-4</v>
      </c>
      <c r="S59" s="2"/>
      <c r="T59" s="6"/>
      <c r="U59" s="2"/>
      <c r="V59" s="7">
        <f t="shared" si="48"/>
        <v>0</v>
      </c>
      <c r="W59" s="2"/>
      <c r="X59" s="6">
        <f t="shared" si="49"/>
        <v>141.16999999999999</v>
      </c>
      <c r="Y59" s="2"/>
      <c r="Z59" s="7">
        <f t="shared" si="50"/>
        <v>0</v>
      </c>
    </row>
    <row r="60" spans="1:26" s="29" customFormat="1" outlineLevel="1" collapsed="1" x14ac:dyDescent="0.3">
      <c r="A60" s="28"/>
      <c r="B60" s="14" t="str">
        <f>CONCATENATE("     ","Equipment Rental                                  ")</f>
        <v xml:space="preserve">     Equipment Rental                                  </v>
      </c>
      <c r="C60" s="14"/>
      <c r="D60" s="1">
        <f>SUM(OSRRefD22_7x_0)</f>
        <v>726.98</v>
      </c>
      <c r="E60" s="1"/>
      <c r="F60" s="5">
        <f t="shared" si="43"/>
        <v>6.1798552258956491E-3</v>
      </c>
      <c r="G60" s="1"/>
      <c r="H60" s="1">
        <f>SUM(OSRRefH22_7x_0)</f>
        <v>775.02</v>
      </c>
      <c r="I60" s="1"/>
      <c r="J60" s="5">
        <f t="shared" si="44"/>
        <v>1.2081072347544309E-2</v>
      </c>
      <c r="K60" s="1"/>
      <c r="L60" s="1">
        <f t="shared" si="45"/>
        <v>-48.039999999999964</v>
      </c>
      <c r="M60" s="1"/>
      <c r="N60" s="5">
        <f t="shared" si="46"/>
        <v>-6.198549714846064E-2</v>
      </c>
      <c r="O60" s="14"/>
      <c r="P60" s="1">
        <f>SUM(OSRRefP22_7x_0)</f>
        <v>3651.39</v>
      </c>
      <c r="Q60" s="1"/>
      <c r="R60" s="5">
        <f t="shared" si="47"/>
        <v>6.6518113875300476E-3</v>
      </c>
      <c r="S60" s="1"/>
      <c r="T60" s="1">
        <f>SUM(OSRRefT22_7x_0)</f>
        <v>4075.69</v>
      </c>
      <c r="U60" s="1"/>
      <c r="V60" s="5">
        <f t="shared" si="48"/>
        <v>3.270219816247167E-2</v>
      </c>
      <c r="W60" s="1"/>
      <c r="X60" s="1">
        <f t="shared" si="49"/>
        <v>-424.30000000000018</v>
      </c>
      <c r="Y60" s="1"/>
      <c r="Z60" s="5">
        <f t="shared" si="50"/>
        <v>-0.10410507177925706</v>
      </c>
    </row>
    <row r="61" spans="1:26" s="24" customFormat="1" hidden="1" outlineLevel="2" x14ac:dyDescent="0.3">
      <c r="A61" s="27"/>
      <c r="B61" s="11" t="str">
        <f>CONCATENATE("          ", "6351", " - ", "EQUIPMENT RENTAL")</f>
        <v xml:space="preserve">          6351 - EQUIPMENT RENTAL</v>
      </c>
      <c r="C61" s="11"/>
      <c r="D61" s="6">
        <v>726.98</v>
      </c>
      <c r="E61" s="2"/>
      <c r="F61" s="7">
        <f t="shared" si="43"/>
        <v>6.1798552258956491E-3</v>
      </c>
      <c r="G61" s="2"/>
      <c r="H61" s="6">
        <v>775.02</v>
      </c>
      <c r="I61" s="2"/>
      <c r="J61" s="7">
        <f t="shared" si="44"/>
        <v>1.2081072347544309E-2</v>
      </c>
      <c r="K61" s="2"/>
      <c r="L61" s="6">
        <f t="shared" si="45"/>
        <v>-48.039999999999964</v>
      </c>
      <c r="M61" s="2"/>
      <c r="N61" s="7">
        <f t="shared" si="46"/>
        <v>-6.198549714846064E-2</v>
      </c>
      <c r="O61" s="11"/>
      <c r="P61" s="6">
        <v>3651.39</v>
      </c>
      <c r="Q61" s="2"/>
      <c r="R61" s="7">
        <f t="shared" si="47"/>
        <v>6.6518113875300476E-3</v>
      </c>
      <c r="S61" s="2"/>
      <c r="T61" s="6">
        <v>4075.69</v>
      </c>
      <c r="U61" s="2"/>
      <c r="V61" s="7">
        <f t="shared" si="48"/>
        <v>3.270219816247167E-2</v>
      </c>
      <c r="W61" s="2"/>
      <c r="X61" s="6">
        <f t="shared" si="49"/>
        <v>-424.30000000000018</v>
      </c>
      <c r="Y61" s="2"/>
      <c r="Z61" s="7">
        <f t="shared" si="50"/>
        <v>-0.10410507177925706</v>
      </c>
    </row>
    <row r="62" spans="1:26" s="29" customFormat="1" outlineLevel="1" collapsed="1" x14ac:dyDescent="0.3">
      <c r="A62" s="28"/>
      <c r="B62" s="14" t="str">
        <f>CONCATENATE("     ","Freight out/Postage                               ")</f>
        <v xml:space="preserve">     Freight out/Postage                               </v>
      </c>
      <c r="C62" s="14"/>
      <c r="D62" s="1">
        <f>SUM(OSRRefD22_8x_0)</f>
        <v>0</v>
      </c>
      <c r="E62" s="1"/>
      <c r="F62" s="5">
        <f t="shared" si="43"/>
        <v>0</v>
      </c>
      <c r="G62" s="1"/>
      <c r="H62" s="1">
        <f>SUM(OSRRefH22_8x_0)</f>
        <v>9.9</v>
      </c>
      <c r="I62" s="1"/>
      <c r="J62" s="5">
        <f t="shared" si="44"/>
        <v>1.5432197393704507E-4</v>
      </c>
      <c r="K62" s="1"/>
      <c r="L62" s="1">
        <f t="shared" si="45"/>
        <v>-9.9</v>
      </c>
      <c r="M62" s="1"/>
      <c r="N62" s="5">
        <f t="shared" si="46"/>
        <v>-1</v>
      </c>
      <c r="O62" s="14"/>
      <c r="P62" s="1">
        <f>SUM(OSRRefP22_8x_0)</f>
        <v>0</v>
      </c>
      <c r="Q62" s="1"/>
      <c r="R62" s="5">
        <f t="shared" si="47"/>
        <v>0</v>
      </c>
      <c r="S62" s="1"/>
      <c r="T62" s="1">
        <f>SUM(OSRRefT22_8x_0)</f>
        <v>99.92</v>
      </c>
      <c r="U62" s="1"/>
      <c r="V62" s="5">
        <f t="shared" si="48"/>
        <v>8.0173017093895012E-4</v>
      </c>
      <c r="W62" s="1"/>
      <c r="X62" s="1">
        <f t="shared" si="49"/>
        <v>-99.92</v>
      </c>
      <c r="Y62" s="1"/>
      <c r="Z62" s="5">
        <f t="shared" si="50"/>
        <v>-1</v>
      </c>
    </row>
    <row r="63" spans="1:26" s="24" customFormat="1" hidden="1" outlineLevel="2" x14ac:dyDescent="0.3">
      <c r="A63" s="27"/>
      <c r="B63" s="11" t="str">
        <f>CONCATENATE("          ", "6305", " - ", "FREIGHT OUT")</f>
        <v xml:space="preserve">          6305 - FREIGHT OUT</v>
      </c>
      <c r="C63" s="11"/>
      <c r="D63" s="6"/>
      <c r="E63" s="2"/>
      <c r="F63" s="7">
        <f t="shared" si="43"/>
        <v>0</v>
      </c>
      <c r="G63" s="2"/>
      <c r="H63" s="6">
        <v>9.9</v>
      </c>
      <c r="I63" s="2"/>
      <c r="J63" s="7">
        <f t="shared" si="44"/>
        <v>1.5432197393704507E-4</v>
      </c>
      <c r="K63" s="2"/>
      <c r="L63" s="6">
        <f t="shared" si="45"/>
        <v>-9.9</v>
      </c>
      <c r="M63" s="2"/>
      <c r="N63" s="7">
        <f t="shared" si="46"/>
        <v>-1</v>
      </c>
      <c r="O63" s="11"/>
      <c r="P63" s="6"/>
      <c r="Q63" s="2"/>
      <c r="R63" s="7">
        <f t="shared" si="47"/>
        <v>0</v>
      </c>
      <c r="S63" s="2"/>
      <c r="T63" s="6">
        <v>105.33</v>
      </c>
      <c r="U63" s="2"/>
      <c r="V63" s="7">
        <f t="shared" si="48"/>
        <v>8.4513849984987606E-4</v>
      </c>
      <c r="W63" s="2"/>
      <c r="X63" s="6">
        <f t="shared" si="49"/>
        <v>-105.33</v>
      </c>
      <c r="Y63" s="2"/>
      <c r="Z63" s="7">
        <f t="shared" si="50"/>
        <v>-1</v>
      </c>
    </row>
    <row r="64" spans="1:26" s="24" customFormat="1" hidden="1" outlineLevel="2" x14ac:dyDescent="0.3">
      <c r="A64" s="27"/>
      <c r="B64" s="11" t="str">
        <f>CONCATENATE("          ", "6307", " - ", "POSTAGE")</f>
        <v xml:space="preserve">          6307 - POSTAGE</v>
      </c>
      <c r="C64" s="11"/>
      <c r="D64" s="6"/>
      <c r="E64" s="2"/>
      <c r="F64" s="7">
        <f t="shared" si="43"/>
        <v>0</v>
      </c>
      <c r="G64" s="2"/>
      <c r="H64" s="6"/>
      <c r="I64" s="2"/>
      <c r="J64" s="7">
        <f t="shared" si="44"/>
        <v>0</v>
      </c>
      <c r="K64" s="2"/>
      <c r="L64" s="6">
        <f t="shared" si="45"/>
        <v>0</v>
      </c>
      <c r="M64" s="2"/>
      <c r="N64" s="7">
        <f t="shared" si="46"/>
        <v>0</v>
      </c>
      <c r="O64" s="11"/>
      <c r="P64" s="6"/>
      <c r="Q64" s="2"/>
      <c r="R64" s="7">
        <f t="shared" si="47"/>
        <v>0</v>
      </c>
      <c r="S64" s="2"/>
      <c r="T64" s="6">
        <v>-5.41</v>
      </c>
      <c r="U64" s="2"/>
      <c r="V64" s="7">
        <f t="shared" si="48"/>
        <v>-4.3408328910925943E-5</v>
      </c>
      <c r="W64" s="2"/>
      <c r="X64" s="6">
        <f t="shared" si="49"/>
        <v>5.41</v>
      </c>
      <c r="Y64" s="2"/>
      <c r="Z64" s="7">
        <f t="shared" si="50"/>
        <v>-1</v>
      </c>
    </row>
    <row r="65" spans="1:26" s="29" customFormat="1" outlineLevel="1" collapsed="1" x14ac:dyDescent="0.3">
      <c r="A65" s="28"/>
      <c r="B65" s="14" t="str">
        <f>CONCATENATE("     ","General                                           ")</f>
        <v xml:space="preserve">     General                                           </v>
      </c>
      <c r="C65" s="14"/>
      <c r="D65" s="1">
        <f>SUM(OSRRefD22_9x_0)</f>
        <v>547.19000000000005</v>
      </c>
      <c r="E65" s="1"/>
      <c r="F65" s="5">
        <f t="shared" ref="F65:F76" si="51">IF(D$12=0,0,D65/D$12)</f>
        <v>4.6515103318631058E-3</v>
      </c>
      <c r="G65" s="1"/>
      <c r="H65" s="1">
        <f>SUM(OSRRefH22_9x_0)</f>
        <v>870</v>
      </c>
      <c r="I65" s="1"/>
      <c r="J65" s="5">
        <f t="shared" ref="J65:J76" si="52">IF(H$12=0,0,H65/H$12)</f>
        <v>1.3561628012649414E-2</v>
      </c>
      <c r="K65" s="1"/>
      <c r="L65" s="1">
        <f t="shared" ref="L65:L76" si="53">+D65-H65</f>
        <v>-322.80999999999995</v>
      </c>
      <c r="M65" s="1"/>
      <c r="N65" s="5">
        <f t="shared" ref="N65:N76" si="54">IF(H65=0,0,L65/H65)</f>
        <v>-0.37104597701149417</v>
      </c>
      <c r="O65" s="14"/>
      <c r="P65" s="1">
        <f>SUM(OSRRefP22_9x_0)</f>
        <v>16249.45</v>
      </c>
      <c r="Q65" s="1"/>
      <c r="R65" s="5">
        <f t="shared" ref="R65:R76" si="55">IF(P$12=0,0,P65/P$12)</f>
        <v>2.9601953379699279E-2</v>
      </c>
      <c r="S65" s="1"/>
      <c r="T65" s="1">
        <f>SUM(OSRRefT22_9x_0)</f>
        <v>6145.55</v>
      </c>
      <c r="U65" s="1"/>
      <c r="V65" s="5">
        <f t="shared" ref="V65:V76" si="56">IF(T$12=0,0,T65/T$12)</f>
        <v>4.9310176661467822E-2</v>
      </c>
      <c r="W65" s="1"/>
      <c r="X65" s="1">
        <f t="shared" ref="X65:X76" si="57">+P65-T65</f>
        <v>10103.900000000001</v>
      </c>
      <c r="Y65" s="1"/>
      <c r="Z65" s="5">
        <f t="shared" ref="Z65:Z76" si="58">IF(T65=0,0,X65/T65)</f>
        <v>1.6441002025856108</v>
      </c>
    </row>
    <row r="66" spans="1:26" s="24" customFormat="1" hidden="1" outlineLevel="2" x14ac:dyDescent="0.3">
      <c r="A66" s="27"/>
      <c r="B66" s="11" t="str">
        <f>CONCATENATE("          ", "6279", " - ", "GENERAL EXPENSE")</f>
        <v xml:space="preserve">          6279 - GENERAL EXPENSE</v>
      </c>
      <c r="C66" s="11"/>
      <c r="D66" s="6">
        <v>547.19000000000005</v>
      </c>
      <c r="E66" s="2"/>
      <c r="F66" s="7">
        <f t="shared" si="51"/>
        <v>4.6515103318631058E-3</v>
      </c>
      <c r="G66" s="2"/>
      <c r="H66" s="6">
        <v>870</v>
      </c>
      <c r="I66" s="2"/>
      <c r="J66" s="7">
        <f t="shared" si="52"/>
        <v>1.3561628012649414E-2</v>
      </c>
      <c r="K66" s="2"/>
      <c r="L66" s="6">
        <f t="shared" si="53"/>
        <v>-322.80999999999995</v>
      </c>
      <c r="M66" s="2"/>
      <c r="N66" s="7">
        <f t="shared" si="54"/>
        <v>-0.37104597701149417</v>
      </c>
      <c r="O66" s="11"/>
      <c r="P66" s="6">
        <v>16249.45</v>
      </c>
      <c r="Q66" s="2"/>
      <c r="R66" s="7">
        <f t="shared" si="55"/>
        <v>2.9601953379699279E-2</v>
      </c>
      <c r="S66" s="2"/>
      <c r="T66" s="6">
        <v>6145.55</v>
      </c>
      <c r="U66" s="2"/>
      <c r="V66" s="7">
        <f t="shared" si="56"/>
        <v>4.9310176661467822E-2</v>
      </c>
      <c r="W66" s="2"/>
      <c r="X66" s="6">
        <f t="shared" si="57"/>
        <v>10103.900000000001</v>
      </c>
      <c r="Y66" s="2"/>
      <c r="Z66" s="7">
        <f t="shared" si="58"/>
        <v>1.6441002025856108</v>
      </c>
    </row>
    <row r="67" spans="1:26" s="29" customFormat="1" outlineLevel="1" collapsed="1" x14ac:dyDescent="0.3">
      <c r="A67" s="28"/>
      <c r="B67" s="14" t="str">
        <f>CONCATENATE("     ","Insurance                                         ")</f>
        <v xml:space="preserve">     Insurance                                         </v>
      </c>
      <c r="C67" s="14"/>
      <c r="D67" s="1">
        <f>SUM(OSRRefD22_10x_0)</f>
        <v>6087.22</v>
      </c>
      <c r="E67" s="1"/>
      <c r="F67" s="5">
        <f t="shared" si="51"/>
        <v>5.1745767872811516E-2</v>
      </c>
      <c r="G67" s="1"/>
      <c r="H67" s="1">
        <f>SUM(OSRRefH22_10x_0)</f>
        <v>4483.67</v>
      </c>
      <c r="I67" s="1"/>
      <c r="J67" s="5">
        <f t="shared" si="52"/>
        <v>6.9891798472960689E-2</v>
      </c>
      <c r="K67" s="1"/>
      <c r="L67" s="1">
        <f t="shared" si="53"/>
        <v>1603.5500000000002</v>
      </c>
      <c r="M67" s="1"/>
      <c r="N67" s="5">
        <f t="shared" si="54"/>
        <v>0.35764228857163888</v>
      </c>
      <c r="O67" s="14"/>
      <c r="P67" s="1">
        <f>SUM(OSRRefP22_10x_0)</f>
        <v>37319.1</v>
      </c>
      <c r="Q67" s="1"/>
      <c r="R67" s="5">
        <f t="shared" si="55"/>
        <v>6.7984963083201913E-2</v>
      </c>
      <c r="S67" s="1"/>
      <c r="T67" s="1">
        <f>SUM(OSRRefT22_10x_0)</f>
        <v>28530.35</v>
      </c>
      <c r="U67" s="1"/>
      <c r="V67" s="5">
        <f t="shared" si="56"/>
        <v>0.22891955947205839</v>
      </c>
      <c r="W67" s="1"/>
      <c r="X67" s="1">
        <f t="shared" si="57"/>
        <v>8788.75</v>
      </c>
      <c r="Y67" s="1"/>
      <c r="Z67" s="5">
        <f t="shared" si="58"/>
        <v>0.3080491476620511</v>
      </c>
    </row>
    <row r="68" spans="1:26" s="24" customFormat="1" hidden="1" outlineLevel="2" x14ac:dyDescent="0.3">
      <c r="A68" s="27"/>
      <c r="B68" s="11" t="str">
        <f>CONCATENATE("          ", "6314", " - ", "LIABILITY INSURANCE")</f>
        <v xml:space="preserve">          6314 - LIABILITY INSURANCE</v>
      </c>
      <c r="C68" s="11"/>
      <c r="D68" s="6">
        <v>6087.22</v>
      </c>
      <c r="E68" s="2"/>
      <c r="F68" s="7">
        <f t="shared" si="51"/>
        <v>5.1745767872811516E-2</v>
      </c>
      <c r="G68" s="2"/>
      <c r="H68" s="6">
        <v>4483.67</v>
      </c>
      <c r="I68" s="2"/>
      <c r="J68" s="7">
        <f t="shared" si="52"/>
        <v>6.9891798472960689E-2</v>
      </c>
      <c r="K68" s="2"/>
      <c r="L68" s="6">
        <f t="shared" si="53"/>
        <v>1603.5500000000002</v>
      </c>
      <c r="M68" s="2"/>
      <c r="N68" s="7">
        <f t="shared" si="54"/>
        <v>0.35764228857163888</v>
      </c>
      <c r="O68" s="11"/>
      <c r="P68" s="6">
        <v>37319.1</v>
      </c>
      <c r="Q68" s="2"/>
      <c r="R68" s="7">
        <f t="shared" si="55"/>
        <v>6.7984963083201913E-2</v>
      </c>
      <c r="S68" s="2"/>
      <c r="T68" s="6">
        <v>28530.35</v>
      </c>
      <c r="U68" s="2"/>
      <c r="V68" s="7">
        <f t="shared" si="56"/>
        <v>0.22891955947205839</v>
      </c>
      <c r="W68" s="2"/>
      <c r="X68" s="6">
        <f t="shared" si="57"/>
        <v>8788.75</v>
      </c>
      <c r="Y68" s="2"/>
      <c r="Z68" s="7">
        <f t="shared" si="58"/>
        <v>0.3080491476620511</v>
      </c>
    </row>
    <row r="69" spans="1:26" s="29" customFormat="1" outlineLevel="1" collapsed="1" x14ac:dyDescent="0.3">
      <c r="A69" s="28"/>
      <c r="B69" s="14" t="str">
        <f>CONCATENATE("     ","Interest                                          ")</f>
        <v xml:space="preserve">     Interest                                          </v>
      </c>
      <c r="C69" s="14"/>
      <c r="D69" s="1">
        <f>SUM(OSRRefD22_11x_0)</f>
        <v>11158</v>
      </c>
      <c r="E69" s="1"/>
      <c r="F69" s="5">
        <f t="shared" si="51"/>
        <v>9.4851061391707681E-2</v>
      </c>
      <c r="G69" s="1"/>
      <c r="H69" s="1">
        <f>SUM(OSRRefH22_11x_0)</f>
        <v>11554</v>
      </c>
      <c r="I69" s="1"/>
      <c r="J69" s="5">
        <f t="shared" si="52"/>
        <v>0.1801046552392544</v>
      </c>
      <c r="K69" s="1"/>
      <c r="L69" s="1">
        <f t="shared" si="53"/>
        <v>-396</v>
      </c>
      <c r="M69" s="1"/>
      <c r="N69" s="5">
        <f t="shared" si="54"/>
        <v>-3.4273844555997926E-2</v>
      </c>
      <c r="O69" s="14"/>
      <c r="P69" s="1">
        <f>SUM(OSRRefP22_11x_0)</f>
        <v>55000</v>
      </c>
      <c r="Q69" s="1"/>
      <c r="R69" s="5">
        <f t="shared" si="55"/>
        <v>0.10019461802605382</v>
      </c>
      <c r="S69" s="1"/>
      <c r="T69" s="1">
        <f>SUM(OSRRefT22_11x_0)</f>
        <v>57021</v>
      </c>
      <c r="U69" s="1"/>
      <c r="V69" s="5">
        <f t="shared" si="56"/>
        <v>0.45752057723288503</v>
      </c>
      <c r="W69" s="1"/>
      <c r="X69" s="1">
        <f t="shared" si="57"/>
        <v>-2021</v>
      </c>
      <c r="Y69" s="1"/>
      <c r="Z69" s="5">
        <f t="shared" si="58"/>
        <v>-3.5443082373160767E-2</v>
      </c>
    </row>
    <row r="70" spans="1:26" s="24" customFormat="1" hidden="1" outlineLevel="2" x14ac:dyDescent="0.3">
      <c r="A70" s="27"/>
      <c r="B70" s="11" t="str">
        <f>CONCATENATE("          ", "6401", " - ", "INTEREST EXPENSE")</f>
        <v xml:space="preserve">          6401 - INTEREST EXPENSE</v>
      </c>
      <c r="C70" s="11"/>
      <c r="D70" s="6">
        <v>11158</v>
      </c>
      <c r="E70" s="2"/>
      <c r="F70" s="7">
        <f t="shared" si="51"/>
        <v>9.4851061391707681E-2</v>
      </c>
      <c r="G70" s="2"/>
      <c r="H70" s="6">
        <v>11554</v>
      </c>
      <c r="I70" s="2"/>
      <c r="J70" s="7">
        <f t="shared" si="52"/>
        <v>0.1801046552392544</v>
      </c>
      <c r="K70" s="2"/>
      <c r="L70" s="6">
        <f t="shared" si="53"/>
        <v>-396</v>
      </c>
      <c r="M70" s="2"/>
      <c r="N70" s="7">
        <f t="shared" si="54"/>
        <v>-3.4273844555997926E-2</v>
      </c>
      <c r="O70" s="11"/>
      <c r="P70" s="6">
        <v>55000</v>
      </c>
      <c r="Q70" s="2"/>
      <c r="R70" s="7">
        <f t="shared" si="55"/>
        <v>0.10019461802605382</v>
      </c>
      <c r="S70" s="2"/>
      <c r="T70" s="6">
        <v>57021</v>
      </c>
      <c r="U70" s="2"/>
      <c r="V70" s="7">
        <f t="shared" si="56"/>
        <v>0.45752057723288503</v>
      </c>
      <c r="W70" s="2"/>
      <c r="X70" s="6">
        <f t="shared" si="57"/>
        <v>-2021</v>
      </c>
      <c r="Y70" s="2"/>
      <c r="Z70" s="7">
        <f t="shared" si="58"/>
        <v>-3.5443082373160767E-2</v>
      </c>
    </row>
    <row r="71" spans="1:26" s="29" customFormat="1" outlineLevel="1" collapsed="1" x14ac:dyDescent="0.3">
      <c r="A71" s="28"/>
      <c r="B71" s="14" t="str">
        <f>CONCATENATE("     ","Rent                                              ")</f>
        <v xml:space="preserve">     Rent                                              </v>
      </c>
      <c r="C71" s="14"/>
      <c r="D71" s="1">
        <f>SUM(OSRRefD22_12x_0)</f>
        <v>1850</v>
      </c>
      <c r="E71" s="1"/>
      <c r="F71" s="5">
        <f t="shared" si="51"/>
        <v>1.5726336581346048E-2</v>
      </c>
      <c r="G71" s="1"/>
      <c r="H71" s="1">
        <f>SUM(OSRRefH22_12x_0)</f>
        <v>0</v>
      </c>
      <c r="I71" s="1"/>
      <c r="J71" s="5">
        <f t="shared" si="52"/>
        <v>0</v>
      </c>
      <c r="K71" s="1"/>
      <c r="L71" s="1">
        <f t="shared" si="53"/>
        <v>1850</v>
      </c>
      <c r="M71" s="1"/>
      <c r="N71" s="5">
        <f t="shared" si="54"/>
        <v>0</v>
      </c>
      <c r="O71" s="14"/>
      <c r="P71" s="1">
        <f>SUM(OSRRefP22_12x_0)</f>
        <v>9250</v>
      </c>
      <c r="Q71" s="1"/>
      <c r="R71" s="5">
        <f t="shared" si="55"/>
        <v>1.6850913031654507E-2</v>
      </c>
      <c r="S71" s="1"/>
      <c r="T71" s="1">
        <f>SUM(OSRRefT22_12x_0)</f>
        <v>5550</v>
      </c>
      <c r="U71" s="1"/>
      <c r="V71" s="5">
        <f t="shared" si="56"/>
        <v>4.4531649806957299E-2</v>
      </c>
      <c r="W71" s="1"/>
      <c r="X71" s="1">
        <f t="shared" si="57"/>
        <v>3700</v>
      </c>
      <c r="Y71" s="1"/>
      <c r="Z71" s="5">
        <f t="shared" si="58"/>
        <v>0.66666666666666663</v>
      </c>
    </row>
    <row r="72" spans="1:26" s="24" customFormat="1" hidden="1" outlineLevel="2" x14ac:dyDescent="0.3">
      <c r="A72" s="27"/>
      <c r="B72" s="11" t="str">
        <f>CONCATENATE("          ", "6273", " - ", "RENT")</f>
        <v xml:space="preserve">          6273 - RENT</v>
      </c>
      <c r="C72" s="11"/>
      <c r="D72" s="6">
        <v>1850</v>
      </c>
      <c r="E72" s="2"/>
      <c r="F72" s="7">
        <f t="shared" si="51"/>
        <v>1.5726336581346048E-2</v>
      </c>
      <c r="G72" s="2"/>
      <c r="H72" s="6"/>
      <c r="I72" s="2"/>
      <c r="J72" s="7">
        <f t="shared" si="52"/>
        <v>0</v>
      </c>
      <c r="K72" s="2"/>
      <c r="L72" s="6">
        <f t="shared" si="53"/>
        <v>1850</v>
      </c>
      <c r="M72" s="2"/>
      <c r="N72" s="7">
        <f t="shared" si="54"/>
        <v>0</v>
      </c>
      <c r="O72" s="11"/>
      <c r="P72" s="6">
        <v>9250</v>
      </c>
      <c r="Q72" s="2"/>
      <c r="R72" s="7">
        <f t="shared" si="55"/>
        <v>1.6850913031654507E-2</v>
      </c>
      <c r="S72" s="2"/>
      <c r="T72" s="6">
        <v>5550</v>
      </c>
      <c r="U72" s="2"/>
      <c r="V72" s="7">
        <f t="shared" si="56"/>
        <v>4.4531649806957299E-2</v>
      </c>
      <c r="W72" s="2"/>
      <c r="X72" s="6">
        <f t="shared" si="57"/>
        <v>3700</v>
      </c>
      <c r="Y72" s="2"/>
      <c r="Z72" s="7">
        <f t="shared" si="58"/>
        <v>0.66666666666666663</v>
      </c>
    </row>
    <row r="73" spans="1:26" s="29" customFormat="1" outlineLevel="1" collapsed="1" x14ac:dyDescent="0.3">
      <c r="A73" s="28"/>
      <c r="B73" s="14" t="str">
        <f>CONCATENATE("     ","Repair and Maintenance                            ")</f>
        <v xml:space="preserve">     Repair and Maintenance                            </v>
      </c>
      <c r="C73" s="14"/>
      <c r="D73" s="1">
        <f>SUM(OSRRefD22_13x_0)</f>
        <v>5673.9500000000007</v>
      </c>
      <c r="E73" s="1"/>
      <c r="F73" s="5">
        <f t="shared" si="51"/>
        <v>4.8232674294988336E-2</v>
      </c>
      <c r="G73" s="1"/>
      <c r="H73" s="1">
        <f>SUM(OSRRefH22_13x_0)</f>
        <v>4046.8</v>
      </c>
      <c r="I73" s="1"/>
      <c r="J73" s="5">
        <f t="shared" si="52"/>
        <v>6.3081834760447875E-2</v>
      </c>
      <c r="K73" s="1"/>
      <c r="L73" s="1">
        <f t="shared" si="53"/>
        <v>1627.1500000000005</v>
      </c>
      <c r="M73" s="1"/>
      <c r="N73" s="5">
        <f t="shared" si="54"/>
        <v>0.40208312740931118</v>
      </c>
      <c r="O73" s="14"/>
      <c r="P73" s="1">
        <f>SUM(OSRRefP22_13x_0)</f>
        <v>44550.239999999998</v>
      </c>
      <c r="Q73" s="1"/>
      <c r="R73" s="5">
        <f t="shared" si="55"/>
        <v>8.1158077813982252E-2</v>
      </c>
      <c r="S73" s="1"/>
      <c r="T73" s="1">
        <f>SUM(OSRRefT22_13x_0)</f>
        <v>20162.66</v>
      </c>
      <c r="U73" s="1"/>
      <c r="V73" s="5">
        <f t="shared" si="56"/>
        <v>0.16177955212553974</v>
      </c>
      <c r="W73" s="1"/>
      <c r="X73" s="1">
        <f t="shared" si="57"/>
        <v>24387.579999999998</v>
      </c>
      <c r="Y73" s="1"/>
      <c r="Z73" s="5">
        <f t="shared" si="58"/>
        <v>1.2095417965685082</v>
      </c>
    </row>
    <row r="74" spans="1:26" s="24" customFormat="1" hidden="1" outlineLevel="2" x14ac:dyDescent="0.3">
      <c r="A74" s="27"/>
      <c r="B74" s="11" t="str">
        <f>CONCATENATE("          ", "6371", " - ", "COMPUTER SOFTWARE MAINTENANCE")</f>
        <v xml:space="preserve">          6371 - COMPUTER SOFTWARE MAINTENANCE</v>
      </c>
      <c r="C74" s="11"/>
      <c r="D74" s="6">
        <v>380.32</v>
      </c>
      <c r="E74" s="2"/>
      <c r="F74" s="7">
        <f t="shared" si="51"/>
        <v>3.2329947722256913E-3</v>
      </c>
      <c r="G74" s="2"/>
      <c r="H74" s="6"/>
      <c r="I74" s="2"/>
      <c r="J74" s="7">
        <f t="shared" si="52"/>
        <v>0</v>
      </c>
      <c r="K74" s="2"/>
      <c r="L74" s="6">
        <f t="shared" si="53"/>
        <v>380.32</v>
      </c>
      <c r="M74" s="2"/>
      <c r="N74" s="7">
        <f t="shared" si="54"/>
        <v>0</v>
      </c>
      <c r="O74" s="11"/>
      <c r="P74" s="6">
        <v>5717.72</v>
      </c>
      <c r="Q74" s="2"/>
      <c r="R74" s="7">
        <f t="shared" si="55"/>
        <v>1.0416086752362335E-2</v>
      </c>
      <c r="S74" s="2"/>
      <c r="T74" s="6"/>
      <c r="U74" s="2"/>
      <c r="V74" s="7">
        <f t="shared" si="56"/>
        <v>0</v>
      </c>
      <c r="W74" s="2"/>
      <c r="X74" s="6">
        <f t="shared" si="57"/>
        <v>5717.72</v>
      </c>
      <c r="Y74" s="2"/>
      <c r="Z74" s="7">
        <f t="shared" si="58"/>
        <v>0</v>
      </c>
    </row>
    <row r="75" spans="1:26" s="24" customFormat="1" hidden="1" outlineLevel="2" x14ac:dyDescent="0.3">
      <c r="A75" s="27"/>
      <c r="B75" s="11" t="str">
        <f>CONCATENATE("          ", "6373", " - ", "MAINTENANCE CONTRACTS")</f>
        <v xml:space="preserve">          6373 - MAINTENANCE CONTRACTS</v>
      </c>
      <c r="C75" s="11"/>
      <c r="D75" s="6">
        <v>2846.3</v>
      </c>
      <c r="E75" s="2"/>
      <c r="F75" s="7">
        <f t="shared" si="51"/>
        <v>2.4195606384586628E-2</v>
      </c>
      <c r="G75" s="2"/>
      <c r="H75" s="6">
        <v>900.01</v>
      </c>
      <c r="I75" s="2"/>
      <c r="J75" s="7">
        <f t="shared" si="52"/>
        <v>1.4029426238694942E-2</v>
      </c>
      <c r="K75" s="2"/>
      <c r="L75" s="6">
        <f t="shared" si="53"/>
        <v>1946.2900000000002</v>
      </c>
      <c r="M75" s="2"/>
      <c r="N75" s="7">
        <f t="shared" si="54"/>
        <v>2.1625204164398175</v>
      </c>
      <c r="O75" s="11"/>
      <c r="P75" s="6">
        <v>6863.08</v>
      </c>
      <c r="Q75" s="2"/>
      <c r="R75" s="7">
        <f t="shared" si="55"/>
        <v>1.2502612346949989E-2</v>
      </c>
      <c r="S75" s="2"/>
      <c r="T75" s="6">
        <v>10432.34</v>
      </c>
      <c r="U75" s="2"/>
      <c r="V75" s="7">
        <f t="shared" si="56"/>
        <v>8.3706182260741058E-2</v>
      </c>
      <c r="W75" s="2"/>
      <c r="X75" s="6">
        <f t="shared" si="57"/>
        <v>-3569.26</v>
      </c>
      <c r="Y75" s="2"/>
      <c r="Z75" s="7">
        <f t="shared" si="58"/>
        <v>-0.34213417124058459</v>
      </c>
    </row>
    <row r="76" spans="1:26" s="24" customFormat="1" hidden="1" outlineLevel="2" x14ac:dyDescent="0.3">
      <c r="A76" s="27"/>
      <c r="B76" s="11" t="str">
        <f>CONCATENATE("          ", "6375", " - ", "OUTSIDE REPAIRS &amp; MAINTENANCE")</f>
        <v xml:space="preserve">          6375 - OUTSIDE REPAIRS &amp; MAINTENANCE</v>
      </c>
      <c r="C76" s="11"/>
      <c r="D76" s="6">
        <v>2447.33</v>
      </c>
      <c r="E76" s="2"/>
      <c r="F76" s="7">
        <f t="shared" si="51"/>
        <v>2.0804073138176015E-2</v>
      </c>
      <c r="G76" s="2"/>
      <c r="H76" s="6">
        <v>3146.79</v>
      </c>
      <c r="I76" s="2"/>
      <c r="J76" s="7">
        <f t="shared" si="52"/>
        <v>4.9052408521752931E-2</v>
      </c>
      <c r="K76" s="2"/>
      <c r="L76" s="6">
        <f t="shared" si="53"/>
        <v>-699.46</v>
      </c>
      <c r="M76" s="2"/>
      <c r="N76" s="7">
        <f t="shared" si="54"/>
        <v>-0.22227730480902763</v>
      </c>
      <c r="O76" s="11"/>
      <c r="P76" s="6">
        <v>31969.439999999999</v>
      </c>
      <c r="Q76" s="2"/>
      <c r="R76" s="7">
        <f t="shared" si="55"/>
        <v>5.8239378714669922E-2</v>
      </c>
      <c r="S76" s="2"/>
      <c r="T76" s="6">
        <v>9730.32</v>
      </c>
      <c r="U76" s="2"/>
      <c r="V76" s="7">
        <f t="shared" si="56"/>
        <v>7.8073369864798681E-2</v>
      </c>
      <c r="W76" s="2"/>
      <c r="X76" s="6">
        <f t="shared" si="57"/>
        <v>22239.119999999999</v>
      </c>
      <c r="Y76" s="2"/>
      <c r="Z76" s="7">
        <f t="shared" si="58"/>
        <v>2.2855486767136126</v>
      </c>
    </row>
    <row r="77" spans="1:26" s="29" customFormat="1" outlineLevel="1" collapsed="1" x14ac:dyDescent="0.3">
      <c r="A77" s="28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1">
        <f>SUM(OSRRefD22_14x_0)</f>
        <v>366.22</v>
      </c>
      <c r="E77" s="1"/>
      <c r="F77" s="5">
        <f t="shared" ref="F77:F83" si="59">IF(D$12=0,0,D77/D$12)</f>
        <v>3.1131345853084055E-3</v>
      </c>
      <c r="G77" s="1"/>
      <c r="H77" s="1">
        <f>SUM(OSRRefH22_14x_0)</f>
        <v>0</v>
      </c>
      <c r="I77" s="1"/>
      <c r="J77" s="5">
        <f t="shared" ref="J77:J83" si="60">IF(H$12=0,0,H77/H$12)</f>
        <v>0</v>
      </c>
      <c r="K77" s="1"/>
      <c r="L77" s="1">
        <f t="shared" ref="L77:L83" si="61">+D77-H77</f>
        <v>366.22</v>
      </c>
      <c r="M77" s="1"/>
      <c r="N77" s="5">
        <f t="shared" ref="N77:N83" si="62">IF(H77=0,0,L77/H77)</f>
        <v>0</v>
      </c>
      <c r="O77" s="14"/>
      <c r="P77" s="1">
        <f>SUM(OSRRefP22_14x_0)</f>
        <v>1432.44</v>
      </c>
      <c r="Q77" s="1"/>
      <c r="R77" s="5">
        <f t="shared" ref="R77:R83" si="63">IF(P$12=0,0,P77/P$12)</f>
        <v>2.6095050662771008E-3</v>
      </c>
      <c r="S77" s="1"/>
      <c r="T77" s="1">
        <f>SUM(OSRRefT22_14x_0)</f>
        <v>185.7</v>
      </c>
      <c r="U77" s="1"/>
      <c r="V77" s="5">
        <f t="shared" ref="V77:V83" si="64">IF(T$12=0,0,T77/T$12)</f>
        <v>1.4900049313787333E-3</v>
      </c>
      <c r="W77" s="1"/>
      <c r="X77" s="1">
        <f t="shared" ref="X77:X83" si="65">+P77-T77</f>
        <v>1246.74</v>
      </c>
      <c r="Y77" s="1"/>
      <c r="Z77" s="5">
        <f t="shared" ref="Z77:Z83" si="66">IF(T77=0,0,X77/T77)</f>
        <v>6.7137318255250404</v>
      </c>
    </row>
    <row r="78" spans="1:26" s="24" customFormat="1" hidden="1" outlineLevel="2" x14ac:dyDescent="0.3">
      <c r="A78" s="27"/>
      <c r="B78" s="11" t="str">
        <f>CONCATENATE("          ", "6254", " - ", "ROYALTY &amp; COMMISSIONS")</f>
        <v xml:space="preserve">          6254 - ROYALTY &amp; COMMISSIONS</v>
      </c>
      <c r="C78" s="11"/>
      <c r="D78" s="6">
        <v>366.22</v>
      </c>
      <c r="E78" s="2"/>
      <c r="F78" s="7">
        <f t="shared" si="59"/>
        <v>3.1131345853084055E-3</v>
      </c>
      <c r="G78" s="2"/>
      <c r="H78" s="6"/>
      <c r="I78" s="2"/>
      <c r="J78" s="7">
        <f t="shared" si="60"/>
        <v>0</v>
      </c>
      <c r="K78" s="2"/>
      <c r="L78" s="6">
        <f t="shared" si="61"/>
        <v>366.22</v>
      </c>
      <c r="M78" s="2"/>
      <c r="N78" s="7">
        <f t="shared" si="62"/>
        <v>0</v>
      </c>
      <c r="O78" s="11"/>
      <c r="P78" s="6">
        <v>1432.44</v>
      </c>
      <c r="Q78" s="2"/>
      <c r="R78" s="7">
        <f t="shared" si="63"/>
        <v>2.6095050662771008E-3</v>
      </c>
      <c r="S78" s="2"/>
      <c r="T78" s="6">
        <v>185.7</v>
      </c>
      <c r="U78" s="2"/>
      <c r="V78" s="7">
        <f t="shared" si="64"/>
        <v>1.4900049313787333E-3</v>
      </c>
      <c r="W78" s="2"/>
      <c r="X78" s="6">
        <f t="shared" si="65"/>
        <v>1246.74</v>
      </c>
      <c r="Y78" s="2"/>
      <c r="Z78" s="7">
        <f t="shared" si="66"/>
        <v>6.7137318255250404</v>
      </c>
    </row>
    <row r="79" spans="1:26" s="29" customFormat="1" outlineLevel="1" collapsed="1" x14ac:dyDescent="0.3">
      <c r="A79" s="28"/>
      <c r="B79" s="14" t="str">
        <f>CONCATENATE("     ","Services                                          ")</f>
        <v xml:space="preserve">     Services                                          </v>
      </c>
      <c r="C79" s="14"/>
      <c r="D79" s="1">
        <f>SUM(OSRRefD22_15x_0)</f>
        <v>5133.12</v>
      </c>
      <c r="E79" s="1"/>
      <c r="F79" s="5">
        <f t="shared" si="59"/>
        <v>4.3635228558075154E-2</v>
      </c>
      <c r="G79" s="1"/>
      <c r="H79" s="1">
        <f>SUM(OSRRefH22_15x_0)</f>
        <v>8878.44</v>
      </c>
      <c r="I79" s="1"/>
      <c r="J79" s="5">
        <f t="shared" si="60"/>
        <v>0.13839781679612306</v>
      </c>
      <c r="K79" s="1"/>
      <c r="L79" s="1">
        <f t="shared" si="61"/>
        <v>-3745.3200000000006</v>
      </c>
      <c r="M79" s="1"/>
      <c r="N79" s="5">
        <f t="shared" si="62"/>
        <v>-0.42184437806641711</v>
      </c>
      <c r="O79" s="14"/>
      <c r="P79" s="1">
        <f>SUM(OSRRefP22_15x_0)</f>
        <v>49093.440000000002</v>
      </c>
      <c r="Q79" s="1"/>
      <c r="R79" s="5">
        <f t="shared" si="63"/>
        <v>8.9434517606999858E-2</v>
      </c>
      <c r="S79" s="1"/>
      <c r="T79" s="1">
        <f>SUM(OSRRefT22_15x_0)</f>
        <v>24884.47</v>
      </c>
      <c r="U79" s="1"/>
      <c r="V79" s="5">
        <f t="shared" si="64"/>
        <v>0.19966603669760985</v>
      </c>
      <c r="W79" s="1"/>
      <c r="X79" s="1">
        <f t="shared" si="65"/>
        <v>24208.97</v>
      </c>
      <c r="Y79" s="1"/>
      <c r="Z79" s="5">
        <f t="shared" si="66"/>
        <v>0.97285455547174604</v>
      </c>
    </row>
    <row r="80" spans="1:26" s="24" customFormat="1" hidden="1" outlineLevel="2" x14ac:dyDescent="0.3">
      <c r="A80" s="27"/>
      <c r="B80" s="11" t="str">
        <f>CONCATENATE("          ", "6282", " - ", "JANITORIAL/EXTERMINATOR EXPENS")</f>
        <v xml:space="preserve">          6282 - JANITORIAL/EXTERMINATOR EXPENS</v>
      </c>
      <c r="C80" s="11"/>
      <c r="D80" s="6">
        <v>1341.9</v>
      </c>
      <c r="E80" s="2"/>
      <c r="F80" s="7">
        <f t="shared" si="59"/>
        <v>1.1407119491085548E-2</v>
      </c>
      <c r="G80" s="2"/>
      <c r="H80" s="6">
        <v>41</v>
      </c>
      <c r="I80" s="2"/>
      <c r="J80" s="7">
        <f t="shared" si="60"/>
        <v>6.3911120519382302E-4</v>
      </c>
      <c r="K80" s="2"/>
      <c r="L80" s="6">
        <f t="shared" si="61"/>
        <v>1300.9000000000001</v>
      </c>
      <c r="M80" s="2"/>
      <c r="N80" s="7">
        <f t="shared" si="62"/>
        <v>31.729268292682928</v>
      </c>
      <c r="O80" s="11"/>
      <c r="P80" s="6">
        <v>6773.36</v>
      </c>
      <c r="Q80" s="2"/>
      <c r="R80" s="7">
        <f t="shared" si="63"/>
        <v>1.2339167599144579E-2</v>
      </c>
      <c r="S80" s="2"/>
      <c r="T80" s="6">
        <v>1623.49</v>
      </c>
      <c r="U80" s="2"/>
      <c r="V80" s="7">
        <f t="shared" si="64"/>
        <v>1.3026430296413892E-2</v>
      </c>
      <c r="W80" s="2"/>
      <c r="X80" s="6">
        <f t="shared" si="65"/>
        <v>5149.87</v>
      </c>
      <c r="Y80" s="2"/>
      <c r="Z80" s="7">
        <f t="shared" si="66"/>
        <v>3.1720983806490954</v>
      </c>
    </row>
    <row r="81" spans="1:26" s="24" customFormat="1" hidden="1" outlineLevel="2" x14ac:dyDescent="0.3">
      <c r="A81" s="27"/>
      <c r="B81" s="11" t="str">
        <f>CONCATENATE("          ", "6284", " - ", "TRASH REMOVAL EXPENSE")</f>
        <v xml:space="preserve">          6284 - TRASH REMOVAL EXPENSE</v>
      </c>
      <c r="C81" s="11"/>
      <c r="D81" s="6"/>
      <c r="E81" s="2"/>
      <c r="F81" s="7">
        <f t="shared" si="59"/>
        <v>0</v>
      </c>
      <c r="G81" s="2"/>
      <c r="H81" s="6">
        <v>5658</v>
      </c>
      <c r="I81" s="2"/>
      <c r="J81" s="7">
        <f t="shared" si="60"/>
        <v>8.8197346316747569E-2</v>
      </c>
      <c r="K81" s="2"/>
      <c r="L81" s="6">
        <f t="shared" si="61"/>
        <v>-5658</v>
      </c>
      <c r="M81" s="2"/>
      <c r="N81" s="7">
        <f t="shared" si="62"/>
        <v>-1</v>
      </c>
      <c r="O81" s="11"/>
      <c r="P81" s="6"/>
      <c r="Q81" s="2"/>
      <c r="R81" s="7">
        <f t="shared" si="63"/>
        <v>0</v>
      </c>
      <c r="S81" s="2"/>
      <c r="T81" s="6">
        <v>13788</v>
      </c>
      <c r="U81" s="2"/>
      <c r="V81" s="7">
        <f t="shared" si="64"/>
        <v>0.11063106081771662</v>
      </c>
      <c r="W81" s="2"/>
      <c r="X81" s="6">
        <f t="shared" si="65"/>
        <v>-13788</v>
      </c>
      <c r="Y81" s="2"/>
      <c r="Z81" s="7">
        <f t="shared" si="66"/>
        <v>-1</v>
      </c>
    </row>
    <row r="82" spans="1:26" s="24" customFormat="1" hidden="1" outlineLevel="2" x14ac:dyDescent="0.3">
      <c r="A82" s="27"/>
      <c r="B82" s="11" t="str">
        <f>CONCATENATE("          ", "6285", " - ", "JANITORIAL SERVICES")</f>
        <v xml:space="preserve">          6285 - JANITORIAL SERVICES</v>
      </c>
      <c r="C82" s="11"/>
      <c r="D82" s="6">
        <v>3385.52</v>
      </c>
      <c r="E82" s="2"/>
      <c r="F82" s="7">
        <f t="shared" si="59"/>
        <v>2.8779365958312798E-2</v>
      </c>
      <c r="G82" s="2"/>
      <c r="H82" s="6">
        <v>3179.44</v>
      </c>
      <c r="I82" s="2"/>
      <c r="J82" s="7">
        <f t="shared" si="60"/>
        <v>4.956135927418167E-2</v>
      </c>
      <c r="K82" s="2"/>
      <c r="L82" s="6">
        <f t="shared" si="61"/>
        <v>206.07999999999993</v>
      </c>
      <c r="M82" s="2"/>
      <c r="N82" s="7">
        <f t="shared" si="62"/>
        <v>6.4816445663387234E-2</v>
      </c>
      <c r="O82" s="11"/>
      <c r="P82" s="6">
        <v>40403.440000000002</v>
      </c>
      <c r="Q82" s="2"/>
      <c r="R82" s="7">
        <f t="shared" si="63"/>
        <v>7.3603767958883348E-2</v>
      </c>
      <c r="S82" s="2"/>
      <c r="T82" s="6">
        <v>8786.77</v>
      </c>
      <c r="U82" s="2"/>
      <c r="V82" s="7">
        <f t="shared" si="64"/>
        <v>7.050258821158166E-2</v>
      </c>
      <c r="W82" s="2"/>
      <c r="X82" s="6">
        <f t="shared" si="65"/>
        <v>31616.670000000002</v>
      </c>
      <c r="Y82" s="2"/>
      <c r="Z82" s="7">
        <f t="shared" si="66"/>
        <v>3.5982129952189483</v>
      </c>
    </row>
    <row r="83" spans="1:26" s="24" customFormat="1" hidden="1" outlineLevel="2" x14ac:dyDescent="0.3">
      <c r="A83" s="27"/>
      <c r="B83" s="11" t="str">
        <f>CONCATENATE("          ", "6286", " - ", "LAUNDRY EXPENSE")</f>
        <v xml:space="preserve">          6286 - LAUNDRY EXPENSE</v>
      </c>
      <c r="C83" s="11"/>
      <c r="D83" s="6">
        <v>405.7</v>
      </c>
      <c r="E83" s="2"/>
      <c r="F83" s="7">
        <f t="shared" si="59"/>
        <v>3.4487431086768065E-3</v>
      </c>
      <c r="G83" s="2"/>
      <c r="H83" s="6"/>
      <c r="I83" s="2"/>
      <c r="J83" s="7">
        <f t="shared" si="60"/>
        <v>0</v>
      </c>
      <c r="K83" s="2"/>
      <c r="L83" s="6">
        <f t="shared" si="61"/>
        <v>405.7</v>
      </c>
      <c r="M83" s="2"/>
      <c r="N83" s="7">
        <f t="shared" si="62"/>
        <v>0</v>
      </c>
      <c r="O83" s="11"/>
      <c r="P83" s="6">
        <v>1916.64</v>
      </c>
      <c r="Q83" s="2"/>
      <c r="R83" s="7">
        <f t="shared" si="63"/>
        <v>3.4915820489719238E-3</v>
      </c>
      <c r="S83" s="2"/>
      <c r="T83" s="6">
        <v>686.21</v>
      </c>
      <c r="U83" s="2"/>
      <c r="V83" s="7">
        <f t="shared" si="64"/>
        <v>5.5059573718976877E-3</v>
      </c>
      <c r="W83" s="2"/>
      <c r="X83" s="6">
        <f t="shared" si="65"/>
        <v>1230.43</v>
      </c>
      <c r="Y83" s="2"/>
      <c r="Z83" s="7">
        <f t="shared" si="66"/>
        <v>1.7930808353128052</v>
      </c>
    </row>
    <row r="84" spans="1:26" s="29" customFormat="1" outlineLevel="1" collapsed="1" x14ac:dyDescent="0.3">
      <c r="A84" s="28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1">
        <f>SUM(OSRRefD22_16x_0)</f>
        <v>569.5</v>
      </c>
      <c r="E84" s="1"/>
      <c r="F84" s="5">
        <f t="shared" ref="F84:F95" si="67">IF(D$12=0,0,D84/D$12)</f>
        <v>4.8411614503116622E-3</v>
      </c>
      <c r="G84" s="1"/>
      <c r="H84" s="1">
        <f>SUM(OSRRefH22_16x_0)</f>
        <v>0</v>
      </c>
      <c r="I84" s="1"/>
      <c r="J84" s="5">
        <f t="shared" ref="J84:J95" si="68">IF(H$12=0,0,H84/H$12)</f>
        <v>0</v>
      </c>
      <c r="K84" s="1"/>
      <c r="L84" s="1">
        <f t="shared" ref="L84:L95" si="69">+D84-H84</f>
        <v>569.5</v>
      </c>
      <c r="M84" s="1"/>
      <c r="N84" s="5">
        <f t="shared" ref="N84:N95" si="70">IF(H84=0,0,L84/H84)</f>
        <v>0</v>
      </c>
      <c r="O84" s="14"/>
      <c r="P84" s="1">
        <f>SUM(OSRRefP22_16x_0)</f>
        <v>2516.5</v>
      </c>
      <c r="Q84" s="1"/>
      <c r="R84" s="5">
        <f t="shared" ref="R84:R95" si="71">IF(P$12=0,0,P84/P$12)</f>
        <v>4.5843592047738989E-3</v>
      </c>
      <c r="S84" s="1"/>
      <c r="T84" s="1">
        <f>SUM(OSRRefT22_16x_0)</f>
        <v>271.33</v>
      </c>
      <c r="U84" s="1"/>
      <c r="V84" s="5">
        <f t="shared" ref="V84:V95" si="72">IF(T$12=0,0,T84/T$12)</f>
        <v>2.1770761337156258E-3</v>
      </c>
      <c r="W84" s="1"/>
      <c r="X84" s="1">
        <f t="shared" ref="X84:X95" si="73">+P84-T84</f>
        <v>2245.17</v>
      </c>
      <c r="Y84" s="1"/>
      <c r="Z84" s="5">
        <f t="shared" ref="Z84:Z95" si="74">IF(T84=0,0,X84/T84)</f>
        <v>8.2746839641764645</v>
      </c>
    </row>
    <row r="85" spans="1:26" s="24" customFormat="1" hidden="1" outlineLevel="2" x14ac:dyDescent="0.3">
      <c r="A85" s="27"/>
      <c r="B85" s="11" t="str">
        <f>CONCATENATE("          ", "6275", " - ", "SUBSCRIPTIONS")</f>
        <v xml:space="preserve">          6275 - SUBSCRIPTIONS</v>
      </c>
      <c r="C85" s="11"/>
      <c r="D85" s="6">
        <v>569.5</v>
      </c>
      <c r="E85" s="2"/>
      <c r="F85" s="7">
        <f t="shared" si="67"/>
        <v>4.8411614503116622E-3</v>
      </c>
      <c r="G85" s="2"/>
      <c r="H85" s="6"/>
      <c r="I85" s="2"/>
      <c r="J85" s="7">
        <f t="shared" si="68"/>
        <v>0</v>
      </c>
      <c r="K85" s="2"/>
      <c r="L85" s="6">
        <f t="shared" si="69"/>
        <v>569.5</v>
      </c>
      <c r="M85" s="2"/>
      <c r="N85" s="7">
        <f t="shared" si="70"/>
        <v>0</v>
      </c>
      <c r="O85" s="11"/>
      <c r="P85" s="6">
        <v>2516.5</v>
      </c>
      <c r="Q85" s="2"/>
      <c r="R85" s="7">
        <f t="shared" si="71"/>
        <v>4.5843592047738989E-3</v>
      </c>
      <c r="S85" s="2"/>
      <c r="T85" s="6">
        <v>271.33</v>
      </c>
      <c r="U85" s="2"/>
      <c r="V85" s="7">
        <f t="shared" si="72"/>
        <v>2.1770761337156258E-3</v>
      </c>
      <c r="W85" s="2"/>
      <c r="X85" s="6">
        <f t="shared" si="73"/>
        <v>2245.17</v>
      </c>
      <c r="Y85" s="2"/>
      <c r="Z85" s="7">
        <f t="shared" si="74"/>
        <v>8.2746839641764645</v>
      </c>
    </row>
    <row r="86" spans="1:26" s="29" customFormat="1" outlineLevel="1" collapsed="1" x14ac:dyDescent="0.3">
      <c r="A86" s="28"/>
      <c r="B86" s="14" t="str">
        <f>CONCATENATE("     ","Supplies                                          ")</f>
        <v xml:space="preserve">     Supplies                                          </v>
      </c>
      <c r="C86" s="14"/>
      <c r="D86" s="1">
        <f>SUM(OSRRefD22_17x_0)</f>
        <v>1439.75</v>
      </c>
      <c r="E86" s="1"/>
      <c r="F86" s="5">
        <f t="shared" si="67"/>
        <v>1.2238915185401607E-2</v>
      </c>
      <c r="G86" s="1"/>
      <c r="H86" s="1">
        <f>SUM(OSRRefH22_17x_0)</f>
        <v>72</v>
      </c>
      <c r="I86" s="1"/>
      <c r="J86" s="5">
        <f t="shared" si="68"/>
        <v>1.1223416286330549E-3</v>
      </c>
      <c r="K86" s="1"/>
      <c r="L86" s="1">
        <f t="shared" si="69"/>
        <v>1367.75</v>
      </c>
      <c r="M86" s="1"/>
      <c r="N86" s="5">
        <f t="shared" si="70"/>
        <v>18.996527777777779</v>
      </c>
      <c r="O86" s="14"/>
      <c r="P86" s="1">
        <f>SUM(OSRRefP22_17x_0)</f>
        <v>19530.89</v>
      </c>
      <c r="Q86" s="1"/>
      <c r="R86" s="5">
        <f t="shared" si="71"/>
        <v>3.5579819331979533E-2</v>
      </c>
      <c r="S86" s="1"/>
      <c r="T86" s="1">
        <f>SUM(OSRRefT22_17x_0)</f>
        <v>-20476.59</v>
      </c>
      <c r="U86" s="1"/>
      <c r="V86" s="5">
        <f t="shared" si="72"/>
        <v>-0.16429843876047634</v>
      </c>
      <c r="W86" s="1"/>
      <c r="X86" s="1">
        <f t="shared" si="73"/>
        <v>40007.479999999996</v>
      </c>
      <c r="Y86" s="1"/>
      <c r="Z86" s="5">
        <f t="shared" si="74"/>
        <v>-1.9538155522965492</v>
      </c>
    </row>
    <row r="87" spans="1:26" s="24" customFormat="1" hidden="1" outlineLevel="2" x14ac:dyDescent="0.3">
      <c r="A87" s="27"/>
      <c r="B87" s="11" t="str">
        <f>CONCATENATE("          ", "6234", " - ", "EXPENDABLE SUPPLIES &amp; EQUIPMEN")</f>
        <v xml:space="preserve">          6234 - EXPENDABLE SUPPLIES &amp; EQUIPMEN</v>
      </c>
      <c r="C87" s="11"/>
      <c r="D87" s="6"/>
      <c r="E87" s="2"/>
      <c r="F87" s="7">
        <f t="shared" si="67"/>
        <v>0</v>
      </c>
      <c r="G87" s="2"/>
      <c r="H87" s="6"/>
      <c r="I87" s="2"/>
      <c r="J87" s="7">
        <f t="shared" si="68"/>
        <v>0</v>
      </c>
      <c r="K87" s="2"/>
      <c r="L87" s="6">
        <f t="shared" si="69"/>
        <v>0</v>
      </c>
      <c r="M87" s="2"/>
      <c r="N87" s="7">
        <f t="shared" si="70"/>
        <v>0</v>
      </c>
      <c r="O87" s="11"/>
      <c r="P87" s="6">
        <v>1194.8900000000001</v>
      </c>
      <c r="Q87" s="2"/>
      <c r="R87" s="7">
        <f t="shared" si="71"/>
        <v>2.1767554024209354E-3</v>
      </c>
      <c r="S87" s="2"/>
      <c r="T87" s="6">
        <v>627.58000000000004</v>
      </c>
      <c r="U87" s="2"/>
      <c r="V87" s="7">
        <f t="shared" si="72"/>
        <v>5.0355266280811281E-3</v>
      </c>
      <c r="W87" s="2"/>
      <c r="X87" s="6">
        <f t="shared" si="73"/>
        <v>567.31000000000006</v>
      </c>
      <c r="Y87" s="2"/>
      <c r="Z87" s="7">
        <f t="shared" si="74"/>
        <v>0.90396443481309163</v>
      </c>
    </row>
    <row r="88" spans="1:26" s="24" customFormat="1" hidden="1" outlineLevel="2" x14ac:dyDescent="0.3">
      <c r="A88" s="27"/>
      <c r="B88" s="11" t="str">
        <f>CONCATENATE("          ", "6235", " - ", "COVID-19 EXPENSES")</f>
        <v xml:space="preserve">          6235 - COVID-19 EXPENSES</v>
      </c>
      <c r="C88" s="11"/>
      <c r="D88" s="6"/>
      <c r="E88" s="2"/>
      <c r="F88" s="7">
        <f t="shared" si="67"/>
        <v>0</v>
      </c>
      <c r="G88" s="2"/>
      <c r="H88" s="6"/>
      <c r="I88" s="2"/>
      <c r="J88" s="7">
        <f t="shared" si="68"/>
        <v>0</v>
      </c>
      <c r="K88" s="2"/>
      <c r="L88" s="6">
        <f t="shared" si="69"/>
        <v>0</v>
      </c>
      <c r="M88" s="2"/>
      <c r="N88" s="7">
        <f t="shared" si="70"/>
        <v>0</v>
      </c>
      <c r="O88" s="11"/>
      <c r="P88" s="6">
        <v>193.5</v>
      </c>
      <c r="Q88" s="2"/>
      <c r="R88" s="7">
        <f t="shared" si="71"/>
        <v>3.5250288341893477E-4</v>
      </c>
      <c r="S88" s="2"/>
      <c r="T88" s="6">
        <v>7089.13</v>
      </c>
      <c r="U88" s="2"/>
      <c r="V88" s="7">
        <f t="shared" si="72"/>
        <v>5.6881199026305437E-2</v>
      </c>
      <c r="W88" s="2"/>
      <c r="X88" s="6">
        <f t="shared" si="73"/>
        <v>-6895.63</v>
      </c>
      <c r="Y88" s="2"/>
      <c r="Z88" s="7">
        <f t="shared" si="74"/>
        <v>-0.97270469013828209</v>
      </c>
    </row>
    <row r="89" spans="1:26" s="24" customFormat="1" hidden="1" outlineLevel="2" x14ac:dyDescent="0.3">
      <c r="A89" s="27"/>
      <c r="B89" s="11" t="str">
        <f>CONCATENATE("          ", "6237", " - ", "JANITORIAL SUPPLIES")</f>
        <v xml:space="preserve">          6237 - JANITORIAL SUPPLIES</v>
      </c>
      <c r="C89" s="11"/>
      <c r="D89" s="6">
        <v>583.25</v>
      </c>
      <c r="E89" s="2"/>
      <c r="F89" s="7">
        <f t="shared" si="67"/>
        <v>4.9580463843622068E-3</v>
      </c>
      <c r="G89" s="2"/>
      <c r="H89" s="6">
        <v>72</v>
      </c>
      <c r="I89" s="2"/>
      <c r="J89" s="7">
        <f t="shared" si="68"/>
        <v>1.1223416286330549E-3</v>
      </c>
      <c r="K89" s="2"/>
      <c r="L89" s="6">
        <f t="shared" si="69"/>
        <v>511.25</v>
      </c>
      <c r="M89" s="2"/>
      <c r="N89" s="7">
        <f t="shared" si="70"/>
        <v>7.1006944444444446</v>
      </c>
      <c r="O89" s="11"/>
      <c r="P89" s="6">
        <v>5559.28</v>
      </c>
      <c r="Q89" s="2"/>
      <c r="R89" s="7">
        <f t="shared" si="71"/>
        <v>1.012745338363419E-2</v>
      </c>
      <c r="S89" s="2"/>
      <c r="T89" s="6">
        <v>657.62</v>
      </c>
      <c r="U89" s="2"/>
      <c r="V89" s="7">
        <f t="shared" si="72"/>
        <v>5.2765591974867129E-3</v>
      </c>
      <c r="W89" s="2"/>
      <c r="X89" s="6">
        <f t="shared" si="73"/>
        <v>4901.66</v>
      </c>
      <c r="Y89" s="2"/>
      <c r="Z89" s="7">
        <f t="shared" si="74"/>
        <v>7.4536358383260843</v>
      </c>
    </row>
    <row r="90" spans="1:26" s="24" customFormat="1" hidden="1" outlineLevel="2" x14ac:dyDescent="0.3">
      <c r="A90" s="27"/>
      <c r="B90" s="11" t="str">
        <f>CONCATENATE("          ", "6239", " - ", "KITCHEN SUPPLIES")</f>
        <v xml:space="preserve">          6239 - KITCHEN SUPPLIES</v>
      </c>
      <c r="C90" s="11"/>
      <c r="D90" s="6">
        <v>291.81</v>
      </c>
      <c r="E90" s="2"/>
      <c r="F90" s="7">
        <f t="shared" si="67"/>
        <v>2.4805958258392381E-3</v>
      </c>
      <c r="G90" s="2"/>
      <c r="H90" s="6"/>
      <c r="I90" s="2"/>
      <c r="J90" s="7">
        <f t="shared" si="68"/>
        <v>0</v>
      </c>
      <c r="K90" s="2"/>
      <c r="L90" s="6">
        <f t="shared" si="69"/>
        <v>291.81</v>
      </c>
      <c r="M90" s="2"/>
      <c r="N90" s="7">
        <f t="shared" si="70"/>
        <v>0</v>
      </c>
      <c r="O90" s="11"/>
      <c r="P90" s="6">
        <v>2283.86</v>
      </c>
      <c r="Q90" s="2"/>
      <c r="R90" s="7">
        <f t="shared" si="71"/>
        <v>4.1605541877269689E-3</v>
      </c>
      <c r="S90" s="2"/>
      <c r="T90" s="6">
        <v>19.829999999999998</v>
      </c>
      <c r="U90" s="2"/>
      <c r="V90" s="7">
        <f t="shared" si="72"/>
        <v>1.5911038120215552E-4</v>
      </c>
      <c r="W90" s="2"/>
      <c r="X90" s="6">
        <f t="shared" si="73"/>
        <v>2264.0300000000002</v>
      </c>
      <c r="Y90" s="2"/>
      <c r="Z90" s="7">
        <f t="shared" si="74"/>
        <v>114.17196167423099</v>
      </c>
    </row>
    <row r="91" spans="1:26" s="24" customFormat="1" hidden="1" outlineLevel="2" x14ac:dyDescent="0.3">
      <c r="A91" s="27"/>
      <c r="B91" s="11" t="str">
        <f>CONCATENATE("          ", "6241", " - ", "OFFICE EXPENSE")</f>
        <v xml:space="preserve">          6241 - OFFICE EXPENSE</v>
      </c>
      <c r="C91" s="11"/>
      <c r="D91" s="6">
        <v>250.7</v>
      </c>
      <c r="E91" s="2"/>
      <c r="F91" s="7">
        <f t="shared" si="67"/>
        <v>2.1311311248342997E-3</v>
      </c>
      <c r="G91" s="2"/>
      <c r="H91" s="6"/>
      <c r="I91" s="2"/>
      <c r="J91" s="7">
        <f t="shared" si="68"/>
        <v>0</v>
      </c>
      <c r="K91" s="2"/>
      <c r="L91" s="6">
        <f t="shared" si="69"/>
        <v>250.7</v>
      </c>
      <c r="M91" s="2"/>
      <c r="N91" s="7">
        <f t="shared" si="70"/>
        <v>0</v>
      </c>
      <c r="O91" s="11"/>
      <c r="P91" s="6">
        <v>6604.06</v>
      </c>
      <c r="Q91" s="2"/>
      <c r="R91" s="7">
        <f t="shared" si="71"/>
        <v>1.2030750347657109E-2</v>
      </c>
      <c r="S91" s="2"/>
      <c r="T91" s="6">
        <v>-28992.03</v>
      </c>
      <c r="U91" s="2"/>
      <c r="V91" s="7">
        <f t="shared" si="72"/>
        <v>-0.23262395083834236</v>
      </c>
      <c r="W91" s="2"/>
      <c r="X91" s="6">
        <f t="shared" si="73"/>
        <v>35596.089999999997</v>
      </c>
      <c r="Y91" s="2"/>
      <c r="Z91" s="7">
        <f t="shared" si="74"/>
        <v>-1.2277888095452438</v>
      </c>
    </row>
    <row r="92" spans="1:26" s="24" customFormat="1" hidden="1" outlineLevel="2" x14ac:dyDescent="0.3">
      <c r="A92" s="27"/>
      <c r="B92" s="11" t="str">
        <f>CONCATENATE("          ", "6243", " - ", "PAPER SUPPLIES")</f>
        <v xml:space="preserve">          6243 - PAPER SUPPLIES</v>
      </c>
      <c r="C92" s="11"/>
      <c r="D92" s="6"/>
      <c r="E92" s="2"/>
      <c r="F92" s="7">
        <f t="shared" si="67"/>
        <v>0</v>
      </c>
      <c r="G92" s="2"/>
      <c r="H92" s="6"/>
      <c r="I92" s="2"/>
      <c r="J92" s="7">
        <f t="shared" si="68"/>
        <v>0</v>
      </c>
      <c r="K92" s="2"/>
      <c r="L92" s="6">
        <f t="shared" si="69"/>
        <v>0</v>
      </c>
      <c r="M92" s="2"/>
      <c r="N92" s="7">
        <f t="shared" si="70"/>
        <v>0</v>
      </c>
      <c r="O92" s="11"/>
      <c r="P92" s="6">
        <v>1185.5899999999999</v>
      </c>
      <c r="Q92" s="2"/>
      <c r="R92" s="7">
        <f t="shared" si="71"/>
        <v>2.1598134033728933E-3</v>
      </c>
      <c r="S92" s="2"/>
      <c r="T92" s="6"/>
      <c r="U92" s="2"/>
      <c r="V92" s="7">
        <f t="shared" si="72"/>
        <v>0</v>
      </c>
      <c r="W92" s="2"/>
      <c r="X92" s="6">
        <f t="shared" si="73"/>
        <v>1185.5899999999999</v>
      </c>
      <c r="Y92" s="2"/>
      <c r="Z92" s="7">
        <f t="shared" si="74"/>
        <v>0</v>
      </c>
    </row>
    <row r="93" spans="1:26" s="24" customFormat="1" hidden="1" outlineLevel="2" x14ac:dyDescent="0.3">
      <c r="A93" s="27"/>
      <c r="B93" s="11" t="str">
        <f>CONCATENATE("          ", "6245", " - ", "PRINTING")</f>
        <v xml:space="preserve">          6245 - PRINTING</v>
      </c>
      <c r="C93" s="11"/>
      <c r="D93" s="6"/>
      <c r="E93" s="2"/>
      <c r="F93" s="7">
        <f t="shared" si="67"/>
        <v>0</v>
      </c>
      <c r="G93" s="2"/>
      <c r="H93" s="6"/>
      <c r="I93" s="2"/>
      <c r="J93" s="7">
        <f t="shared" si="68"/>
        <v>0</v>
      </c>
      <c r="K93" s="2"/>
      <c r="L93" s="6">
        <f t="shared" si="69"/>
        <v>0</v>
      </c>
      <c r="M93" s="2"/>
      <c r="N93" s="7">
        <f t="shared" si="70"/>
        <v>0</v>
      </c>
      <c r="O93" s="11"/>
      <c r="P93" s="6">
        <v>1071</v>
      </c>
      <c r="Q93" s="2"/>
      <c r="R93" s="7">
        <f t="shared" si="71"/>
        <v>1.9510624710164298E-3</v>
      </c>
      <c r="S93" s="2"/>
      <c r="T93" s="6"/>
      <c r="U93" s="2"/>
      <c r="V93" s="7">
        <f t="shared" si="72"/>
        <v>0</v>
      </c>
      <c r="W93" s="2"/>
      <c r="X93" s="6">
        <f t="shared" si="73"/>
        <v>1071</v>
      </c>
      <c r="Y93" s="2"/>
      <c r="Z93" s="7">
        <f t="shared" si="74"/>
        <v>0</v>
      </c>
    </row>
    <row r="94" spans="1:26" s="24" customFormat="1" hidden="1" outlineLevel="2" x14ac:dyDescent="0.3">
      <c r="A94" s="27"/>
      <c r="B94" s="11" t="str">
        <f>CONCATENATE("          ", "6247", " - ", "STORE SUPPLIES")</f>
        <v xml:space="preserve">          6247 - STORE SUPPLIES</v>
      </c>
      <c r="C94" s="11"/>
      <c r="D94" s="6">
        <v>61.04</v>
      </c>
      <c r="E94" s="2"/>
      <c r="F94" s="7">
        <f t="shared" si="67"/>
        <v>5.1888409995965563E-4</v>
      </c>
      <c r="G94" s="2"/>
      <c r="H94" s="6"/>
      <c r="I94" s="2"/>
      <c r="J94" s="7">
        <f t="shared" si="68"/>
        <v>0</v>
      </c>
      <c r="K94" s="2"/>
      <c r="L94" s="6">
        <f t="shared" si="69"/>
        <v>61.04</v>
      </c>
      <c r="M94" s="2"/>
      <c r="N94" s="7">
        <f t="shared" si="70"/>
        <v>0</v>
      </c>
      <c r="O94" s="11"/>
      <c r="P94" s="6">
        <v>1185.76</v>
      </c>
      <c r="Q94" s="2"/>
      <c r="R94" s="7">
        <f t="shared" si="71"/>
        <v>2.1601230958286106E-3</v>
      </c>
      <c r="S94" s="2"/>
      <c r="T94" s="6">
        <v>121.28</v>
      </c>
      <c r="U94" s="2"/>
      <c r="V94" s="7">
        <f t="shared" si="72"/>
        <v>9.7311684479059121E-4</v>
      </c>
      <c r="W94" s="2"/>
      <c r="X94" s="6">
        <f t="shared" si="73"/>
        <v>1064.48</v>
      </c>
      <c r="Y94" s="2"/>
      <c r="Z94" s="7">
        <f t="shared" si="74"/>
        <v>8.7770448548812663</v>
      </c>
    </row>
    <row r="95" spans="1:26" s="24" customFormat="1" hidden="1" outlineLevel="2" x14ac:dyDescent="0.3">
      <c r="A95" s="27"/>
      <c r="B95" s="11" t="str">
        <f>CONCATENATE("          ", "6248", " - ", "UNIFORMS")</f>
        <v xml:space="preserve">          6248 - UNIFORMS</v>
      </c>
      <c r="C95" s="11"/>
      <c r="D95" s="6">
        <v>252.95</v>
      </c>
      <c r="E95" s="2"/>
      <c r="F95" s="7">
        <f t="shared" si="67"/>
        <v>2.1502577504062068E-3</v>
      </c>
      <c r="G95" s="2"/>
      <c r="H95" s="6"/>
      <c r="I95" s="2"/>
      <c r="J95" s="7">
        <f t="shared" si="68"/>
        <v>0</v>
      </c>
      <c r="K95" s="2"/>
      <c r="L95" s="6">
        <f t="shared" si="69"/>
        <v>252.95</v>
      </c>
      <c r="M95" s="2"/>
      <c r="N95" s="7">
        <f t="shared" si="70"/>
        <v>0</v>
      </c>
      <c r="O95" s="11"/>
      <c r="P95" s="6">
        <v>252.95</v>
      </c>
      <c r="Q95" s="2"/>
      <c r="R95" s="7">
        <f t="shared" si="71"/>
        <v>4.6080415690346021E-4</v>
      </c>
      <c r="S95" s="2"/>
      <c r="T95" s="6"/>
      <c r="U95" s="2"/>
      <c r="V95" s="7">
        <f t="shared" si="72"/>
        <v>0</v>
      </c>
      <c r="W95" s="2"/>
      <c r="X95" s="6">
        <f t="shared" si="73"/>
        <v>252.95</v>
      </c>
      <c r="Y95" s="2"/>
      <c r="Z95" s="7">
        <f t="shared" si="74"/>
        <v>0</v>
      </c>
    </row>
    <row r="96" spans="1:26" s="29" customFormat="1" outlineLevel="1" collapsed="1" x14ac:dyDescent="0.3">
      <c r="A96" s="28"/>
      <c r="B96" s="14" t="str">
        <f>CONCATENATE("     ","Telephone/Data Lines                              ")</f>
        <v xml:space="preserve">     Telephone/Data Lines                              </v>
      </c>
      <c r="C96" s="14"/>
      <c r="D96" s="1">
        <f>SUM(OSRRefD22_18x_0)</f>
        <v>638.1</v>
      </c>
      <c r="E96" s="1"/>
      <c r="F96" s="5">
        <f t="shared" ref="F96:F102" si="75">IF(D$12=0,0,D96/D$12)</f>
        <v>5.4243110121929266E-3</v>
      </c>
      <c r="G96" s="1"/>
      <c r="H96" s="1">
        <f>SUM(OSRRefH22_18x_0)</f>
        <v>749.6</v>
      </c>
      <c r="I96" s="1"/>
      <c r="J96" s="5">
        <f t="shared" ref="J96:J102" si="76">IF(H$12=0,0,H96/H$12)</f>
        <v>1.1684823400324139E-2</v>
      </c>
      <c r="K96" s="1"/>
      <c r="L96" s="1">
        <f t="shared" ref="L96:L102" si="77">+D96-H96</f>
        <v>-111.5</v>
      </c>
      <c r="M96" s="1"/>
      <c r="N96" s="5">
        <f t="shared" ref="N96:N102" si="78">IF(H96=0,0,L96/H96)</f>
        <v>-0.14874599786552828</v>
      </c>
      <c r="O96" s="14"/>
      <c r="P96" s="1">
        <f>SUM(OSRRefP22_18x_0)</f>
        <v>4018.49</v>
      </c>
      <c r="Q96" s="1"/>
      <c r="R96" s="5">
        <f t="shared" ref="R96:R102" si="79">IF(P$12=0,0,P96/P$12)</f>
        <v>7.3205649198457637E-3</v>
      </c>
      <c r="S96" s="1"/>
      <c r="T96" s="1">
        <f>SUM(OSRRefT22_18x_0)</f>
        <v>6442.91</v>
      </c>
      <c r="U96" s="1"/>
      <c r="V96" s="5">
        <f t="shared" ref="V96:V102" si="80">IF(T$12=0,0,T96/T$12)</f>
        <v>5.1696110244638417E-2</v>
      </c>
      <c r="W96" s="1"/>
      <c r="X96" s="1">
        <f t="shared" ref="X96:X102" si="81">+P96-T96</f>
        <v>-2424.42</v>
      </c>
      <c r="Y96" s="1"/>
      <c r="Z96" s="5">
        <f t="shared" ref="Z96:Z102" si="82">IF(T96=0,0,X96/T96)</f>
        <v>-0.37629270003771592</v>
      </c>
    </row>
    <row r="97" spans="1:26" s="24" customFormat="1" hidden="1" outlineLevel="2" x14ac:dyDescent="0.3">
      <c r="A97" s="27"/>
      <c r="B97" s="11" t="str">
        <f>CONCATENATE("          ", "6309", " - ", "TELEPHONE")</f>
        <v xml:space="preserve">          6309 - TELEPHONE</v>
      </c>
      <c r="C97" s="11"/>
      <c r="D97" s="6">
        <v>638.1</v>
      </c>
      <c r="E97" s="2"/>
      <c r="F97" s="7">
        <f t="shared" si="75"/>
        <v>5.4243110121929266E-3</v>
      </c>
      <c r="G97" s="2"/>
      <c r="H97" s="6">
        <v>749.6</v>
      </c>
      <c r="I97" s="2"/>
      <c r="J97" s="7">
        <f t="shared" si="76"/>
        <v>1.1684823400324139E-2</v>
      </c>
      <c r="K97" s="2"/>
      <c r="L97" s="6">
        <f t="shared" si="77"/>
        <v>-111.5</v>
      </c>
      <c r="M97" s="2"/>
      <c r="N97" s="7">
        <f t="shared" si="78"/>
        <v>-0.14874599786552828</v>
      </c>
      <c r="O97" s="11"/>
      <c r="P97" s="6">
        <v>4018.49</v>
      </c>
      <c r="Q97" s="2"/>
      <c r="R97" s="7">
        <f t="shared" si="79"/>
        <v>7.3205649198457637E-3</v>
      </c>
      <c r="S97" s="2"/>
      <c r="T97" s="6">
        <v>6442.91</v>
      </c>
      <c r="U97" s="2"/>
      <c r="V97" s="7">
        <f t="shared" si="80"/>
        <v>5.1696110244638417E-2</v>
      </c>
      <c r="W97" s="2"/>
      <c r="X97" s="6">
        <f t="shared" si="81"/>
        <v>-2424.42</v>
      </c>
      <c r="Y97" s="2"/>
      <c r="Z97" s="7">
        <f t="shared" si="82"/>
        <v>-0.37629270003771592</v>
      </c>
    </row>
    <row r="98" spans="1:26" s="29" customFormat="1" outlineLevel="1" collapsed="1" x14ac:dyDescent="0.3">
      <c r="A98" s="28"/>
      <c r="B98" s="14" t="str">
        <f>CONCATENATE("     ","Training                                          ")</f>
        <v xml:space="preserve">     Training                                          </v>
      </c>
      <c r="C98" s="14"/>
      <c r="D98" s="1">
        <f>SUM(OSRRefD22_19x_0)</f>
        <v>0</v>
      </c>
      <c r="E98" s="1"/>
      <c r="F98" s="5">
        <f t="shared" si="75"/>
        <v>0</v>
      </c>
      <c r="G98" s="1"/>
      <c r="H98" s="1">
        <f>SUM(OSRRefH22_19x_0)</f>
        <v>400</v>
      </c>
      <c r="I98" s="1"/>
      <c r="J98" s="5">
        <f t="shared" si="76"/>
        <v>6.2352312701836384E-3</v>
      </c>
      <c r="K98" s="1"/>
      <c r="L98" s="1">
        <f t="shared" si="77"/>
        <v>-400</v>
      </c>
      <c r="M98" s="1"/>
      <c r="N98" s="5">
        <f t="shared" si="78"/>
        <v>-1</v>
      </c>
      <c r="O98" s="14"/>
      <c r="P98" s="1">
        <f>SUM(OSRRefP22_19x_0)</f>
        <v>0</v>
      </c>
      <c r="Q98" s="1"/>
      <c r="R98" s="5">
        <f t="shared" si="79"/>
        <v>0</v>
      </c>
      <c r="S98" s="1"/>
      <c r="T98" s="1">
        <f>SUM(OSRRefT22_19x_0)</f>
        <v>400</v>
      </c>
      <c r="U98" s="1"/>
      <c r="V98" s="5">
        <f t="shared" si="80"/>
        <v>3.2094882743753006E-3</v>
      </c>
      <c r="W98" s="1"/>
      <c r="X98" s="1">
        <f t="shared" si="81"/>
        <v>-400</v>
      </c>
      <c r="Y98" s="1"/>
      <c r="Z98" s="5">
        <f t="shared" si="82"/>
        <v>-1</v>
      </c>
    </row>
    <row r="99" spans="1:26" s="24" customFormat="1" hidden="1" outlineLevel="2" x14ac:dyDescent="0.3">
      <c r="A99" s="27"/>
      <c r="B99" s="11" t="str">
        <f>CONCATENATE("          ", "6376", " - ", "TRAINING")</f>
        <v xml:space="preserve">          6376 - TRAINING</v>
      </c>
      <c r="C99" s="11"/>
      <c r="D99" s="6"/>
      <c r="E99" s="2"/>
      <c r="F99" s="7">
        <f t="shared" si="75"/>
        <v>0</v>
      </c>
      <c r="G99" s="2"/>
      <c r="H99" s="6">
        <v>400</v>
      </c>
      <c r="I99" s="2"/>
      <c r="J99" s="7">
        <f t="shared" si="76"/>
        <v>6.2352312701836384E-3</v>
      </c>
      <c r="K99" s="2"/>
      <c r="L99" s="6">
        <f t="shared" si="77"/>
        <v>-400</v>
      </c>
      <c r="M99" s="2"/>
      <c r="N99" s="7">
        <f t="shared" si="78"/>
        <v>-1</v>
      </c>
      <c r="O99" s="11"/>
      <c r="P99" s="6"/>
      <c r="Q99" s="2"/>
      <c r="R99" s="7">
        <f t="shared" si="79"/>
        <v>0</v>
      </c>
      <c r="S99" s="2"/>
      <c r="T99" s="6">
        <v>400</v>
      </c>
      <c r="U99" s="2"/>
      <c r="V99" s="7">
        <f t="shared" si="80"/>
        <v>3.2094882743753006E-3</v>
      </c>
      <c r="W99" s="2"/>
      <c r="X99" s="6">
        <f t="shared" si="81"/>
        <v>-400</v>
      </c>
      <c r="Y99" s="2"/>
      <c r="Z99" s="7">
        <f t="shared" si="82"/>
        <v>-1</v>
      </c>
    </row>
    <row r="100" spans="1:26" s="29" customFormat="1" outlineLevel="1" collapsed="1" x14ac:dyDescent="0.3">
      <c r="A100" s="28"/>
      <c r="B100" s="14" t="str">
        <f>CONCATENATE("     ","Travel                                            ")</f>
        <v xml:space="preserve">     Travel                                            </v>
      </c>
      <c r="C100" s="14"/>
      <c r="D100" s="1">
        <f>SUM(OSRRefD22_20x_0)</f>
        <v>18.59</v>
      </c>
      <c r="E100" s="1"/>
      <c r="F100" s="5">
        <f t="shared" si="75"/>
        <v>1.5802843083633679E-4</v>
      </c>
      <c r="G100" s="1"/>
      <c r="H100" s="1">
        <f>SUM(OSRRefH22_20x_0)</f>
        <v>0</v>
      </c>
      <c r="I100" s="1"/>
      <c r="J100" s="5">
        <f t="shared" si="76"/>
        <v>0</v>
      </c>
      <c r="K100" s="1"/>
      <c r="L100" s="1">
        <f t="shared" si="77"/>
        <v>18.59</v>
      </c>
      <c r="M100" s="1"/>
      <c r="N100" s="5">
        <f t="shared" si="78"/>
        <v>0</v>
      </c>
      <c r="O100" s="14"/>
      <c r="P100" s="1">
        <f>SUM(OSRRefP22_20x_0)</f>
        <v>18.59</v>
      </c>
      <c r="Q100" s="1"/>
      <c r="R100" s="5">
        <f t="shared" si="79"/>
        <v>3.386578089280619E-5</v>
      </c>
      <c r="S100" s="1"/>
      <c r="T100" s="1">
        <f>SUM(OSRRefT22_20x_0)</f>
        <v>332.21</v>
      </c>
      <c r="U100" s="1"/>
      <c r="V100" s="5">
        <f t="shared" si="80"/>
        <v>2.6655602490755466E-3</v>
      </c>
      <c r="W100" s="1"/>
      <c r="X100" s="1">
        <f t="shared" si="81"/>
        <v>-313.62</v>
      </c>
      <c r="Y100" s="1"/>
      <c r="Z100" s="5">
        <f t="shared" si="82"/>
        <v>-0.94404141958399812</v>
      </c>
    </row>
    <row r="101" spans="1:26" s="24" customFormat="1" hidden="1" outlineLevel="2" x14ac:dyDescent="0.3">
      <c r="A101" s="27"/>
      <c r="B101" s="11" t="str">
        <f>CONCATENATE("          ", "6292", " - ", "TRAVEL/CONFERENCE")</f>
        <v xml:space="preserve">          6292 - TRAVEL/CONFERENCE</v>
      </c>
      <c r="C101" s="11"/>
      <c r="D101" s="6">
        <v>18.59</v>
      </c>
      <c r="E101" s="2"/>
      <c r="F101" s="7">
        <f t="shared" si="75"/>
        <v>1.5802843083633679E-4</v>
      </c>
      <c r="G101" s="2"/>
      <c r="H101" s="6"/>
      <c r="I101" s="2"/>
      <c r="J101" s="7">
        <f t="shared" si="76"/>
        <v>0</v>
      </c>
      <c r="K101" s="2"/>
      <c r="L101" s="6">
        <f t="shared" si="77"/>
        <v>18.59</v>
      </c>
      <c r="M101" s="2"/>
      <c r="N101" s="7">
        <f t="shared" si="78"/>
        <v>0</v>
      </c>
      <c r="O101" s="11"/>
      <c r="P101" s="6">
        <v>18.59</v>
      </c>
      <c r="Q101" s="2"/>
      <c r="R101" s="7">
        <f t="shared" si="79"/>
        <v>3.386578089280619E-5</v>
      </c>
      <c r="S101" s="2"/>
      <c r="T101" s="6"/>
      <c r="U101" s="2"/>
      <c r="V101" s="7">
        <f t="shared" si="80"/>
        <v>0</v>
      </c>
      <c r="W101" s="2"/>
      <c r="X101" s="6">
        <f t="shared" si="81"/>
        <v>18.59</v>
      </c>
      <c r="Y101" s="2"/>
      <c r="Z101" s="7">
        <f t="shared" si="82"/>
        <v>0</v>
      </c>
    </row>
    <row r="102" spans="1:26" s="24" customFormat="1" hidden="1" outlineLevel="2" x14ac:dyDescent="0.3">
      <c r="A102" s="27"/>
      <c r="B102" s="11" t="str">
        <f>CONCATENATE("          ", "6298", " - ", "VEHICLE MILEAGE")</f>
        <v xml:space="preserve">          6298 - VEHICLE MILEAGE</v>
      </c>
      <c r="C102" s="11"/>
      <c r="D102" s="6"/>
      <c r="E102" s="2"/>
      <c r="F102" s="7">
        <f t="shared" si="75"/>
        <v>0</v>
      </c>
      <c r="G102" s="2"/>
      <c r="H102" s="6"/>
      <c r="I102" s="2"/>
      <c r="J102" s="7">
        <f t="shared" si="76"/>
        <v>0</v>
      </c>
      <c r="K102" s="2"/>
      <c r="L102" s="6">
        <f t="shared" si="77"/>
        <v>0</v>
      </c>
      <c r="M102" s="2"/>
      <c r="N102" s="7">
        <f t="shared" si="78"/>
        <v>0</v>
      </c>
      <c r="O102" s="11"/>
      <c r="P102" s="6"/>
      <c r="Q102" s="2"/>
      <c r="R102" s="7">
        <f t="shared" si="79"/>
        <v>0</v>
      </c>
      <c r="S102" s="2"/>
      <c r="T102" s="6">
        <v>332.21</v>
      </c>
      <c r="U102" s="2"/>
      <c r="V102" s="7">
        <f t="shared" si="80"/>
        <v>2.6655602490755466E-3</v>
      </c>
      <c r="W102" s="2"/>
      <c r="X102" s="6">
        <f t="shared" si="81"/>
        <v>-332.21</v>
      </c>
      <c r="Y102" s="2"/>
      <c r="Z102" s="7">
        <f t="shared" si="82"/>
        <v>-1</v>
      </c>
    </row>
    <row r="103" spans="1:26" s="29" customFormat="1" outlineLevel="1" collapsed="1" x14ac:dyDescent="0.3">
      <c r="A103" s="28"/>
      <c r="B103" s="14" t="str">
        <f>CONCATENATE("     ","Utilities                                         ")</f>
        <v xml:space="preserve">     Utilities                                         </v>
      </c>
      <c r="C103" s="14"/>
      <c r="D103" s="1">
        <f>SUM(OSRRefD22_21x_0)</f>
        <v>8250</v>
      </c>
      <c r="E103" s="1"/>
      <c r="F103" s="5">
        <f t="shared" ref="F103:F104" si="83">IF(D$12=0,0,D103/D$12)</f>
        <v>7.0130960430326975E-2</v>
      </c>
      <c r="G103" s="1"/>
      <c r="H103" s="1">
        <f>SUM(OSRRefH22_21x_0)</f>
        <v>4796</v>
      </c>
      <c r="I103" s="1"/>
      <c r="J103" s="5">
        <f t="shared" ref="J103:J104" si="84">IF(H$12=0,0,H103/H$12)</f>
        <v>7.476042292950183E-2</v>
      </c>
      <c r="K103" s="1"/>
      <c r="L103" s="1">
        <f t="shared" ref="L103:L104" si="85">+D103-H103</f>
        <v>3454</v>
      </c>
      <c r="M103" s="1"/>
      <c r="N103" s="5">
        <f t="shared" ref="N103:N104" si="86">IF(H103=0,0,L103/H103)</f>
        <v>0.72018348623853212</v>
      </c>
      <c r="O103" s="14"/>
      <c r="P103" s="1">
        <f>SUM(OSRRefP22_21x_0)</f>
        <v>38850</v>
      </c>
      <c r="Q103" s="1"/>
      <c r="R103" s="5">
        <f t="shared" ref="R103:R104" si="87">IF(P$12=0,0,P103/P$12)</f>
        <v>7.0773834732948931E-2</v>
      </c>
      <c r="S103" s="1"/>
      <c r="T103" s="1">
        <f>SUM(OSRRefT22_21x_0)</f>
        <v>-246</v>
      </c>
      <c r="U103" s="1"/>
      <c r="V103" s="5">
        <f t="shared" ref="V103:V104" si="88">IF(T$12=0,0,T103/T$12)</f>
        <v>-1.9738352887408101E-3</v>
      </c>
      <c r="W103" s="1"/>
      <c r="X103" s="1">
        <f t="shared" ref="X103:X104" si="89">+P103-T103</f>
        <v>39096</v>
      </c>
      <c r="Y103" s="1"/>
      <c r="Z103" s="5">
        <f t="shared" ref="Z103:Z104" si="90">IF(T103=0,0,X103/T103)</f>
        <v>-158.92682926829269</v>
      </c>
    </row>
    <row r="104" spans="1:26" s="24" customFormat="1" hidden="1" outlineLevel="2" x14ac:dyDescent="0.3">
      <c r="A104" s="27"/>
      <c r="B104" s="11" t="str">
        <f>CONCATENATE("          ", "6274", " - ", "UTILITIES")</f>
        <v xml:space="preserve">          6274 - UTILITIES</v>
      </c>
      <c r="C104" s="11"/>
      <c r="D104" s="6">
        <v>8250</v>
      </c>
      <c r="E104" s="2"/>
      <c r="F104" s="7">
        <f t="shared" si="83"/>
        <v>7.0130960430326975E-2</v>
      </c>
      <c r="G104" s="2"/>
      <c r="H104" s="6">
        <v>4796</v>
      </c>
      <c r="I104" s="2"/>
      <c r="J104" s="7">
        <f t="shared" si="84"/>
        <v>7.476042292950183E-2</v>
      </c>
      <c r="K104" s="2"/>
      <c r="L104" s="6">
        <f t="shared" si="85"/>
        <v>3454</v>
      </c>
      <c r="M104" s="2"/>
      <c r="N104" s="7">
        <f t="shared" si="86"/>
        <v>0.72018348623853212</v>
      </c>
      <c r="O104" s="11"/>
      <c r="P104" s="6">
        <v>38850</v>
      </c>
      <c r="Q104" s="2"/>
      <c r="R104" s="7">
        <f t="shared" si="87"/>
        <v>7.0773834732948931E-2</v>
      </c>
      <c r="S104" s="2"/>
      <c r="T104" s="6">
        <v>-246</v>
      </c>
      <c r="U104" s="2"/>
      <c r="V104" s="7">
        <f t="shared" si="88"/>
        <v>-1.9738352887408101E-3</v>
      </c>
      <c r="W104" s="2"/>
      <c r="X104" s="6">
        <f t="shared" si="89"/>
        <v>39096</v>
      </c>
      <c r="Y104" s="2"/>
      <c r="Z104" s="7">
        <f t="shared" si="90"/>
        <v>-158.92682926829269</v>
      </c>
    </row>
    <row r="105" spans="1:26" s="62" customFormat="1" x14ac:dyDescent="0.3">
      <c r="A105" s="37"/>
      <c r="B105" s="37"/>
      <c r="C105" s="37"/>
      <c r="D105" s="1"/>
      <c r="E105" s="1"/>
      <c r="F105" s="5"/>
      <c r="G105" s="1"/>
      <c r="H105" s="1"/>
      <c r="I105" s="1"/>
      <c r="J105" s="5"/>
      <c r="K105" s="1"/>
      <c r="L105" s="1"/>
      <c r="M105" s="1"/>
      <c r="N105" s="5"/>
      <c r="O105" s="37"/>
      <c r="P105" s="1"/>
      <c r="Q105" s="1"/>
      <c r="R105" s="5"/>
      <c r="S105" s="1"/>
      <c r="T105" s="1"/>
      <c r="U105" s="1"/>
      <c r="V105" s="5"/>
      <c r="W105" s="1"/>
      <c r="X105" s="1"/>
      <c r="Y105" s="1"/>
      <c r="Z105" s="5"/>
    </row>
    <row r="106" spans="1:26" s="23" customFormat="1" collapsed="1" x14ac:dyDescent="0.3">
      <c r="A106" s="10"/>
      <c r="B106" s="26" t="s">
        <v>292</v>
      </c>
      <c r="C106" s="10"/>
      <c r="D106" s="4">
        <f>SUM(OSRRefD25x_0)</f>
        <v>6011.63</v>
      </c>
      <c r="E106" s="4"/>
      <c r="F106" s="12">
        <f t="shared" ref="F106:F109" si="91">IF(D$12=0,0,D106/D$12)</f>
        <v>5.1103198260820187E-2</v>
      </c>
      <c r="G106" s="4"/>
      <c r="H106" s="4">
        <f>SUM(OSRRefH25x_0)</f>
        <v>173.47</v>
      </c>
      <c r="I106" s="4"/>
      <c r="J106" s="12">
        <f t="shared" ref="J106:J109" si="92">IF(H$12=0,0,H106/H$12)</f>
        <v>2.7040639210968893E-3</v>
      </c>
      <c r="K106" s="4"/>
      <c r="L106" s="4">
        <f t="shared" ref="L106:L109" si="93">+D106-H106</f>
        <v>5838.16</v>
      </c>
      <c r="M106" s="4"/>
      <c r="N106" s="12">
        <f t="shared" ref="N106:N109" si="94">IF(H106=0,0,L106/H106)</f>
        <v>33.655156511212311</v>
      </c>
      <c r="O106" s="10"/>
      <c r="P106" s="4">
        <f>SUM(OSRRefP25x_0)</f>
        <v>30018.35</v>
      </c>
      <c r="Q106" s="4"/>
      <c r="R106" s="12">
        <f t="shared" ref="R106:R109" si="95">IF(P$12=0,0,P106/P$12)</f>
        <v>5.4685038400407136E-2</v>
      </c>
      <c r="S106" s="4"/>
      <c r="T106" s="4">
        <f>SUM(OSRRefT25x_0)</f>
        <v>4250.67</v>
      </c>
      <c r="U106" s="4"/>
      <c r="V106" s="12">
        <f t="shared" ref="V106:V109" si="96">IF(T$12=0,0,T106/T$12)</f>
        <v>3.4106188808097147E-2</v>
      </c>
      <c r="W106" s="4"/>
      <c r="X106" s="4">
        <f t="shared" ref="X106:X109" si="97">+P106-T106</f>
        <v>25767.68</v>
      </c>
      <c r="Y106" s="4"/>
      <c r="Z106" s="12">
        <f t="shared" ref="Z106:Z109" si="98">IF(T106=0,0,X106/T106)</f>
        <v>6.0620278685477818</v>
      </c>
    </row>
    <row r="107" spans="1:26" s="24" customFormat="1" hidden="1" outlineLevel="1" x14ac:dyDescent="0.3">
      <c r="A107" s="44"/>
      <c r="B107" s="11" t="str">
        <f>CONCATENATE("          ", "9150", " - ", "MISC. INCOME")</f>
        <v xml:space="preserve">          9150 - MISC. INCOME</v>
      </c>
      <c r="C107" s="11"/>
      <c r="D107" s="2">
        <f>--6011.63</f>
        <v>6011.63</v>
      </c>
      <c r="E107" s="2"/>
      <c r="F107" s="19">
        <f t="shared" si="91"/>
        <v>5.1103198260820187E-2</v>
      </c>
      <c r="G107" s="2"/>
      <c r="H107" s="2">
        <f t="shared" ref="H107:H108" si="99">0</f>
        <v>0</v>
      </c>
      <c r="I107" s="2"/>
      <c r="J107" s="19">
        <f t="shared" si="92"/>
        <v>0</v>
      </c>
      <c r="K107" s="2"/>
      <c r="L107" s="2">
        <f t="shared" si="93"/>
        <v>6011.63</v>
      </c>
      <c r="M107" s="2"/>
      <c r="N107" s="19">
        <f t="shared" si="94"/>
        <v>0</v>
      </c>
      <c r="O107" s="11"/>
      <c r="P107" s="2">
        <f>--30018.35</f>
        <v>30018.35</v>
      </c>
      <c r="Q107" s="2"/>
      <c r="R107" s="19">
        <f t="shared" si="95"/>
        <v>5.4685038400407136E-2</v>
      </c>
      <c r="S107" s="2"/>
      <c r="T107" s="2">
        <f>--923.77</f>
        <v>923.77</v>
      </c>
      <c r="U107" s="2"/>
      <c r="V107" s="19">
        <f t="shared" si="96"/>
        <v>7.4120724580491789E-3</v>
      </c>
      <c r="W107" s="2"/>
      <c r="X107" s="2">
        <f t="shared" si="97"/>
        <v>29094.579999999998</v>
      </c>
      <c r="Y107" s="2"/>
      <c r="Z107" s="19">
        <f t="shared" si="98"/>
        <v>31.495480476742046</v>
      </c>
    </row>
    <row r="108" spans="1:26" s="24" customFormat="1" hidden="1" outlineLevel="1" x14ac:dyDescent="0.3">
      <c r="A108" s="44"/>
      <c r="B108" s="11" t="str">
        <f>CONCATENATE("          ", "9160", " - ", "MISC. INCOME")</f>
        <v xml:space="preserve">          9160 - MISC. INCOME</v>
      </c>
      <c r="C108" s="11"/>
      <c r="D108" s="2">
        <f t="shared" ref="D108:D109" si="100">0</f>
        <v>0</v>
      </c>
      <c r="E108" s="2"/>
      <c r="F108" s="19">
        <f t="shared" si="91"/>
        <v>0</v>
      </c>
      <c r="G108" s="2"/>
      <c r="H108" s="2">
        <f t="shared" si="99"/>
        <v>0</v>
      </c>
      <c r="I108" s="2"/>
      <c r="J108" s="19">
        <f t="shared" si="92"/>
        <v>0</v>
      </c>
      <c r="K108" s="2"/>
      <c r="L108" s="2">
        <f t="shared" si="93"/>
        <v>0</v>
      </c>
      <c r="M108" s="2"/>
      <c r="N108" s="19">
        <f t="shared" si="94"/>
        <v>0</v>
      </c>
      <c r="O108" s="11"/>
      <c r="P108" s="2">
        <f t="shared" ref="P108:P109" si="101">0</f>
        <v>0</v>
      </c>
      <c r="Q108" s="2"/>
      <c r="R108" s="19">
        <f t="shared" si="95"/>
        <v>0</v>
      </c>
      <c r="S108" s="2"/>
      <c r="T108" s="2">
        <f>--2328.25</f>
        <v>2328.25</v>
      </c>
      <c r="U108" s="2"/>
      <c r="V108" s="19">
        <f t="shared" si="96"/>
        <v>1.8681227687035735E-2</v>
      </c>
      <c r="W108" s="2"/>
      <c r="X108" s="2">
        <f t="shared" si="97"/>
        <v>-2328.25</v>
      </c>
      <c r="Y108" s="2"/>
      <c r="Z108" s="19">
        <f t="shared" si="98"/>
        <v>-1</v>
      </c>
    </row>
    <row r="109" spans="1:26" s="24" customFormat="1" hidden="1" outlineLevel="1" x14ac:dyDescent="0.3">
      <c r="A109" s="44"/>
      <c r="B109" s="11" t="str">
        <f>CONCATENATE("          ", "9165", " - ", "OTHER INCOME")</f>
        <v xml:space="preserve">          9165 - OTHER INCOME</v>
      </c>
      <c r="C109" s="11"/>
      <c r="D109" s="2">
        <f t="shared" si="100"/>
        <v>0</v>
      </c>
      <c r="E109" s="2"/>
      <c r="F109" s="19">
        <f t="shared" si="91"/>
        <v>0</v>
      </c>
      <c r="G109" s="2"/>
      <c r="H109" s="2">
        <f>--173.47</f>
        <v>173.47</v>
      </c>
      <c r="I109" s="2"/>
      <c r="J109" s="19">
        <f t="shared" si="92"/>
        <v>2.7040639210968893E-3</v>
      </c>
      <c r="K109" s="2"/>
      <c r="L109" s="2">
        <f t="shared" si="93"/>
        <v>-173.47</v>
      </c>
      <c r="M109" s="2"/>
      <c r="N109" s="19">
        <f t="shared" si="94"/>
        <v>-1</v>
      </c>
      <c r="O109" s="11"/>
      <c r="P109" s="2">
        <f t="shared" si="101"/>
        <v>0</v>
      </c>
      <c r="Q109" s="2"/>
      <c r="R109" s="19">
        <f t="shared" si="95"/>
        <v>0</v>
      </c>
      <c r="S109" s="2"/>
      <c r="T109" s="2">
        <f>--998.65</f>
        <v>998.65</v>
      </c>
      <c r="U109" s="2"/>
      <c r="V109" s="19">
        <f t="shared" si="96"/>
        <v>8.0128886630122347E-3</v>
      </c>
      <c r="W109" s="2"/>
      <c r="X109" s="2">
        <f t="shared" si="97"/>
        <v>-998.65</v>
      </c>
      <c r="Y109" s="2"/>
      <c r="Z109" s="19">
        <f t="shared" si="98"/>
        <v>-1</v>
      </c>
    </row>
    <row r="110" spans="1:26" x14ac:dyDescent="0.3">
      <c r="A110" s="9"/>
      <c r="B110" s="10"/>
      <c r="C110" s="10"/>
      <c r="D110" s="3"/>
      <c r="E110" s="3"/>
      <c r="F110" s="8"/>
      <c r="G110" s="3"/>
      <c r="H110" s="3"/>
      <c r="I110" s="3"/>
      <c r="J110" s="8"/>
      <c r="K110" s="3"/>
      <c r="L110" s="3"/>
      <c r="M110" s="3"/>
      <c r="N110" s="8"/>
      <c r="O110" s="10"/>
      <c r="P110" s="3"/>
      <c r="Q110" s="3"/>
      <c r="R110" s="8"/>
      <c r="S110" s="3"/>
      <c r="T110" s="3"/>
      <c r="U110" s="3"/>
      <c r="V110" s="8"/>
      <c r="W110" s="3"/>
      <c r="X110" s="3"/>
      <c r="Y110" s="3"/>
      <c r="Z110" s="8"/>
    </row>
    <row r="111" spans="1:26" s="23" customFormat="1" x14ac:dyDescent="0.3">
      <c r="A111" s="10"/>
      <c r="B111" s="25" t="s">
        <v>276</v>
      </c>
      <c r="C111" s="25"/>
      <c r="D111" s="21">
        <f>+D31-D33+D106</f>
        <v>-116215.66000000002</v>
      </c>
      <c r="E111" s="13"/>
      <c r="F111" s="22">
        <f>IF(D$12=0,0,D111/D$12)</f>
        <v>-0.98791707307204057</v>
      </c>
      <c r="G111" s="13"/>
      <c r="H111" s="21">
        <f>+H31-H33+H106</f>
        <v>-76140.66</v>
      </c>
      <c r="I111" s="13"/>
      <c r="J111" s="22">
        <f>IF(H$12=0,0,H111/H$12)</f>
        <v>-1.1868865604110515</v>
      </c>
      <c r="K111" s="16"/>
      <c r="L111" s="21">
        <f>+D111-H111</f>
        <v>-40075.000000000015</v>
      </c>
      <c r="M111" s="16"/>
      <c r="N111" s="22">
        <f>IF(H111=0,0,L111/H111)</f>
        <v>0.52632850831605626</v>
      </c>
      <c r="O111" s="26"/>
      <c r="P111" s="21">
        <f>+P31-P33+P106</f>
        <v>-641912.97999999986</v>
      </c>
      <c r="Q111" s="13"/>
      <c r="R111" s="22">
        <f>IF(P$12=0,0,P111/P$12)</f>
        <v>-1.1693859243102893</v>
      </c>
      <c r="S111" s="13"/>
      <c r="T111" s="21">
        <f>+T31-T33+T106</f>
        <v>-605430.40999999957</v>
      </c>
      <c r="U111" s="13"/>
      <c r="V111" s="22">
        <f>IF(T$12=0,0,T111/T$12)</f>
        <v>-4.8578045046130738</v>
      </c>
      <c r="W111" s="16"/>
      <c r="X111" s="21">
        <f>+P111-T111</f>
        <v>-36482.570000000298</v>
      </c>
      <c r="Y111" s="16"/>
      <c r="Z111" s="22">
        <f>IF(T111=0,0,X111/T111)</f>
        <v>6.0258899119389003E-2</v>
      </c>
    </row>
    <row r="112" spans="1:26" x14ac:dyDescent="0.3">
      <c r="A112" s="9"/>
      <c r="B112" s="10"/>
      <c r="C112" s="9"/>
      <c r="D112" s="3"/>
      <c r="E112" s="3"/>
      <c r="F112" s="8"/>
      <c r="G112" s="3"/>
      <c r="H112" s="3"/>
      <c r="I112" s="3"/>
      <c r="J112" s="8"/>
      <c r="K112" s="3"/>
      <c r="L112" s="3"/>
      <c r="M112" s="3"/>
      <c r="N112" s="8"/>
      <c r="P112" s="3"/>
      <c r="Q112" s="3"/>
      <c r="R112" s="8"/>
      <c r="S112" s="3"/>
      <c r="T112" s="3"/>
      <c r="U112" s="3"/>
      <c r="V112" s="8"/>
      <c r="W112" s="3"/>
      <c r="X112" s="3"/>
      <c r="Y112" s="3"/>
      <c r="Z112" s="8"/>
    </row>
    <row r="113" spans="1:26" s="23" customFormat="1" x14ac:dyDescent="0.3">
      <c r="A113" s="51"/>
      <c r="B113" s="10" t="s">
        <v>127</v>
      </c>
      <c r="C113" s="10"/>
      <c r="D113" s="4">
        <v>15530.11</v>
      </c>
      <c r="E113" s="4"/>
      <c r="F113" s="12">
        <f>IF(D$12=0,0,D113/D$12)</f>
        <v>0.13201715513801518</v>
      </c>
      <c r="G113" s="4"/>
      <c r="H113" s="4">
        <v>6709.09</v>
      </c>
      <c r="I113" s="4"/>
      <c r="J113" s="12">
        <f>IF(H$12=0,0,H113/H$12)</f>
        <v>0.10458181940619088</v>
      </c>
      <c r="K113" s="4"/>
      <c r="L113" s="4">
        <f>+D113-H113</f>
        <v>8821.02</v>
      </c>
      <c r="M113" s="4"/>
      <c r="N113" s="12">
        <f>IF(H113=0,0,L113/H113)</f>
        <v>1.3147863570171217</v>
      </c>
      <c r="O113" s="10"/>
      <c r="P113" s="4">
        <v>65384.21</v>
      </c>
      <c r="Q113" s="4"/>
      <c r="R113" s="12">
        <f>IF(P$12=0,0,P113/P$12)</f>
        <v>0.1191117444706416</v>
      </c>
      <c r="S113" s="4"/>
      <c r="T113" s="4">
        <v>19810.13</v>
      </c>
      <c r="U113" s="4"/>
      <c r="V113" s="12">
        <f>IF(T$12=0,0,T113/T$12)</f>
        <v>0.15895094987212594</v>
      </c>
      <c r="W113" s="4"/>
      <c r="X113" s="4">
        <f>+P113-T113</f>
        <v>45574.080000000002</v>
      </c>
      <c r="Y113" s="4"/>
      <c r="Z113" s="12">
        <f>IF(T113=0,0,X113/T113)</f>
        <v>2.300544216519528</v>
      </c>
    </row>
    <row r="114" spans="1:26" x14ac:dyDescent="0.3">
      <c r="A114" s="9"/>
      <c r="B114" s="10"/>
      <c r="C114" s="10"/>
      <c r="D114" s="3"/>
      <c r="E114" s="3"/>
      <c r="F114" s="8"/>
      <c r="G114" s="3"/>
      <c r="H114" s="3"/>
      <c r="I114" s="3"/>
      <c r="J114" s="8"/>
      <c r="K114" s="3"/>
      <c r="L114" s="3"/>
      <c r="M114" s="3"/>
      <c r="N114" s="8"/>
      <c r="O114" s="10"/>
      <c r="P114" s="3"/>
      <c r="Q114" s="3"/>
      <c r="R114" s="8"/>
      <c r="S114" s="3"/>
      <c r="T114" s="3"/>
      <c r="U114" s="3"/>
      <c r="V114" s="8"/>
      <c r="W114" s="3"/>
      <c r="X114" s="3"/>
      <c r="Y114" s="3"/>
      <c r="Z114" s="8"/>
    </row>
    <row r="115" spans="1:26" s="23" customFormat="1" ht="15" thickBot="1" x14ac:dyDescent="0.35">
      <c r="A115" s="10"/>
      <c r="B115" s="25" t="s">
        <v>125</v>
      </c>
      <c r="C115" s="25"/>
      <c r="D115" s="35">
        <f>+D111-D113</f>
        <v>-131745.77000000002</v>
      </c>
      <c r="E115" s="13"/>
      <c r="F115" s="31">
        <f>IF(D$12=0,0,D115/D$12)</f>
        <v>-1.1199342282100557</v>
      </c>
      <c r="G115" s="13"/>
      <c r="H115" s="35">
        <f>+H111-H113</f>
        <v>-82849.75</v>
      </c>
      <c r="I115" s="13"/>
      <c r="J115" s="31">
        <f>IF(H$12=0,0,H115/H$12)</f>
        <v>-1.2914683798172424</v>
      </c>
      <c r="K115" s="16"/>
      <c r="L115" s="35">
        <f>D115-H115</f>
        <v>-48896.020000000019</v>
      </c>
      <c r="M115" s="16"/>
      <c r="N115" s="31">
        <f>IF(H115=0,0,L115/H115)</f>
        <v>0.59017703734772908</v>
      </c>
      <c r="O115" s="26"/>
      <c r="P115" s="35">
        <f>+P111-P113</f>
        <v>-707297.18999999983</v>
      </c>
      <c r="Q115" s="13"/>
      <c r="R115" s="31">
        <f>IF(P$12=0,0,P115/P$12)</f>
        <v>-1.2884976687809309</v>
      </c>
      <c r="S115" s="13"/>
      <c r="T115" s="35">
        <f>+T111-T113</f>
        <v>-625240.53999999957</v>
      </c>
      <c r="U115" s="13"/>
      <c r="V115" s="31">
        <f>IF(T$12=0,0,T115/T$12)</f>
        <v>-5.0167554544851996</v>
      </c>
      <c r="W115" s="16"/>
      <c r="X115" s="35">
        <f>P115-T115</f>
        <v>-82056.650000000256</v>
      </c>
      <c r="Y115" s="16"/>
      <c r="Z115" s="31">
        <f>IF(T115=0,0,X115/T115)</f>
        <v>0.13124013039845484</v>
      </c>
    </row>
    <row r="116" spans="1:26" ht="15" thickTop="1" x14ac:dyDescent="0.3">
      <c r="A116" s="9"/>
      <c r="B116" s="9"/>
      <c r="C116" s="9"/>
      <c r="D116" s="3"/>
      <c r="E116" s="3"/>
      <c r="F116" s="8"/>
      <c r="G116" s="3"/>
      <c r="H116" s="3"/>
      <c r="I116" s="3"/>
      <c r="J116" s="8"/>
      <c r="K116" s="3"/>
      <c r="L116" s="3"/>
      <c r="M116" s="3"/>
      <c r="N116" s="8"/>
      <c r="P116" s="3"/>
      <c r="Q116" s="3"/>
      <c r="R116" s="8"/>
      <c r="S116" s="3"/>
      <c r="T116" s="3"/>
      <c r="U116" s="3"/>
      <c r="V116" s="8"/>
      <c r="W116" s="3"/>
      <c r="X116" s="3"/>
      <c r="Y116" s="3"/>
      <c r="Z116" s="8"/>
    </row>
    <row r="117" spans="1:26" x14ac:dyDescent="0.3">
      <c r="A117" s="9"/>
      <c r="B117" s="9"/>
      <c r="C117" s="9"/>
      <c r="D117" s="3"/>
      <c r="E117" s="3"/>
      <c r="F117" s="8"/>
      <c r="G117" s="3"/>
      <c r="H117" s="3"/>
      <c r="I117" s="3"/>
      <c r="J117" s="8"/>
      <c r="K117" s="3"/>
      <c r="L117" s="3"/>
      <c r="M117" s="3"/>
      <c r="N117" s="8"/>
      <c r="P117" s="3"/>
      <c r="Q117" s="3"/>
      <c r="R117" s="8"/>
      <c r="S117" s="3"/>
      <c r="T117" s="3"/>
      <c r="U117" s="3"/>
      <c r="V117" s="8"/>
      <c r="W117" s="3"/>
      <c r="X117" s="3"/>
      <c r="Y117" s="3"/>
      <c r="Z117" s="8"/>
    </row>
    <row r="118" spans="1:26" s="23" customFormat="1" ht="15" thickBot="1" x14ac:dyDescent="0.35">
      <c r="A118" s="10"/>
      <c r="B118" s="25" t="s">
        <v>293</v>
      </c>
      <c r="C118" s="25"/>
      <c r="D118" s="36">
        <f>SUM(D115:D117)</f>
        <v>-131745.77000000002</v>
      </c>
      <c r="E118" s="13"/>
      <c r="F118" s="33">
        <f>IF(D$12=0,0,D118/D$12)</f>
        <v>-1.1199342282100557</v>
      </c>
      <c r="G118" s="13"/>
      <c r="H118" s="36">
        <f>SUM(H115:H117)</f>
        <v>-82849.75</v>
      </c>
      <c r="I118" s="13"/>
      <c r="J118" s="33">
        <f>IF(H$12=0,0,H118/H$12)</f>
        <v>-1.2914683798172424</v>
      </c>
      <c r="K118" s="16"/>
      <c r="L118" s="36">
        <f>+D118-H118</f>
        <v>-48896.020000000019</v>
      </c>
      <c r="M118" s="16"/>
      <c r="N118" s="33">
        <f>IF(H118=0,0,L118/H118)</f>
        <v>0.59017703734772908</v>
      </c>
      <c r="O118" s="26"/>
      <c r="P118" s="36">
        <f>SUM(P115:P117)</f>
        <v>-707297.18999999983</v>
      </c>
      <c r="Q118" s="13"/>
      <c r="R118" s="33">
        <f>IF(P$12=0,0,P118/P$12)</f>
        <v>-1.2884976687809309</v>
      </c>
      <c r="S118" s="13"/>
      <c r="T118" s="36">
        <f>SUM(T115:T117)</f>
        <v>-625240.53999999957</v>
      </c>
      <c r="U118" s="13"/>
      <c r="V118" s="33">
        <f>IF(T$12=0,0,T118/T$12)</f>
        <v>-5.0167554544851996</v>
      </c>
      <c r="W118" s="16"/>
      <c r="X118" s="36">
        <f>+P118-T118</f>
        <v>-82056.650000000256</v>
      </c>
      <c r="Y118" s="16"/>
      <c r="Z118" s="33">
        <f>IF(T118=0,0,X118/T118)</f>
        <v>0.13124013039845484</v>
      </c>
    </row>
    <row r="119" spans="1:26" ht="15" thickTop="1" x14ac:dyDescent="0.3">
      <c r="A119" s="9"/>
      <c r="C119" s="9"/>
      <c r="D119" s="17"/>
      <c r="E119" s="17"/>
      <c r="G119" s="17"/>
      <c r="H119" s="17"/>
      <c r="I119" s="17"/>
      <c r="J119" s="42"/>
      <c r="K119" s="17"/>
      <c r="L119" s="17"/>
      <c r="M119" s="17"/>
      <c r="P119" s="17"/>
      <c r="Q119" s="17"/>
      <c r="R119" s="42"/>
      <c r="S119" s="17"/>
      <c r="T119" s="17"/>
      <c r="U119" s="17"/>
      <c r="V119" s="42"/>
      <c r="W119" s="17"/>
      <c r="X119" s="17"/>
    </row>
    <row r="120" spans="1:26" x14ac:dyDescent="0.3">
      <c r="A120" s="9"/>
      <c r="B120" s="52">
        <v>44543.765542789355</v>
      </c>
      <c r="D120" s="17"/>
      <c r="E120" s="17"/>
      <c r="G120" s="17"/>
      <c r="H120" s="17"/>
      <c r="I120" s="17"/>
      <c r="J120" s="42"/>
      <c r="K120" s="17"/>
      <c r="L120" s="17"/>
      <c r="M120" s="17"/>
      <c r="P120" s="17"/>
      <c r="Q120" s="17"/>
      <c r="R120" s="42"/>
      <c r="S120" s="17"/>
      <c r="T120" s="17"/>
      <c r="U120" s="17"/>
      <c r="V120" s="42"/>
      <c r="W120" s="17"/>
      <c r="X120" s="17"/>
    </row>
    <row r="121" spans="1:26" x14ac:dyDescent="0.3">
      <c r="A121" s="9"/>
      <c r="B121" s="59" t="s">
        <v>56</v>
      </c>
      <c r="D121" s="17"/>
      <c r="E121" s="17"/>
      <c r="G121" s="17"/>
      <c r="H121" s="17"/>
      <c r="I121" s="17"/>
      <c r="J121" s="42"/>
      <c r="K121" s="17"/>
      <c r="L121" s="17"/>
      <c r="M121" s="17"/>
      <c r="P121" s="17"/>
      <c r="Q121" s="17"/>
      <c r="R121" s="42"/>
      <c r="S121" s="17"/>
      <c r="T121" s="17"/>
      <c r="U121" s="17"/>
      <c r="V121" s="42"/>
      <c r="W121" s="17"/>
      <c r="X121" s="17"/>
    </row>
    <row r="122" spans="1:26" x14ac:dyDescent="0.3">
      <c r="A122" s="9"/>
      <c r="B122" s="61"/>
      <c r="D122" s="17"/>
      <c r="E122" s="17"/>
      <c r="G122" s="17"/>
      <c r="H122" s="17"/>
      <c r="I122" s="17"/>
      <c r="J122" s="42"/>
      <c r="K122" s="17"/>
      <c r="L122" s="17"/>
      <c r="M122" s="17"/>
      <c r="P122" s="17"/>
      <c r="Q122" s="17"/>
      <c r="R122" s="42"/>
      <c r="S122" s="17"/>
      <c r="T122" s="17"/>
      <c r="U122" s="17"/>
      <c r="V122" s="42"/>
      <c r="W122" s="17"/>
      <c r="X122" s="17"/>
    </row>
    <row r="123" spans="1:26" x14ac:dyDescent="0.3">
      <c r="D123" s="17"/>
      <c r="E123" s="17"/>
      <c r="G123" s="17"/>
      <c r="H123" s="17"/>
      <c r="I123" s="17"/>
      <c r="J123" s="42"/>
      <c r="K123" s="17"/>
      <c r="L123" s="17"/>
      <c r="M123" s="17"/>
      <c r="P123" s="17"/>
      <c r="Q123" s="17"/>
      <c r="R123" s="42"/>
      <c r="S123" s="17"/>
      <c r="T123" s="17"/>
      <c r="U123" s="17"/>
      <c r="V123" s="42"/>
      <c r="W123" s="17"/>
      <c r="X123" s="17"/>
    </row>
  </sheetData>
  <pageMargins left="0.25" right="0.25" top="0.75" bottom="0.75" header="0.3" footer="0.3"/>
  <pageSetup scale="55" fitToWidth="2" orientation="landscape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FF00"/>
    <outlinePr summaryBelow="0" summaryRight="0"/>
  </sheetPr>
  <dimension ref="A2:Z11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105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102315.87</v>
      </c>
      <c r="E12" s="4"/>
      <c r="F12" s="12"/>
      <c r="G12" s="4"/>
      <c r="H12" s="4">
        <f>SUM(OSRRefH13x_0)</f>
        <v>64151.59</v>
      </c>
      <c r="I12" s="4"/>
      <c r="J12" s="12"/>
      <c r="K12" s="4"/>
      <c r="L12" s="4">
        <f t="shared" ref="L12:L17" si="0">+D12-H12</f>
        <v>38164.28</v>
      </c>
      <c r="M12" s="4"/>
      <c r="N12" s="12">
        <f t="shared" ref="N12:N17" si="1">IF(H12=0,0,L12/H12)</f>
        <v>0.59490778015011014</v>
      </c>
      <c r="O12" s="10"/>
      <c r="P12" s="4">
        <f>SUM(OSRRefP13x_0)</f>
        <v>485002.4</v>
      </c>
      <c r="Q12" s="4"/>
      <c r="R12" s="12"/>
      <c r="S12" s="4"/>
      <c r="T12" s="4">
        <f>SUM(OSRRefT13x_0)</f>
        <v>122043.98999999999</v>
      </c>
      <c r="U12" s="4"/>
      <c r="V12" s="12"/>
      <c r="W12" s="4"/>
      <c r="X12" s="4">
        <f t="shared" ref="X12:X17" si="2">+P12-T12</f>
        <v>362958.41000000003</v>
      </c>
      <c r="Y12" s="4"/>
      <c r="Z12" s="12">
        <f t="shared" ref="Z12:Z17" si="3">IF(T12=0,0,X12/T12)</f>
        <v>2.9739965892626099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--23100.6</f>
        <v>23100.6</v>
      </c>
      <c r="E13" s="2"/>
      <c r="F13" s="19"/>
      <c r="G13" s="2"/>
      <c r="H13" s="2">
        <f>--4501.27</f>
        <v>4501.2700000000004</v>
      </c>
      <c r="I13" s="2"/>
      <c r="J13" s="19"/>
      <c r="K13" s="2"/>
      <c r="L13" s="2">
        <f t="shared" si="0"/>
        <v>18599.329999999998</v>
      </c>
      <c r="M13" s="2"/>
      <c r="N13" s="19">
        <f t="shared" si="1"/>
        <v>4.1320182970583845</v>
      </c>
      <c r="O13" s="11"/>
      <c r="P13" s="2">
        <f>--127351.17</f>
        <v>127351.17</v>
      </c>
      <c r="Q13" s="2"/>
      <c r="R13" s="19"/>
      <c r="S13" s="2"/>
      <c r="T13" s="2">
        <f>--17251.21</f>
        <v>17251.21</v>
      </c>
      <c r="U13" s="2"/>
      <c r="V13" s="19"/>
      <c r="W13" s="2"/>
      <c r="X13" s="2">
        <f t="shared" si="2"/>
        <v>110099.95999999999</v>
      </c>
      <c r="Y13" s="2"/>
      <c r="Z13" s="19">
        <f t="shared" si="3"/>
        <v>6.3821587007520053</v>
      </c>
    </row>
    <row r="14" spans="1:26" s="24" customFormat="1" hidden="1" outlineLevel="1" x14ac:dyDescent="0.3">
      <c r="A14" s="44"/>
      <c r="B14" s="11" t="str">
        <f>CONCATENATE("          ", "4052", " - ", "TAXABLE SALES-FOOD")</f>
        <v xml:space="preserve">          4052 - TAXABLE SALES-FOOD</v>
      </c>
      <c r="C14" s="11"/>
      <c r="D14" s="2">
        <f>0</f>
        <v>0</v>
      </c>
      <c r="E14" s="2"/>
      <c r="F14" s="19"/>
      <c r="G14" s="2"/>
      <c r="H14" s="2">
        <f>--55493.87</f>
        <v>55493.87</v>
      </c>
      <c r="I14" s="2"/>
      <c r="J14" s="19"/>
      <c r="K14" s="2"/>
      <c r="L14" s="2">
        <f t="shared" si="0"/>
        <v>-55493.87</v>
      </c>
      <c r="M14" s="2"/>
      <c r="N14" s="19">
        <f t="shared" si="1"/>
        <v>-1</v>
      </c>
      <c r="O14" s="11"/>
      <c r="P14" s="2">
        <f>0</f>
        <v>0</v>
      </c>
      <c r="Q14" s="2"/>
      <c r="R14" s="19"/>
      <c r="S14" s="2"/>
      <c r="T14" s="2">
        <f>--85725.16</f>
        <v>85725.16</v>
      </c>
      <c r="U14" s="2"/>
      <c r="V14" s="19"/>
      <c r="W14" s="2"/>
      <c r="X14" s="2">
        <f t="shared" si="2"/>
        <v>-85725.16</v>
      </c>
      <c r="Y14" s="2"/>
      <c r="Z14" s="19">
        <f t="shared" si="3"/>
        <v>-1</v>
      </c>
    </row>
    <row r="15" spans="1:26" s="24" customFormat="1" hidden="1" outlineLevel="1" x14ac:dyDescent="0.3">
      <c r="A15" s="44"/>
      <c r="B15" s="11" t="str">
        <f>CONCATENATE("          ", "4053", " - ", "TAXABLE SALES-FOOD")</f>
        <v xml:space="preserve">          4053 - TAXABLE SALES-FOOD</v>
      </c>
      <c r="C15" s="11"/>
      <c r="D15" s="2">
        <f>--1464.84</f>
        <v>1464.84</v>
      </c>
      <c r="E15" s="2"/>
      <c r="F15" s="19"/>
      <c r="G15" s="2"/>
      <c r="H15" s="2">
        <f t="shared" ref="H15:H16" si="4">0</f>
        <v>0</v>
      </c>
      <c r="I15" s="2"/>
      <c r="J15" s="19"/>
      <c r="K15" s="2"/>
      <c r="L15" s="2">
        <f t="shared" si="0"/>
        <v>1464.84</v>
      </c>
      <c r="M15" s="2"/>
      <c r="N15" s="19">
        <f t="shared" si="1"/>
        <v>0</v>
      </c>
      <c r="O15" s="11"/>
      <c r="P15" s="2">
        <f>--5729.68</f>
        <v>5729.68</v>
      </c>
      <c r="Q15" s="2"/>
      <c r="R15" s="19"/>
      <c r="S15" s="2"/>
      <c r="T15" s="2">
        <f>0</f>
        <v>0</v>
      </c>
      <c r="U15" s="2"/>
      <c r="V15" s="19"/>
      <c r="W15" s="2"/>
      <c r="X15" s="2">
        <f t="shared" si="2"/>
        <v>5729.68</v>
      </c>
      <c r="Y15" s="2"/>
      <c r="Z15" s="19">
        <f t="shared" si="3"/>
        <v>0</v>
      </c>
    </row>
    <row r="16" spans="1:26" s="24" customFormat="1" hidden="1" outlineLevel="1" x14ac:dyDescent="0.3">
      <c r="A16" s="44"/>
      <c r="B16" s="11" t="str">
        <f>CONCATENATE("          ", "4058", " - ", "TAXABLE SALES-FOOD")</f>
        <v xml:space="preserve">          4058 - TAXABLE SALES-FOOD</v>
      </c>
      <c r="C16" s="11"/>
      <c r="D16" s="2">
        <f>0</f>
        <v>0</v>
      </c>
      <c r="E16" s="2"/>
      <c r="F16" s="19"/>
      <c r="G16" s="2"/>
      <c r="H16" s="2">
        <f t="shared" si="4"/>
        <v>0</v>
      </c>
      <c r="I16" s="2"/>
      <c r="J16" s="19"/>
      <c r="K16" s="2"/>
      <c r="L16" s="2">
        <f t="shared" si="0"/>
        <v>0</v>
      </c>
      <c r="M16" s="2"/>
      <c r="N16" s="19">
        <f t="shared" si="1"/>
        <v>0</v>
      </c>
      <c r="O16" s="11"/>
      <c r="P16" s="2">
        <f>0</f>
        <v>0</v>
      </c>
      <c r="Q16" s="2"/>
      <c r="R16" s="19"/>
      <c r="S16" s="2"/>
      <c r="T16" s="2">
        <f>--974.91</f>
        <v>974.91</v>
      </c>
      <c r="U16" s="2"/>
      <c r="V16" s="19"/>
      <c r="W16" s="2"/>
      <c r="X16" s="2">
        <f t="shared" si="2"/>
        <v>-974.91</v>
      </c>
      <c r="Y16" s="2"/>
      <c r="Z16" s="19">
        <f t="shared" si="3"/>
        <v>-1</v>
      </c>
    </row>
    <row r="17" spans="1:26" s="24" customFormat="1" hidden="1" outlineLevel="1" x14ac:dyDescent="0.3">
      <c r="A17" s="44"/>
      <c r="B17" s="11" t="str">
        <f>CONCATENATE("          ", "4151", " - ", "NON-TAXABLE SALES-FOOD")</f>
        <v xml:space="preserve">          4151 - NON-TAXABLE SALES-FOOD</v>
      </c>
      <c r="C17" s="11"/>
      <c r="D17" s="2">
        <f>--77750.43</f>
        <v>77750.429999999993</v>
      </c>
      <c r="E17" s="2"/>
      <c r="F17" s="19"/>
      <c r="G17" s="2"/>
      <c r="H17" s="2">
        <f>--4156.45</f>
        <v>4156.45</v>
      </c>
      <c r="I17" s="2"/>
      <c r="J17" s="19"/>
      <c r="K17" s="2"/>
      <c r="L17" s="2">
        <f t="shared" si="0"/>
        <v>73593.98</v>
      </c>
      <c r="M17" s="2"/>
      <c r="N17" s="19">
        <f t="shared" si="1"/>
        <v>17.70597023902609</v>
      </c>
      <c r="O17" s="11"/>
      <c r="P17" s="2">
        <f>--351921.55</f>
        <v>351921.55</v>
      </c>
      <c r="Q17" s="2"/>
      <c r="R17" s="19"/>
      <c r="S17" s="2"/>
      <c r="T17" s="2">
        <f>--18092.71</f>
        <v>18092.71</v>
      </c>
      <c r="U17" s="2"/>
      <c r="V17" s="19"/>
      <c r="W17" s="2"/>
      <c r="X17" s="2">
        <f t="shared" si="2"/>
        <v>333828.83999999997</v>
      </c>
      <c r="Y17" s="2"/>
      <c r="Z17" s="19">
        <f t="shared" si="3"/>
        <v>18.451013695571309</v>
      </c>
    </row>
    <row r="18" spans="1:26" x14ac:dyDescent="0.3">
      <c r="A18" s="9"/>
      <c r="B18" s="10"/>
      <c r="C18" s="9"/>
      <c r="D18" s="3"/>
      <c r="E18" s="3"/>
      <c r="F18" s="8"/>
      <c r="G18" s="3"/>
      <c r="H18" s="3"/>
      <c r="I18" s="3"/>
      <c r="J18" s="8"/>
      <c r="K18" s="3"/>
      <c r="L18" s="3"/>
      <c r="M18" s="3"/>
      <c r="N18" s="8"/>
      <c r="P18" s="3"/>
      <c r="Q18" s="3"/>
      <c r="R18" s="8"/>
      <c r="S18" s="3"/>
      <c r="T18" s="3"/>
      <c r="U18" s="3"/>
      <c r="V18" s="8"/>
      <c r="W18" s="3"/>
      <c r="X18" s="3"/>
      <c r="Y18" s="3"/>
      <c r="Z18" s="8"/>
    </row>
    <row r="19" spans="1:26" s="23" customFormat="1" collapsed="1" x14ac:dyDescent="0.3">
      <c r="A19" s="10"/>
      <c r="B19" s="26" t="s">
        <v>256</v>
      </c>
      <c r="C19" s="10"/>
      <c r="D19" s="4">
        <f>SUM(OSRRefD16x_0)</f>
        <v>42822.090000000004</v>
      </c>
      <c r="E19" s="4"/>
      <c r="F19" s="12">
        <f t="shared" ref="F19:F21" si="5">IF(D$12=0,0,D19/D$12)</f>
        <v>0.41852832801011225</v>
      </c>
      <c r="G19" s="4"/>
      <c r="H19" s="4">
        <f>SUM(OSRRefH16x_0)</f>
        <v>2843.9300000000003</v>
      </c>
      <c r="I19" s="4"/>
      <c r="J19" s="12">
        <f t="shared" ref="J19:J21" si="6">IF(H$12=0,0,H19/H$12)</f>
        <v>4.4331403165533391E-2</v>
      </c>
      <c r="K19" s="4"/>
      <c r="L19" s="4">
        <f t="shared" ref="L19:L21" si="7">+D19-H19</f>
        <v>39978.160000000003</v>
      </c>
      <c r="M19" s="4"/>
      <c r="N19" s="12">
        <f t="shared" ref="N19:N21" si="8">IF(H19=0,0,L19/H19)</f>
        <v>14.05736428111803</v>
      </c>
      <c r="O19" s="10"/>
      <c r="P19" s="4">
        <f>SUM(OSRRefP16x_0)</f>
        <v>190944.16</v>
      </c>
      <c r="Q19" s="4"/>
      <c r="R19" s="12">
        <f t="shared" ref="R19:R21" si="9">IF(P$12=0,0,P19/P$12)</f>
        <v>0.39369735077599616</v>
      </c>
      <c r="S19" s="4"/>
      <c r="T19" s="4">
        <f>SUM(OSRRefT16x_0)</f>
        <v>14656.4</v>
      </c>
      <c r="U19" s="4"/>
      <c r="V19" s="12">
        <f t="shared" ref="V19:V21" si="10">IF(T$12=0,0,T19/T$12)</f>
        <v>0.12009112451993745</v>
      </c>
      <c r="W19" s="4"/>
      <c r="X19" s="4">
        <f t="shared" ref="X19:X21" si="11">+P19-T19</f>
        <v>176287.76</v>
      </c>
      <c r="Y19" s="4"/>
      <c r="Z19" s="12">
        <f t="shared" ref="Z19:Z21" si="12">IF(T19=0,0,X19/T19)</f>
        <v>12.028039627739419</v>
      </c>
    </row>
    <row r="20" spans="1:26" s="24" customFormat="1" hidden="1" outlineLevel="1" x14ac:dyDescent="0.3">
      <c r="A20" s="44"/>
      <c r="B20" s="11" t="str">
        <f>CONCATENATE("          ", "5053", " - ", "PURCHASES @ COST-FOOD")</f>
        <v xml:space="preserve">          5053 - PURCHASES @ COST-FOOD</v>
      </c>
      <c r="C20" s="11"/>
      <c r="D20" s="2">
        <v>38763.83</v>
      </c>
      <c r="E20" s="2"/>
      <c r="F20" s="19">
        <f t="shared" si="5"/>
        <v>0.37886429544116668</v>
      </c>
      <c r="G20" s="2"/>
      <c r="H20" s="2">
        <v>1847.93</v>
      </c>
      <c r="I20" s="2"/>
      <c r="J20" s="19">
        <f t="shared" si="6"/>
        <v>2.8805677302776129E-2</v>
      </c>
      <c r="K20" s="2"/>
      <c r="L20" s="2">
        <f t="shared" si="7"/>
        <v>36915.9</v>
      </c>
      <c r="M20" s="2"/>
      <c r="N20" s="19">
        <f t="shared" si="8"/>
        <v>19.976893064131218</v>
      </c>
      <c r="O20" s="11"/>
      <c r="P20" s="2">
        <v>193124.76</v>
      </c>
      <c r="Q20" s="2"/>
      <c r="R20" s="19">
        <f t="shared" si="9"/>
        <v>0.39819341100167754</v>
      </c>
      <c r="S20" s="2"/>
      <c r="T20" s="2">
        <v>11477.34</v>
      </c>
      <c r="U20" s="2"/>
      <c r="V20" s="19">
        <f t="shared" si="10"/>
        <v>9.404264806484941E-2</v>
      </c>
      <c r="W20" s="2"/>
      <c r="X20" s="2">
        <f t="shared" si="11"/>
        <v>181647.42</v>
      </c>
      <c r="Y20" s="2"/>
      <c r="Z20" s="19">
        <f t="shared" si="12"/>
        <v>15.826613135099249</v>
      </c>
    </row>
    <row r="21" spans="1:26" s="24" customFormat="1" hidden="1" outlineLevel="1" x14ac:dyDescent="0.3">
      <c r="A21" s="44"/>
      <c r="B21" s="11" t="str">
        <f>CONCATENATE("          ", "5059", " - ", "PURCHASES @ COST-FOOD")</f>
        <v xml:space="preserve">          5059 - PURCHASES @ COST-FOOD</v>
      </c>
      <c r="C21" s="11"/>
      <c r="D21" s="2">
        <v>4058.26</v>
      </c>
      <c r="E21" s="2"/>
      <c r="F21" s="19">
        <f t="shared" si="5"/>
        <v>3.9664032568945566E-2</v>
      </c>
      <c r="G21" s="2"/>
      <c r="H21" s="2">
        <v>996</v>
      </c>
      <c r="I21" s="2"/>
      <c r="J21" s="19">
        <f t="shared" si="6"/>
        <v>1.552572586275726E-2</v>
      </c>
      <c r="K21" s="2"/>
      <c r="L21" s="2">
        <f t="shared" si="7"/>
        <v>3062.26</v>
      </c>
      <c r="M21" s="2"/>
      <c r="N21" s="19">
        <f t="shared" si="8"/>
        <v>3.0745582329317269</v>
      </c>
      <c r="O21" s="11"/>
      <c r="P21" s="2">
        <v>-2180.6</v>
      </c>
      <c r="Q21" s="2"/>
      <c r="R21" s="19">
        <f t="shared" si="9"/>
        <v>-4.4960602256813569E-3</v>
      </c>
      <c r="S21" s="2"/>
      <c r="T21" s="2">
        <v>3179.06</v>
      </c>
      <c r="U21" s="2"/>
      <c r="V21" s="19">
        <f t="shared" si="10"/>
        <v>2.6048476455088041E-2</v>
      </c>
      <c r="W21" s="2"/>
      <c r="X21" s="2">
        <f t="shared" si="11"/>
        <v>-5359.66</v>
      </c>
      <c r="Y21" s="2"/>
      <c r="Z21" s="19">
        <f t="shared" si="12"/>
        <v>-1.685926028448661</v>
      </c>
    </row>
    <row r="22" spans="1:26" x14ac:dyDescent="0.3">
      <c r="A22" s="9"/>
      <c r="B22" s="10"/>
      <c r="C22" s="10"/>
      <c r="D22" s="3"/>
      <c r="E22" s="3"/>
      <c r="F22" s="8"/>
      <c r="G22" s="3"/>
      <c r="H22" s="3"/>
      <c r="I22" s="3"/>
      <c r="J22" s="8"/>
      <c r="K22" s="3"/>
      <c r="L22" s="3"/>
      <c r="M22" s="3"/>
      <c r="N22" s="8"/>
      <c r="O22" s="10"/>
      <c r="P22" s="3"/>
      <c r="Q22" s="3"/>
      <c r="R22" s="8"/>
      <c r="S22" s="3"/>
      <c r="T22" s="3"/>
      <c r="U22" s="3"/>
      <c r="V22" s="8"/>
      <c r="W22" s="3"/>
      <c r="X22" s="3"/>
      <c r="Y22" s="3"/>
      <c r="Z22" s="8"/>
    </row>
    <row r="23" spans="1:26" s="23" customFormat="1" x14ac:dyDescent="0.3">
      <c r="A23" s="10"/>
      <c r="B23" s="25" t="s">
        <v>107</v>
      </c>
      <c r="C23" s="25"/>
      <c r="D23" s="21">
        <f>D12-D19</f>
        <v>59493.779999999992</v>
      </c>
      <c r="E23" s="13"/>
      <c r="F23" s="22">
        <f>IF(D$12=0,0,D23/D$12)</f>
        <v>0.5814716719898877</v>
      </c>
      <c r="G23" s="13"/>
      <c r="H23" s="21">
        <f>H12-H19</f>
        <v>61307.659999999996</v>
      </c>
      <c r="I23" s="13"/>
      <c r="J23" s="22">
        <f>IF(H$12=0,0,H23/H$12)</f>
        <v>0.95566859683446659</v>
      </c>
      <c r="K23" s="16"/>
      <c r="L23" s="21">
        <f>+D23-H23</f>
        <v>-1813.8800000000047</v>
      </c>
      <c r="M23" s="16"/>
      <c r="N23" s="22">
        <f>IF(H23=0,0,L23/H23)</f>
        <v>-2.9586514964035568E-2</v>
      </c>
      <c r="O23" s="26"/>
      <c r="P23" s="21">
        <f>P12-P19</f>
        <v>294058.23999999999</v>
      </c>
      <c r="Q23" s="13"/>
      <c r="R23" s="22">
        <f>IF(P$12=0,0,P23/P$12)</f>
        <v>0.60630264922400379</v>
      </c>
      <c r="S23" s="13"/>
      <c r="T23" s="21">
        <f>T12-T19</f>
        <v>107387.59</v>
      </c>
      <c r="U23" s="13"/>
      <c r="V23" s="22">
        <f>IF(T$12=0,0,T23/T$12)</f>
        <v>0.87990887548006258</v>
      </c>
      <c r="W23" s="16"/>
      <c r="X23" s="21">
        <f>+P23-T23</f>
        <v>186670.65</v>
      </c>
      <c r="Y23" s="16"/>
      <c r="Z23" s="22">
        <f>IF(T23=0,0,X23/T23)</f>
        <v>1.7382888469701201</v>
      </c>
    </row>
    <row r="24" spans="1:26" x14ac:dyDescent="0.3">
      <c r="A24" s="9"/>
      <c r="B24" s="10"/>
      <c r="C24" s="9"/>
      <c r="D24" s="1"/>
      <c r="E24" s="1"/>
      <c r="F24" s="5"/>
      <c r="G24" s="1"/>
      <c r="H24" s="1"/>
      <c r="I24" s="1"/>
      <c r="J24" s="5"/>
      <c r="K24" s="1"/>
      <c r="L24" s="1"/>
      <c r="M24" s="1"/>
      <c r="N24" s="5"/>
      <c r="O24" s="37"/>
      <c r="P24" s="1"/>
      <c r="Q24" s="1"/>
      <c r="R24" s="5"/>
      <c r="S24" s="1"/>
      <c r="T24" s="1"/>
      <c r="U24" s="1"/>
      <c r="V24" s="5"/>
      <c r="W24" s="1"/>
      <c r="X24" s="1"/>
      <c r="Y24" s="1"/>
      <c r="Z24" s="5"/>
    </row>
    <row r="25" spans="1:26" s="23" customFormat="1" x14ac:dyDescent="0.3">
      <c r="A25" s="10"/>
      <c r="B25" s="26" t="s">
        <v>294</v>
      </c>
      <c r="C25" s="10"/>
      <c r="D25" s="20">
        <f>SUM(OSRRefD22x_0)</f>
        <v>164464.44</v>
      </c>
      <c r="E25" s="20"/>
      <c r="F25" s="32">
        <f t="shared" ref="F25:F34" si="13">IF(D$12=0,0,D25/D$12)</f>
        <v>1.6074186731735751</v>
      </c>
      <c r="G25" s="20"/>
      <c r="H25" s="20">
        <f>SUM(OSRRefH22x_0)</f>
        <v>111877.00000000001</v>
      </c>
      <c r="I25" s="20"/>
      <c r="J25" s="32">
        <f t="shared" ref="J25:J34" si="14">IF(H$12=0,0,H25/H$12)</f>
        <v>1.7439474220358375</v>
      </c>
      <c r="K25" s="4"/>
      <c r="L25" s="20">
        <f t="shared" ref="L25:L34" si="15">+D25-H25</f>
        <v>52587.439999999988</v>
      </c>
      <c r="M25" s="4"/>
      <c r="N25" s="32">
        <f t="shared" ref="N25:N34" si="16">IF(H25=0,0,L25/H25)</f>
        <v>0.47004692653539137</v>
      </c>
      <c r="O25" s="10"/>
      <c r="P25" s="20">
        <f>SUM(OSRRefP22x_0)</f>
        <v>895088.89999999979</v>
      </c>
      <c r="Q25" s="20"/>
      <c r="R25" s="32">
        <f t="shared" ref="R25:R34" si="17">IF(P$12=0,0,P25/P$12)</f>
        <v>1.8455349911670536</v>
      </c>
      <c r="S25" s="20"/>
      <c r="T25" s="20">
        <f>SUM(OSRRefT22x_0)</f>
        <v>559233.03</v>
      </c>
      <c r="U25" s="20"/>
      <c r="V25" s="32">
        <f t="shared" ref="V25:V34" si="18">IF(T$12=0,0,T25/T$12)</f>
        <v>4.5822250649130698</v>
      </c>
      <c r="W25" s="4"/>
      <c r="X25" s="20">
        <f t="shared" ref="X25:X34" si="19">+P25-T25</f>
        <v>335855.86999999976</v>
      </c>
      <c r="Y25" s="4"/>
      <c r="Z25" s="32">
        <f t="shared" ref="Z25:Z34" si="20">IF(T25=0,0,X25/T25)</f>
        <v>0.60056515259837162</v>
      </c>
    </row>
    <row r="26" spans="1:26" s="29" customFormat="1" outlineLevel="1" collapsed="1" x14ac:dyDescent="0.3">
      <c r="A26" s="28"/>
      <c r="B26" s="14" t="str">
        <f>CONCATENATE("     ","*Benefits                                         ")</f>
        <v xml:space="preserve">     *Benefits                                         </v>
      </c>
      <c r="C26" s="14"/>
      <c r="D26" s="1">
        <f>SUM(OSRRefD22_0x_0)</f>
        <v>28911.850000000002</v>
      </c>
      <c r="E26" s="1"/>
      <c r="F26" s="5">
        <f t="shared" si="13"/>
        <v>0.28257444324130754</v>
      </c>
      <c r="G26" s="1"/>
      <c r="H26" s="1">
        <f>SUM(OSRRefH22_0x_0)</f>
        <v>20748.71</v>
      </c>
      <c r="I26" s="1"/>
      <c r="J26" s="5">
        <f t="shared" si="14"/>
        <v>0.32343251351992991</v>
      </c>
      <c r="K26" s="1"/>
      <c r="L26" s="1">
        <f t="shared" si="15"/>
        <v>8163.1400000000031</v>
      </c>
      <c r="M26" s="1"/>
      <c r="N26" s="5">
        <f t="shared" si="16"/>
        <v>0.39342879629625183</v>
      </c>
      <c r="O26" s="14"/>
      <c r="P26" s="1">
        <f>SUM(OSRRefP22_0x_0)</f>
        <v>146648.34000000003</v>
      </c>
      <c r="Q26" s="1"/>
      <c r="R26" s="5">
        <f t="shared" si="17"/>
        <v>0.3023662150950181</v>
      </c>
      <c r="S26" s="1"/>
      <c r="T26" s="1">
        <f>SUM(OSRRefT22_0x_0)</f>
        <v>112841.71000000002</v>
      </c>
      <c r="U26" s="1"/>
      <c r="V26" s="5">
        <f t="shared" si="18"/>
        <v>0.92459866315416295</v>
      </c>
      <c r="W26" s="1"/>
      <c r="X26" s="1">
        <f t="shared" si="19"/>
        <v>33806.630000000005</v>
      </c>
      <c r="Y26" s="1"/>
      <c r="Z26" s="5">
        <f t="shared" si="20"/>
        <v>0.29959338616899722</v>
      </c>
    </row>
    <row r="27" spans="1:26" s="24" customFormat="1" hidden="1" outlineLevel="2" x14ac:dyDescent="0.3">
      <c r="A27" s="27"/>
      <c r="B27" s="11" t="str">
        <f>CONCATENATE("          ", "6111", " - ", "F.I.C.A.")</f>
        <v xml:space="preserve">          6111 - F.I.C.A.</v>
      </c>
      <c r="C27" s="11"/>
      <c r="D27" s="6">
        <v>3988.72</v>
      </c>
      <c r="E27" s="2"/>
      <c r="F27" s="7">
        <f t="shared" si="13"/>
        <v>3.8984372610035962E-2</v>
      </c>
      <c r="G27" s="2"/>
      <c r="H27" s="6">
        <v>1721.11</v>
      </c>
      <c r="I27" s="2"/>
      <c r="J27" s="7">
        <f t="shared" si="14"/>
        <v>2.6828797228564405E-2</v>
      </c>
      <c r="K27" s="2"/>
      <c r="L27" s="6">
        <f t="shared" si="15"/>
        <v>2267.6099999999997</v>
      </c>
      <c r="M27" s="2"/>
      <c r="N27" s="7">
        <f t="shared" si="16"/>
        <v>1.3175276420449593</v>
      </c>
      <c r="O27" s="11"/>
      <c r="P27" s="6">
        <v>21769.34</v>
      </c>
      <c r="Q27" s="2"/>
      <c r="R27" s="7">
        <f t="shared" si="17"/>
        <v>4.4885015001987619E-2</v>
      </c>
      <c r="S27" s="2"/>
      <c r="T27" s="6">
        <v>14068.9</v>
      </c>
      <c r="U27" s="2"/>
      <c r="V27" s="7">
        <f t="shared" si="18"/>
        <v>0.11527728649317349</v>
      </c>
      <c r="W27" s="2"/>
      <c r="X27" s="6">
        <f t="shared" si="19"/>
        <v>7700.4400000000005</v>
      </c>
      <c r="Y27" s="2"/>
      <c r="Z27" s="7">
        <f t="shared" si="20"/>
        <v>0.54733774495518495</v>
      </c>
    </row>
    <row r="28" spans="1:26" s="24" customFormat="1" hidden="1" outlineLevel="2" x14ac:dyDescent="0.3">
      <c r="A28" s="27"/>
      <c r="B28" s="11" t="str">
        <f>CONCATENATE("          ", "6112", " - ", "COMPENSATION INSURANCE")</f>
        <v xml:space="preserve">          6112 - COMPENSATION INSURANCE</v>
      </c>
      <c r="C28" s="11"/>
      <c r="D28" s="6">
        <v>1951.33</v>
      </c>
      <c r="E28" s="2"/>
      <c r="F28" s="7">
        <f t="shared" si="13"/>
        <v>1.9071625936426088E-2</v>
      </c>
      <c r="G28" s="2"/>
      <c r="H28" s="6">
        <v>1146.3</v>
      </c>
      <c r="I28" s="2"/>
      <c r="J28" s="7">
        <f t="shared" si="14"/>
        <v>1.7868614012528761E-2</v>
      </c>
      <c r="K28" s="2"/>
      <c r="L28" s="6">
        <f t="shared" si="15"/>
        <v>805.03</v>
      </c>
      <c r="M28" s="2"/>
      <c r="N28" s="7">
        <f t="shared" si="16"/>
        <v>0.70228561458605954</v>
      </c>
      <c r="O28" s="11"/>
      <c r="P28" s="6">
        <v>9912.69</v>
      </c>
      <c r="Q28" s="2"/>
      <c r="R28" s="7">
        <f t="shared" si="17"/>
        <v>2.0438434943827081E-2</v>
      </c>
      <c r="S28" s="2"/>
      <c r="T28" s="6">
        <v>3810.4</v>
      </c>
      <c r="U28" s="2"/>
      <c r="V28" s="7">
        <f t="shared" si="18"/>
        <v>3.1221529220734266E-2</v>
      </c>
      <c r="W28" s="2"/>
      <c r="X28" s="6">
        <f t="shared" si="19"/>
        <v>6102.2900000000009</v>
      </c>
      <c r="Y28" s="2"/>
      <c r="Z28" s="7">
        <f t="shared" si="20"/>
        <v>1.6014827839596895</v>
      </c>
    </row>
    <row r="29" spans="1:26" s="24" customFormat="1" hidden="1" outlineLevel="2" x14ac:dyDescent="0.3">
      <c r="A29" s="27"/>
      <c r="B29" s="11" t="str">
        <f>CONCATENATE("          ", "6113", " - ", "GROUP INSURANCE")</f>
        <v xml:space="preserve">          6113 - GROUP INSURANCE</v>
      </c>
      <c r="C29" s="11"/>
      <c r="D29" s="6">
        <v>12571.1</v>
      </c>
      <c r="E29" s="2"/>
      <c r="F29" s="7">
        <f t="shared" si="13"/>
        <v>0.12286559260063958</v>
      </c>
      <c r="G29" s="2"/>
      <c r="H29" s="6">
        <v>8662.99</v>
      </c>
      <c r="I29" s="2"/>
      <c r="J29" s="7">
        <f t="shared" si="14"/>
        <v>0.13503936535322039</v>
      </c>
      <c r="K29" s="2"/>
      <c r="L29" s="6">
        <f t="shared" si="15"/>
        <v>3908.1100000000006</v>
      </c>
      <c r="M29" s="2"/>
      <c r="N29" s="7">
        <f t="shared" si="16"/>
        <v>0.45112715124916464</v>
      </c>
      <c r="O29" s="11"/>
      <c r="P29" s="6">
        <v>62291.98</v>
      </c>
      <c r="Q29" s="2"/>
      <c r="R29" s="7">
        <f t="shared" si="17"/>
        <v>0.12843643660320031</v>
      </c>
      <c r="S29" s="2"/>
      <c r="T29" s="6">
        <v>52268.86</v>
      </c>
      <c r="U29" s="2"/>
      <c r="V29" s="7">
        <f t="shared" si="18"/>
        <v>0.42827885256783232</v>
      </c>
      <c r="W29" s="2"/>
      <c r="X29" s="6">
        <f t="shared" si="19"/>
        <v>10023.120000000003</v>
      </c>
      <c r="Y29" s="2"/>
      <c r="Z29" s="7">
        <f t="shared" si="20"/>
        <v>0.19176083044474287</v>
      </c>
    </row>
    <row r="30" spans="1:26" s="24" customFormat="1" hidden="1" outlineLevel="2" x14ac:dyDescent="0.3">
      <c r="A30" s="27"/>
      <c r="B30" s="11" t="str">
        <f>CONCATENATE("          ", "6114", " - ", "STATE UNEMPLOYMENT INSURANCE")</f>
        <v xml:space="preserve">          6114 - STATE UNEMPLOYMENT INSURANCE</v>
      </c>
      <c r="C30" s="11"/>
      <c r="D30" s="6">
        <v>171.05</v>
      </c>
      <c r="E30" s="2"/>
      <c r="F30" s="7">
        <f t="shared" si="13"/>
        <v>1.6717836636682072E-3</v>
      </c>
      <c r="G30" s="2"/>
      <c r="H30" s="6">
        <v>169.23</v>
      </c>
      <c r="I30" s="2"/>
      <c r="J30" s="7">
        <f t="shared" si="14"/>
        <v>2.6379704696329427E-3</v>
      </c>
      <c r="K30" s="2"/>
      <c r="L30" s="6">
        <f t="shared" si="15"/>
        <v>1.8200000000000216</v>
      </c>
      <c r="M30" s="2"/>
      <c r="N30" s="7">
        <f t="shared" si="16"/>
        <v>1.0754594339065306E-2</v>
      </c>
      <c r="O30" s="11"/>
      <c r="P30" s="6">
        <v>877.66</v>
      </c>
      <c r="Q30" s="2"/>
      <c r="R30" s="7">
        <f t="shared" si="17"/>
        <v>1.8095992927045308E-3</v>
      </c>
      <c r="S30" s="2"/>
      <c r="T30" s="6">
        <v>508.27</v>
      </c>
      <c r="U30" s="2"/>
      <c r="V30" s="7">
        <f t="shared" si="18"/>
        <v>4.1646458789162824E-3</v>
      </c>
      <c r="W30" s="2"/>
      <c r="X30" s="6">
        <f t="shared" si="19"/>
        <v>369.39</v>
      </c>
      <c r="Y30" s="2"/>
      <c r="Z30" s="7">
        <f t="shared" si="20"/>
        <v>0.72675939953174495</v>
      </c>
    </row>
    <row r="31" spans="1:26" s="24" customFormat="1" hidden="1" outlineLevel="2" x14ac:dyDescent="0.3">
      <c r="A31" s="27"/>
      <c r="B31" s="11" t="str">
        <f>CONCATENATE("          ", "6115", " - ", "P.E.R.S.")</f>
        <v xml:space="preserve">          6115 - P.E.R.S.</v>
      </c>
      <c r="C31" s="11"/>
      <c r="D31" s="6">
        <v>3325.3</v>
      </c>
      <c r="E31" s="2"/>
      <c r="F31" s="7">
        <f t="shared" si="13"/>
        <v>3.2500334503337558E-2</v>
      </c>
      <c r="G31" s="2"/>
      <c r="H31" s="6">
        <v>4708.12</v>
      </c>
      <c r="I31" s="2"/>
      <c r="J31" s="7">
        <f t="shared" si="14"/>
        <v>7.3390542619442486E-2</v>
      </c>
      <c r="K31" s="2"/>
      <c r="L31" s="6">
        <f t="shared" si="15"/>
        <v>-1382.8199999999997</v>
      </c>
      <c r="M31" s="2"/>
      <c r="N31" s="7">
        <f t="shared" si="16"/>
        <v>-0.29370959108943689</v>
      </c>
      <c r="O31" s="11"/>
      <c r="P31" s="6">
        <v>17348.12</v>
      </c>
      <c r="Q31" s="2"/>
      <c r="R31" s="7">
        <f t="shared" si="17"/>
        <v>3.576914258568617E-2</v>
      </c>
      <c r="S31" s="2"/>
      <c r="T31" s="6">
        <v>17515.93</v>
      </c>
      <c r="U31" s="2"/>
      <c r="V31" s="7">
        <f t="shared" si="18"/>
        <v>0.1435214466521457</v>
      </c>
      <c r="W31" s="2"/>
      <c r="X31" s="6">
        <f t="shared" si="19"/>
        <v>-167.81000000000131</v>
      </c>
      <c r="Y31" s="2"/>
      <c r="Z31" s="7">
        <f t="shared" si="20"/>
        <v>-9.5804219359178367E-3</v>
      </c>
    </row>
    <row r="32" spans="1:26" s="24" customFormat="1" hidden="1" outlineLevel="2" x14ac:dyDescent="0.3">
      <c r="A32" s="27"/>
      <c r="B32" s="11" t="str">
        <f>CONCATENATE("          ", "6118", " - ", "VACATION")</f>
        <v xml:space="preserve">          6118 - VACATION</v>
      </c>
      <c r="C32" s="11"/>
      <c r="D32" s="6">
        <v>3268.5</v>
      </c>
      <c r="E32" s="2"/>
      <c r="F32" s="7">
        <f t="shared" si="13"/>
        <v>3.1945190907334317E-2</v>
      </c>
      <c r="G32" s="2"/>
      <c r="H32" s="6">
        <v>2400.38</v>
      </c>
      <c r="I32" s="2"/>
      <c r="J32" s="7">
        <f t="shared" si="14"/>
        <v>3.7417311090808508E-2</v>
      </c>
      <c r="K32" s="2"/>
      <c r="L32" s="6">
        <f t="shared" si="15"/>
        <v>868.11999999999989</v>
      </c>
      <c r="M32" s="2"/>
      <c r="N32" s="7">
        <f t="shared" si="16"/>
        <v>0.3616594039277114</v>
      </c>
      <c r="O32" s="11"/>
      <c r="P32" s="6">
        <v>16667.650000000001</v>
      </c>
      <c r="Q32" s="2"/>
      <c r="R32" s="7">
        <f t="shared" si="17"/>
        <v>3.4366118600650225E-2</v>
      </c>
      <c r="S32" s="2"/>
      <c r="T32" s="6">
        <v>13684.92</v>
      </c>
      <c r="U32" s="2"/>
      <c r="V32" s="7">
        <f t="shared" si="18"/>
        <v>0.11213104389654911</v>
      </c>
      <c r="W32" s="2"/>
      <c r="X32" s="6">
        <f t="shared" si="19"/>
        <v>2982.7300000000014</v>
      </c>
      <c r="Y32" s="2"/>
      <c r="Z32" s="7">
        <f t="shared" si="20"/>
        <v>0.21795743051475649</v>
      </c>
    </row>
    <row r="33" spans="1:26" s="24" customFormat="1" hidden="1" outlineLevel="2" x14ac:dyDescent="0.3">
      <c r="A33" s="27"/>
      <c r="B33" s="11" t="str">
        <f>CONCATENATE("          ", "6119", " - ", "SICK LEAVE")</f>
        <v xml:space="preserve">          6119 - SICK LEAVE</v>
      </c>
      <c r="C33" s="11"/>
      <c r="D33" s="6">
        <v>2122.29</v>
      </c>
      <c r="E33" s="2"/>
      <c r="F33" s="7">
        <f t="shared" si="13"/>
        <v>2.0742529971156966E-2</v>
      </c>
      <c r="G33" s="2"/>
      <c r="H33" s="6">
        <v>1368.1</v>
      </c>
      <c r="I33" s="2"/>
      <c r="J33" s="7">
        <f t="shared" si="14"/>
        <v>2.1326049751845589E-2</v>
      </c>
      <c r="K33" s="2"/>
      <c r="L33" s="6">
        <f t="shared" si="15"/>
        <v>754.19</v>
      </c>
      <c r="M33" s="2"/>
      <c r="N33" s="7">
        <f t="shared" si="16"/>
        <v>0.55126818215042772</v>
      </c>
      <c r="O33" s="11"/>
      <c r="P33" s="6">
        <v>10756.26</v>
      </c>
      <c r="Q33" s="2"/>
      <c r="R33" s="7">
        <f t="shared" si="17"/>
        <v>2.217774592455625E-2</v>
      </c>
      <c r="S33" s="2"/>
      <c r="T33" s="6">
        <v>7991.46</v>
      </c>
      <c r="U33" s="2"/>
      <c r="V33" s="7">
        <f t="shared" si="18"/>
        <v>6.5480160063596748E-2</v>
      </c>
      <c r="W33" s="2"/>
      <c r="X33" s="6">
        <f t="shared" si="19"/>
        <v>2764.8</v>
      </c>
      <c r="Y33" s="2"/>
      <c r="Z33" s="7">
        <f t="shared" si="20"/>
        <v>0.34596932225150351</v>
      </c>
    </row>
    <row r="34" spans="1:26" s="24" customFormat="1" hidden="1" outlineLevel="2" x14ac:dyDescent="0.3">
      <c r="A34" s="27"/>
      <c r="B34" s="11" t="str">
        <f>CONCATENATE("          ", "6156", " - ", "EMPLOYEE MEALS")</f>
        <v xml:space="preserve">          6156 - EMPLOYEE MEALS</v>
      </c>
      <c r="C34" s="11"/>
      <c r="D34" s="6">
        <v>1513.56</v>
      </c>
      <c r="E34" s="2"/>
      <c r="F34" s="7">
        <f t="shared" si="13"/>
        <v>1.4793013048708866E-2</v>
      </c>
      <c r="G34" s="2"/>
      <c r="H34" s="6">
        <v>572.48</v>
      </c>
      <c r="I34" s="2"/>
      <c r="J34" s="7">
        <f t="shared" si="14"/>
        <v>8.9238629938868247E-3</v>
      </c>
      <c r="K34" s="2"/>
      <c r="L34" s="6">
        <f t="shared" si="15"/>
        <v>941.07999999999993</v>
      </c>
      <c r="M34" s="2"/>
      <c r="N34" s="7">
        <f t="shared" si="16"/>
        <v>1.6438652878703184</v>
      </c>
      <c r="O34" s="11"/>
      <c r="P34" s="6">
        <v>7024.64</v>
      </c>
      <c r="Q34" s="2"/>
      <c r="R34" s="7">
        <f t="shared" si="17"/>
        <v>1.4483722142405894E-2</v>
      </c>
      <c r="S34" s="2"/>
      <c r="T34" s="6">
        <v>2992.97</v>
      </c>
      <c r="U34" s="2"/>
      <c r="V34" s="7">
        <f t="shared" si="18"/>
        <v>2.4523698381214841E-2</v>
      </c>
      <c r="W34" s="2"/>
      <c r="X34" s="6">
        <f t="shared" si="19"/>
        <v>4031.6700000000005</v>
      </c>
      <c r="Y34" s="2"/>
      <c r="Z34" s="7">
        <f t="shared" si="20"/>
        <v>1.3470465791504762</v>
      </c>
    </row>
    <row r="35" spans="1:26" s="29" customFormat="1" outlineLevel="1" collapsed="1" x14ac:dyDescent="0.3">
      <c r="A35" s="28"/>
      <c r="B35" s="14" t="str">
        <f>CONCATENATE("     ","*Payroll                                          ")</f>
        <v xml:space="preserve">     *Payroll                                          </v>
      </c>
      <c r="C35" s="14"/>
      <c r="D35" s="1">
        <f>SUM(OSRRefD22_1x_0)</f>
        <v>61290.879999999997</v>
      </c>
      <c r="E35" s="1"/>
      <c r="F35" s="5">
        <f t="shared" ref="F35:F40" si="21">IF(D$12=0,0,D35/D$12)</f>
        <v>0.59903590713737764</v>
      </c>
      <c r="G35" s="1"/>
      <c r="H35" s="1">
        <f>SUM(OSRRefH22_1x_0)</f>
        <v>25527.65</v>
      </c>
      <c r="I35" s="1"/>
      <c r="J35" s="5">
        <f t="shared" ref="J35:J40" si="22">IF(H$12=0,0,H35/H$12)</f>
        <v>0.39792700383575846</v>
      </c>
      <c r="K35" s="1"/>
      <c r="L35" s="1">
        <f t="shared" ref="L35:L40" si="23">+D35-H35</f>
        <v>35763.229999999996</v>
      </c>
      <c r="M35" s="1"/>
      <c r="N35" s="5">
        <f t="shared" ref="N35:N40" si="24">IF(H35=0,0,L35/H35)</f>
        <v>1.4009605271147165</v>
      </c>
      <c r="O35" s="14"/>
      <c r="P35" s="1">
        <f>SUM(OSRRefP22_1x_0)</f>
        <v>321810.09999999998</v>
      </c>
      <c r="Q35" s="1"/>
      <c r="R35" s="5">
        <f t="shared" ref="R35:R40" si="25">IF(P$12=0,0,P35/P$12)</f>
        <v>0.66352269597016422</v>
      </c>
      <c r="S35" s="1"/>
      <c r="T35" s="1">
        <f>SUM(OSRRefT22_1x_0)</f>
        <v>154473.16999999998</v>
      </c>
      <c r="U35" s="1"/>
      <c r="V35" s="5">
        <f t="shared" ref="V35:V40" si="26">IF(T$12=0,0,T35/T$12)</f>
        <v>1.2657171401885501</v>
      </c>
      <c r="W35" s="1"/>
      <c r="X35" s="1">
        <f t="shared" ref="X35:X40" si="27">+P35-T35</f>
        <v>167336.93</v>
      </c>
      <c r="Y35" s="1"/>
      <c r="Z35" s="5">
        <f t="shared" ref="Z35:Z40" si="28">IF(T35=0,0,X35/T35)</f>
        <v>1.0832750438150522</v>
      </c>
    </row>
    <row r="36" spans="1:26" s="24" customFormat="1" hidden="1" outlineLevel="2" x14ac:dyDescent="0.3">
      <c r="A36" s="27"/>
      <c r="B36" s="11" t="str">
        <f>CONCATENATE("          ", "6001", " - ", "ADMINISTRATIVE SALARIES")</f>
        <v xml:space="preserve">          6001 - ADMINISTRATIVE SALARIES</v>
      </c>
      <c r="C36" s="11"/>
      <c r="D36" s="6">
        <v>9209.65</v>
      </c>
      <c r="E36" s="2"/>
      <c r="F36" s="7">
        <f t="shared" si="21"/>
        <v>9.0011940474141502E-2</v>
      </c>
      <c r="G36" s="2"/>
      <c r="H36" s="6">
        <v>9962.35</v>
      </c>
      <c r="I36" s="2"/>
      <c r="J36" s="7">
        <f t="shared" si="22"/>
        <v>0.15529389061128493</v>
      </c>
      <c r="K36" s="2"/>
      <c r="L36" s="6">
        <f t="shared" si="23"/>
        <v>-752.70000000000073</v>
      </c>
      <c r="M36" s="2"/>
      <c r="N36" s="7">
        <f t="shared" si="24"/>
        <v>-7.5554462551506496E-2</v>
      </c>
      <c r="O36" s="11"/>
      <c r="P36" s="6">
        <v>52933.31</v>
      </c>
      <c r="Q36" s="2"/>
      <c r="R36" s="7">
        <f t="shared" si="25"/>
        <v>0.10914030528508724</v>
      </c>
      <c r="S36" s="2"/>
      <c r="T36" s="6">
        <v>53824.38</v>
      </c>
      <c r="U36" s="2"/>
      <c r="V36" s="7">
        <f t="shared" si="26"/>
        <v>0.44102442078466952</v>
      </c>
      <c r="W36" s="2"/>
      <c r="X36" s="6">
        <f t="shared" si="27"/>
        <v>-891.06999999999971</v>
      </c>
      <c r="Y36" s="2"/>
      <c r="Z36" s="7">
        <f t="shared" si="28"/>
        <v>-1.655513728165563E-2</v>
      </c>
    </row>
    <row r="37" spans="1:26" s="24" customFormat="1" hidden="1" outlineLevel="2" x14ac:dyDescent="0.3">
      <c r="A37" s="27"/>
      <c r="B37" s="11" t="str">
        <f>CONCATENATE("          ", "6002", " - ", "STAFF SALARIES")</f>
        <v xml:space="preserve">          6002 - STAFF SALARIES</v>
      </c>
      <c r="C37" s="11"/>
      <c r="D37" s="6">
        <v>21413.4</v>
      </c>
      <c r="E37" s="2"/>
      <c r="F37" s="7">
        <f t="shared" si="21"/>
        <v>0.20928718096224957</v>
      </c>
      <c r="G37" s="2"/>
      <c r="H37" s="6">
        <v>12438.05</v>
      </c>
      <c r="I37" s="2"/>
      <c r="J37" s="7">
        <f t="shared" si="22"/>
        <v>0.193885295750269</v>
      </c>
      <c r="K37" s="2"/>
      <c r="L37" s="6">
        <f t="shared" si="23"/>
        <v>8975.3500000000022</v>
      </c>
      <c r="M37" s="2"/>
      <c r="N37" s="7">
        <f t="shared" si="24"/>
        <v>0.72160427076591604</v>
      </c>
      <c r="O37" s="11"/>
      <c r="P37" s="6">
        <v>110936.4</v>
      </c>
      <c r="Q37" s="2"/>
      <c r="R37" s="7">
        <f t="shared" si="25"/>
        <v>0.22873371348265492</v>
      </c>
      <c r="S37" s="2"/>
      <c r="T37" s="6">
        <v>79977.899999999994</v>
      </c>
      <c r="U37" s="2"/>
      <c r="V37" s="7">
        <f t="shared" si="26"/>
        <v>0.65532026607782978</v>
      </c>
      <c r="W37" s="2"/>
      <c r="X37" s="6">
        <f t="shared" si="27"/>
        <v>30958.5</v>
      </c>
      <c r="Y37" s="2"/>
      <c r="Z37" s="7">
        <f t="shared" si="28"/>
        <v>0.38708818311058435</v>
      </c>
    </row>
    <row r="38" spans="1:26" s="24" customFormat="1" hidden="1" outlineLevel="2" x14ac:dyDescent="0.3">
      <c r="A38" s="27"/>
      <c r="B38" s="11" t="str">
        <f>CONCATENATE("          ", "6004", " - ", "STAFF HOURLY")</f>
        <v xml:space="preserve">          6004 - STAFF HOURLY</v>
      </c>
      <c r="C38" s="11"/>
      <c r="D38" s="6">
        <v>9039.24</v>
      </c>
      <c r="E38" s="2"/>
      <c r="F38" s="7">
        <f t="shared" si="21"/>
        <v>8.834641194958319E-2</v>
      </c>
      <c r="G38" s="2"/>
      <c r="H38" s="6">
        <v>2751.03</v>
      </c>
      <c r="I38" s="2"/>
      <c r="J38" s="7">
        <f t="shared" si="22"/>
        <v>4.2883270703033244E-2</v>
      </c>
      <c r="K38" s="2"/>
      <c r="L38" s="6">
        <f t="shared" si="23"/>
        <v>6288.2099999999991</v>
      </c>
      <c r="M38" s="2"/>
      <c r="N38" s="7">
        <f t="shared" si="24"/>
        <v>2.2857656950305882</v>
      </c>
      <c r="O38" s="11"/>
      <c r="P38" s="6">
        <v>45390.21</v>
      </c>
      <c r="Q38" s="2"/>
      <c r="R38" s="7">
        <f t="shared" si="25"/>
        <v>9.358759874177941E-2</v>
      </c>
      <c r="S38" s="2"/>
      <c r="T38" s="6">
        <v>18098.330000000002</v>
      </c>
      <c r="U38" s="2"/>
      <c r="V38" s="7">
        <f t="shared" si="26"/>
        <v>0.14829349646795392</v>
      </c>
      <c r="W38" s="2"/>
      <c r="X38" s="6">
        <f t="shared" si="27"/>
        <v>27291.879999999997</v>
      </c>
      <c r="Y38" s="2"/>
      <c r="Z38" s="7">
        <f t="shared" si="28"/>
        <v>1.5079778078971924</v>
      </c>
    </row>
    <row r="39" spans="1:26" s="24" customFormat="1" hidden="1" outlineLevel="2" x14ac:dyDescent="0.3">
      <c r="A39" s="27"/>
      <c r="B39" s="11" t="str">
        <f>CONCATENATE("          ", "6005", " - ", "TEMPORARY WAGES-HOURLY")</f>
        <v xml:space="preserve">          6005 - TEMPORARY WAGES-HOURLY</v>
      </c>
      <c r="C39" s="11"/>
      <c r="D39" s="6">
        <v>7818.74</v>
      </c>
      <c r="E39" s="2"/>
      <c r="F39" s="7">
        <f t="shared" si="21"/>
        <v>7.6417666193914977E-2</v>
      </c>
      <c r="G39" s="2"/>
      <c r="H39" s="6">
        <v>376.22</v>
      </c>
      <c r="I39" s="2"/>
      <c r="J39" s="7">
        <f t="shared" si="22"/>
        <v>5.8645467711712215E-3</v>
      </c>
      <c r="K39" s="2"/>
      <c r="L39" s="6">
        <f t="shared" si="23"/>
        <v>7442.5199999999995</v>
      </c>
      <c r="M39" s="2"/>
      <c r="N39" s="7">
        <f t="shared" si="24"/>
        <v>19.782361384296419</v>
      </c>
      <c r="O39" s="11"/>
      <c r="P39" s="6">
        <v>51490.79</v>
      </c>
      <c r="Q39" s="2"/>
      <c r="R39" s="7">
        <f t="shared" si="25"/>
        <v>0.10616605196180472</v>
      </c>
      <c r="S39" s="2"/>
      <c r="T39" s="6">
        <v>2502.85</v>
      </c>
      <c r="U39" s="2"/>
      <c r="V39" s="7">
        <f t="shared" si="26"/>
        <v>2.0507769370699862E-2</v>
      </c>
      <c r="W39" s="2"/>
      <c r="X39" s="6">
        <f t="shared" si="27"/>
        <v>48987.94</v>
      </c>
      <c r="Y39" s="2"/>
      <c r="Z39" s="7">
        <f t="shared" si="28"/>
        <v>19.572862936252672</v>
      </c>
    </row>
    <row r="40" spans="1:26" s="24" customFormat="1" hidden="1" outlineLevel="2" x14ac:dyDescent="0.3">
      <c r="A40" s="27"/>
      <c r="B40" s="11" t="str">
        <f>CONCATENATE("          ", "6007", " - ", "STUDENT HOURLY")</f>
        <v xml:space="preserve">          6007 - STUDENT HOURLY</v>
      </c>
      <c r="C40" s="11"/>
      <c r="D40" s="6">
        <v>13809.85</v>
      </c>
      <c r="E40" s="2"/>
      <c r="F40" s="7">
        <f t="shared" si="21"/>
        <v>0.13497270755748841</v>
      </c>
      <c r="G40" s="2"/>
      <c r="H40" s="6"/>
      <c r="I40" s="2"/>
      <c r="J40" s="7">
        <f t="shared" si="22"/>
        <v>0</v>
      </c>
      <c r="K40" s="2"/>
      <c r="L40" s="6">
        <f t="shared" si="23"/>
        <v>13809.85</v>
      </c>
      <c r="M40" s="2"/>
      <c r="N40" s="7">
        <f t="shared" si="24"/>
        <v>0</v>
      </c>
      <c r="O40" s="11"/>
      <c r="P40" s="6">
        <v>61059.39</v>
      </c>
      <c r="Q40" s="2"/>
      <c r="R40" s="7">
        <f t="shared" si="25"/>
        <v>0.12589502649883794</v>
      </c>
      <c r="S40" s="2"/>
      <c r="T40" s="6">
        <v>69.709999999999994</v>
      </c>
      <c r="U40" s="2"/>
      <c r="V40" s="7">
        <f t="shared" si="26"/>
        <v>5.7118748739696233E-4</v>
      </c>
      <c r="W40" s="2"/>
      <c r="X40" s="6">
        <f t="shared" si="27"/>
        <v>60989.68</v>
      </c>
      <c r="Y40" s="2"/>
      <c r="Z40" s="7">
        <f t="shared" si="28"/>
        <v>874.90575240281169</v>
      </c>
    </row>
    <row r="41" spans="1:26" s="29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146.54</v>
      </c>
      <c r="E41" s="1"/>
      <c r="F41" s="5">
        <f t="shared" ref="F41:F49" si="29">IF(D$12=0,0,D41/D$12)</f>
        <v>1.4322313830689218E-3</v>
      </c>
      <c r="G41" s="1"/>
      <c r="H41" s="1">
        <f>SUM(OSRRefH22_2x_0)</f>
        <v>15.9</v>
      </c>
      <c r="I41" s="1"/>
      <c r="J41" s="5">
        <f t="shared" ref="J41:J49" si="30">IF(H$12=0,0,H41/H$12)</f>
        <v>2.4785044298979966E-4</v>
      </c>
      <c r="K41" s="1"/>
      <c r="L41" s="1">
        <f t="shared" ref="L41:L49" si="31">+D41-H41</f>
        <v>130.63999999999999</v>
      </c>
      <c r="M41" s="1"/>
      <c r="N41" s="5">
        <f t="shared" ref="N41:N49" si="32">IF(H41=0,0,L41/H41)</f>
        <v>8.2163522012578607</v>
      </c>
      <c r="O41" s="14"/>
      <c r="P41" s="1">
        <f>SUM(OSRRefP22_2x_0)</f>
        <v>869.83</v>
      </c>
      <c r="Q41" s="1"/>
      <c r="R41" s="5">
        <f t="shared" ref="R41:R49" si="33">IF(P$12=0,0,P41/P$12)</f>
        <v>1.793455042696696E-3</v>
      </c>
      <c r="S41" s="1"/>
      <c r="T41" s="1">
        <f>SUM(OSRRefT22_2x_0)</f>
        <v>126.53</v>
      </c>
      <c r="U41" s="1"/>
      <c r="V41" s="5">
        <f t="shared" ref="V41:V49" si="34">IF(T$12=0,0,T41/T$12)</f>
        <v>1.0367573200450102E-3</v>
      </c>
      <c r="W41" s="1"/>
      <c r="X41" s="1">
        <f t="shared" ref="X41:X49" si="35">+P41-T41</f>
        <v>743.30000000000007</v>
      </c>
      <c r="Y41" s="1"/>
      <c r="Z41" s="5">
        <f t="shared" ref="Z41:Z49" si="36">IF(T41=0,0,X41/T41)</f>
        <v>5.8744961669169369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146.54</v>
      </c>
      <c r="E42" s="2"/>
      <c r="F42" s="7">
        <f t="shared" si="29"/>
        <v>1.4322313830689218E-3</v>
      </c>
      <c r="G42" s="2"/>
      <c r="H42" s="6">
        <v>15.9</v>
      </c>
      <c r="I42" s="2"/>
      <c r="J42" s="7">
        <f t="shared" si="30"/>
        <v>2.4785044298979966E-4</v>
      </c>
      <c r="K42" s="2"/>
      <c r="L42" s="6">
        <f t="shared" si="31"/>
        <v>130.63999999999999</v>
      </c>
      <c r="M42" s="2"/>
      <c r="N42" s="7">
        <f t="shared" si="32"/>
        <v>8.2163522012578607</v>
      </c>
      <c r="O42" s="11"/>
      <c r="P42" s="6">
        <v>869.83</v>
      </c>
      <c r="Q42" s="2"/>
      <c r="R42" s="7">
        <f t="shared" si="33"/>
        <v>1.793455042696696E-3</v>
      </c>
      <c r="S42" s="2"/>
      <c r="T42" s="6">
        <v>126.53</v>
      </c>
      <c r="U42" s="2"/>
      <c r="V42" s="7">
        <f t="shared" si="34"/>
        <v>1.0367573200450102E-3</v>
      </c>
      <c r="W42" s="2"/>
      <c r="X42" s="6">
        <f t="shared" si="35"/>
        <v>743.30000000000007</v>
      </c>
      <c r="Y42" s="2"/>
      <c r="Z42" s="7">
        <f t="shared" si="36"/>
        <v>5.8744961669169369</v>
      </c>
    </row>
    <row r="43" spans="1:26" s="29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4.1900000000000004</v>
      </c>
      <c r="E43" s="1"/>
      <c r="F43" s="5">
        <f t="shared" si="29"/>
        <v>4.0951613860098151E-5</v>
      </c>
      <c r="G43" s="1"/>
      <c r="H43" s="1">
        <f>SUM(OSRRefH22_3x_0)</f>
        <v>-1331.23</v>
      </c>
      <c r="I43" s="1"/>
      <c r="J43" s="5">
        <f t="shared" si="30"/>
        <v>-2.0751317309516414E-2</v>
      </c>
      <c r="K43" s="1"/>
      <c r="L43" s="1">
        <f t="shared" si="31"/>
        <v>1335.42</v>
      </c>
      <c r="M43" s="1"/>
      <c r="N43" s="5">
        <f t="shared" si="32"/>
        <v>-1.0031474651262366</v>
      </c>
      <c r="O43" s="14"/>
      <c r="P43" s="1">
        <f>SUM(OSRRefP22_3x_0)</f>
        <v>-106.91</v>
      </c>
      <c r="Q43" s="1"/>
      <c r="R43" s="5">
        <f t="shared" si="33"/>
        <v>-2.2043189889369618E-4</v>
      </c>
      <c r="S43" s="1"/>
      <c r="T43" s="1">
        <f>SUM(OSRRefT22_3x_0)</f>
        <v>7.05</v>
      </c>
      <c r="U43" s="1"/>
      <c r="V43" s="5">
        <f t="shared" si="34"/>
        <v>5.7766056321167479E-5</v>
      </c>
      <c r="W43" s="1"/>
      <c r="X43" s="1">
        <f t="shared" si="35"/>
        <v>-113.96</v>
      </c>
      <c r="Y43" s="1"/>
      <c r="Z43" s="5">
        <f t="shared" si="36"/>
        <v>-16.164539007092198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6">
        <v>4.1900000000000004</v>
      </c>
      <c r="E44" s="2"/>
      <c r="F44" s="7">
        <f t="shared" si="29"/>
        <v>4.0951613860098151E-5</v>
      </c>
      <c r="G44" s="2"/>
      <c r="H44" s="6">
        <v>-1331.23</v>
      </c>
      <c r="I44" s="2"/>
      <c r="J44" s="7">
        <f t="shared" si="30"/>
        <v>-2.0751317309516414E-2</v>
      </c>
      <c r="K44" s="2"/>
      <c r="L44" s="6">
        <f t="shared" si="31"/>
        <v>1335.42</v>
      </c>
      <c r="M44" s="2"/>
      <c r="N44" s="7">
        <f t="shared" si="32"/>
        <v>-1.0031474651262366</v>
      </c>
      <c r="O44" s="11"/>
      <c r="P44" s="6">
        <v>-106.91</v>
      </c>
      <c r="Q44" s="2"/>
      <c r="R44" s="7">
        <f t="shared" si="33"/>
        <v>-2.2043189889369618E-4</v>
      </c>
      <c r="S44" s="2"/>
      <c r="T44" s="6">
        <v>7.05</v>
      </c>
      <c r="U44" s="2"/>
      <c r="V44" s="7">
        <f t="shared" si="34"/>
        <v>5.7766056321167479E-5</v>
      </c>
      <c r="W44" s="2"/>
      <c r="X44" s="6">
        <f t="shared" si="35"/>
        <v>-113.96</v>
      </c>
      <c r="Y44" s="2"/>
      <c r="Z44" s="7">
        <f t="shared" si="36"/>
        <v>-16.164539007092198</v>
      </c>
    </row>
    <row r="45" spans="1:26" s="29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4350.6899999999996</v>
      </c>
      <c r="E45" s="1"/>
      <c r="F45" s="5">
        <f t="shared" si="29"/>
        <v>4.2522142459424914E-2</v>
      </c>
      <c r="G45" s="1"/>
      <c r="H45" s="1">
        <f>SUM(OSRRefH22_4x_0)</f>
        <v>747.39</v>
      </c>
      <c r="I45" s="1"/>
      <c r="J45" s="5">
        <f t="shared" si="30"/>
        <v>1.1650373747556375E-2</v>
      </c>
      <c r="K45" s="1"/>
      <c r="L45" s="1">
        <f t="shared" si="31"/>
        <v>3603.2999999999997</v>
      </c>
      <c r="M45" s="1"/>
      <c r="N45" s="5">
        <f t="shared" si="32"/>
        <v>4.8211776983903984</v>
      </c>
      <c r="O45" s="14"/>
      <c r="P45" s="1">
        <f>SUM(OSRRefP22_4x_0)</f>
        <v>18679.8</v>
      </c>
      <c r="Q45" s="1"/>
      <c r="R45" s="5">
        <f t="shared" si="33"/>
        <v>3.8514860957389076E-2</v>
      </c>
      <c r="S45" s="1"/>
      <c r="T45" s="1">
        <f>SUM(OSRRefT22_4x_0)</f>
        <v>2615.1999999999998</v>
      </c>
      <c r="U45" s="1"/>
      <c r="V45" s="5">
        <f t="shared" si="34"/>
        <v>2.1428339076754208E-2</v>
      </c>
      <c r="W45" s="1"/>
      <c r="X45" s="1">
        <f t="shared" si="35"/>
        <v>16064.599999999999</v>
      </c>
      <c r="Y45" s="1"/>
      <c r="Z45" s="5">
        <f t="shared" si="36"/>
        <v>6.1427806668706024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4350.6899999999996</v>
      </c>
      <c r="E46" s="2"/>
      <c r="F46" s="7">
        <f t="shared" si="29"/>
        <v>4.2522142459424914E-2</v>
      </c>
      <c r="G46" s="2"/>
      <c r="H46" s="6">
        <v>747.39</v>
      </c>
      <c r="I46" s="2"/>
      <c r="J46" s="7">
        <f t="shared" si="30"/>
        <v>1.1650373747556375E-2</v>
      </c>
      <c r="K46" s="2"/>
      <c r="L46" s="6">
        <f t="shared" si="31"/>
        <v>3603.2999999999997</v>
      </c>
      <c r="M46" s="2"/>
      <c r="N46" s="7">
        <f t="shared" si="32"/>
        <v>4.8211776983903984</v>
      </c>
      <c r="O46" s="11"/>
      <c r="P46" s="6">
        <v>18679.8</v>
      </c>
      <c r="Q46" s="2"/>
      <c r="R46" s="7">
        <f t="shared" si="33"/>
        <v>3.8514860957389076E-2</v>
      </c>
      <c r="S46" s="2"/>
      <c r="T46" s="6">
        <v>2615.1999999999998</v>
      </c>
      <c r="U46" s="2"/>
      <c r="V46" s="7">
        <f t="shared" si="34"/>
        <v>2.1428339076754208E-2</v>
      </c>
      <c r="W46" s="2"/>
      <c r="X46" s="6">
        <f t="shared" si="35"/>
        <v>16064.599999999999</v>
      </c>
      <c r="Y46" s="2"/>
      <c r="Z46" s="7">
        <f t="shared" si="36"/>
        <v>6.1427806668706024</v>
      </c>
    </row>
    <row r="47" spans="1:26" s="29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32782.04</v>
      </c>
      <c r="E47" s="1"/>
      <c r="F47" s="5">
        <f t="shared" si="29"/>
        <v>0.32040034454088112</v>
      </c>
      <c r="G47" s="1"/>
      <c r="H47" s="1">
        <f>SUM(OSRRefH22_5x_0)</f>
        <v>36720.76</v>
      </c>
      <c r="I47" s="1"/>
      <c r="J47" s="5">
        <f t="shared" si="30"/>
        <v>0.57240607754227146</v>
      </c>
      <c r="K47" s="1"/>
      <c r="L47" s="1">
        <f t="shared" si="31"/>
        <v>-3938.7200000000012</v>
      </c>
      <c r="M47" s="1"/>
      <c r="N47" s="5">
        <f t="shared" si="32"/>
        <v>-0.10726139655061608</v>
      </c>
      <c r="O47" s="14"/>
      <c r="P47" s="1">
        <f>SUM(OSRRefP22_5x_0)</f>
        <v>163998.34</v>
      </c>
      <c r="Q47" s="1"/>
      <c r="R47" s="5">
        <f t="shared" si="33"/>
        <v>0.33813923395018247</v>
      </c>
      <c r="S47" s="1"/>
      <c r="T47" s="1">
        <f>SUM(OSRRefT22_5x_0)</f>
        <v>186427.32</v>
      </c>
      <c r="U47" s="1"/>
      <c r="V47" s="5">
        <f t="shared" si="34"/>
        <v>1.5275419953084131</v>
      </c>
      <c r="W47" s="1"/>
      <c r="X47" s="1">
        <f t="shared" si="35"/>
        <v>-22428.98000000001</v>
      </c>
      <c r="Y47" s="1"/>
      <c r="Z47" s="5">
        <f t="shared" si="36"/>
        <v>-0.12030951257573198</v>
      </c>
    </row>
    <row r="48" spans="1:26" s="24" customFormat="1" hidden="1" outlineLevel="2" x14ac:dyDescent="0.3">
      <c r="A48" s="27"/>
      <c r="B48" s="11" t="str">
        <f>CONCATENATE("          ", "6321", " - ", "BUILDING DEPRECIATION")</f>
        <v xml:space="preserve">          6321 - BUILDING DEPRECIATION</v>
      </c>
      <c r="C48" s="11"/>
      <c r="D48" s="6">
        <v>23539.4</v>
      </c>
      <c r="E48" s="2"/>
      <c r="F48" s="7">
        <f t="shared" si="29"/>
        <v>0.23006597119293423</v>
      </c>
      <c r="G48" s="2"/>
      <c r="H48" s="6">
        <v>23583.49</v>
      </c>
      <c r="I48" s="2"/>
      <c r="J48" s="7">
        <f t="shared" si="30"/>
        <v>0.3676212857701579</v>
      </c>
      <c r="K48" s="2"/>
      <c r="L48" s="6">
        <f t="shared" si="31"/>
        <v>-44.090000000000146</v>
      </c>
      <c r="M48" s="2"/>
      <c r="N48" s="7">
        <f t="shared" si="32"/>
        <v>-1.8695282165616769E-3</v>
      </c>
      <c r="O48" s="11"/>
      <c r="P48" s="6">
        <v>117785.14</v>
      </c>
      <c r="Q48" s="2"/>
      <c r="R48" s="7">
        <f t="shared" si="33"/>
        <v>0.24285475700738798</v>
      </c>
      <c r="S48" s="2"/>
      <c r="T48" s="6">
        <v>118701.64</v>
      </c>
      <c r="U48" s="2"/>
      <c r="V48" s="7">
        <f t="shared" si="34"/>
        <v>0.97261356335531157</v>
      </c>
      <c r="W48" s="2"/>
      <c r="X48" s="6">
        <f t="shared" si="35"/>
        <v>-916.5</v>
      </c>
      <c r="Y48" s="2"/>
      <c r="Z48" s="7">
        <f t="shared" si="36"/>
        <v>-7.7210390690474031E-3</v>
      </c>
    </row>
    <row r="49" spans="1:26" s="24" customFormat="1" hidden="1" outlineLevel="2" x14ac:dyDescent="0.3">
      <c r="A49" s="27"/>
      <c r="B49" s="11" t="str">
        <f>CONCATENATE("          ", "6322", " - ", "EQUIPMENT DEPRECIATION EXPENSE")</f>
        <v xml:space="preserve">          6322 - EQUIPMENT DEPRECIATION EXPENSE</v>
      </c>
      <c r="C49" s="11"/>
      <c r="D49" s="6">
        <v>9242.64</v>
      </c>
      <c r="E49" s="2"/>
      <c r="F49" s="7">
        <f t="shared" si="29"/>
        <v>9.0334373347946903E-2</v>
      </c>
      <c r="G49" s="2"/>
      <c r="H49" s="6">
        <v>13137.27</v>
      </c>
      <c r="I49" s="2"/>
      <c r="J49" s="7">
        <f t="shared" si="30"/>
        <v>0.20478479177211353</v>
      </c>
      <c r="K49" s="2"/>
      <c r="L49" s="6">
        <f t="shared" si="31"/>
        <v>-3894.630000000001</v>
      </c>
      <c r="M49" s="2"/>
      <c r="N49" s="7">
        <f t="shared" si="32"/>
        <v>-0.2964565697439423</v>
      </c>
      <c r="O49" s="11"/>
      <c r="P49" s="6">
        <v>46213.2</v>
      </c>
      <c r="Q49" s="2"/>
      <c r="R49" s="7">
        <f t="shared" si="33"/>
        <v>9.5284476942794502E-2</v>
      </c>
      <c r="S49" s="2"/>
      <c r="T49" s="6">
        <v>67725.679999999993</v>
      </c>
      <c r="U49" s="2"/>
      <c r="V49" s="7">
        <f t="shared" si="34"/>
        <v>0.55492843195310149</v>
      </c>
      <c r="W49" s="2"/>
      <c r="X49" s="6">
        <f t="shared" si="35"/>
        <v>-21512.479999999996</v>
      </c>
      <c r="Y49" s="2"/>
      <c r="Z49" s="7">
        <f t="shared" si="36"/>
        <v>-0.31764140278842529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SUM(OSRRefD22_6x_0)</f>
        <v>0</v>
      </c>
      <c r="E50" s="1"/>
      <c r="F50" s="5">
        <f t="shared" ref="F50:F67" si="37">IF(D$12=0,0,D50/D$12)</f>
        <v>0</v>
      </c>
      <c r="G50" s="1"/>
      <c r="H50" s="1">
        <f>SUM(OSRRefH22_6x_0)</f>
        <v>0</v>
      </c>
      <c r="I50" s="1"/>
      <c r="J50" s="5">
        <f t="shared" ref="J50:J67" si="38">IF(H$12=0,0,H50/H$12)</f>
        <v>0</v>
      </c>
      <c r="K50" s="1"/>
      <c r="L50" s="1">
        <f t="shared" ref="L50:L67" si="39">+D50-H50</f>
        <v>0</v>
      </c>
      <c r="M50" s="1"/>
      <c r="N50" s="5">
        <f t="shared" ref="N50:N67" si="40">IF(H50=0,0,L50/H50)</f>
        <v>0</v>
      </c>
      <c r="O50" s="14"/>
      <c r="P50" s="1">
        <f>SUM(OSRRefP22_6x_0)</f>
        <v>141.16999999999999</v>
      </c>
      <c r="Q50" s="1"/>
      <c r="R50" s="5">
        <f t="shared" ref="R50:R67" si="41">IF(P$12=0,0,P50/P$12)</f>
        <v>2.9107072459847615E-4</v>
      </c>
      <c r="S50" s="1"/>
      <c r="T50" s="1">
        <f>SUM(OSRRefT22_6x_0)</f>
        <v>0</v>
      </c>
      <c r="U50" s="1"/>
      <c r="V50" s="5">
        <f t="shared" ref="V50:V67" si="42">IF(T$12=0,0,T50/T$12)</f>
        <v>0</v>
      </c>
      <c r="W50" s="1"/>
      <c r="X50" s="1">
        <f t="shared" ref="X50:X67" si="43">+P50-T50</f>
        <v>141.16999999999999</v>
      </c>
      <c r="Y50" s="1"/>
      <c r="Z50" s="5">
        <f t="shared" ref="Z50:Z67" si="44">IF(T50=0,0,X50/T50)</f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7"/>
        <v>0</v>
      </c>
      <c r="G51" s="2"/>
      <c r="H51" s="6"/>
      <c r="I51" s="2"/>
      <c r="J51" s="7">
        <f t="shared" si="38"/>
        <v>0</v>
      </c>
      <c r="K51" s="2"/>
      <c r="L51" s="6">
        <f t="shared" si="39"/>
        <v>0</v>
      </c>
      <c r="M51" s="2"/>
      <c r="N51" s="7">
        <f t="shared" si="40"/>
        <v>0</v>
      </c>
      <c r="O51" s="11"/>
      <c r="P51" s="6">
        <v>141.16999999999999</v>
      </c>
      <c r="Q51" s="2"/>
      <c r="R51" s="7">
        <f t="shared" si="41"/>
        <v>2.9107072459847615E-4</v>
      </c>
      <c r="S51" s="2"/>
      <c r="T51" s="6"/>
      <c r="U51" s="2"/>
      <c r="V51" s="7">
        <f t="shared" si="42"/>
        <v>0</v>
      </c>
      <c r="W51" s="2"/>
      <c r="X51" s="6">
        <f t="shared" si="43"/>
        <v>141.16999999999999</v>
      </c>
      <c r="Y51" s="2"/>
      <c r="Z51" s="7">
        <f t="shared" si="44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SUM(OSRRefD22_7x_0)</f>
        <v>726.98</v>
      </c>
      <c r="E52" s="1"/>
      <c r="F52" s="5">
        <f t="shared" si="37"/>
        <v>7.1052516095499165E-3</v>
      </c>
      <c r="G52" s="1"/>
      <c r="H52" s="1">
        <f>SUM(OSRRefH22_7x_0)</f>
        <v>775.02</v>
      </c>
      <c r="I52" s="1"/>
      <c r="J52" s="5">
        <f t="shared" si="38"/>
        <v>1.2081072347544309E-2</v>
      </c>
      <c r="K52" s="1"/>
      <c r="L52" s="1">
        <f t="shared" si="39"/>
        <v>-48.039999999999964</v>
      </c>
      <c r="M52" s="1"/>
      <c r="N52" s="5">
        <f t="shared" si="40"/>
        <v>-6.198549714846064E-2</v>
      </c>
      <c r="O52" s="14"/>
      <c r="P52" s="1">
        <f>SUM(OSRRefP22_7x_0)</f>
        <v>3651.39</v>
      </c>
      <c r="Q52" s="1"/>
      <c r="R52" s="5">
        <f t="shared" si="41"/>
        <v>7.5286019203203939E-3</v>
      </c>
      <c r="S52" s="1"/>
      <c r="T52" s="1">
        <f>SUM(OSRRefT22_7x_0)</f>
        <v>4075.69</v>
      </c>
      <c r="U52" s="1"/>
      <c r="V52" s="5">
        <f t="shared" si="42"/>
        <v>3.3395253629449513E-2</v>
      </c>
      <c r="W52" s="1"/>
      <c r="X52" s="1">
        <f t="shared" si="43"/>
        <v>-424.30000000000018</v>
      </c>
      <c r="Y52" s="1"/>
      <c r="Z52" s="5">
        <f t="shared" si="44"/>
        <v>-0.10410507177925706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726.98</v>
      </c>
      <c r="E53" s="2"/>
      <c r="F53" s="7">
        <f t="shared" si="37"/>
        <v>7.1052516095499165E-3</v>
      </c>
      <c r="G53" s="2"/>
      <c r="H53" s="6">
        <v>775.02</v>
      </c>
      <c r="I53" s="2"/>
      <c r="J53" s="7">
        <f t="shared" si="38"/>
        <v>1.2081072347544309E-2</v>
      </c>
      <c r="K53" s="2"/>
      <c r="L53" s="6">
        <f t="shared" si="39"/>
        <v>-48.039999999999964</v>
      </c>
      <c r="M53" s="2"/>
      <c r="N53" s="7">
        <f t="shared" si="40"/>
        <v>-6.198549714846064E-2</v>
      </c>
      <c r="O53" s="11"/>
      <c r="P53" s="6">
        <v>3651.39</v>
      </c>
      <c r="Q53" s="2"/>
      <c r="R53" s="7">
        <f t="shared" si="41"/>
        <v>7.5286019203203939E-3</v>
      </c>
      <c r="S53" s="2"/>
      <c r="T53" s="6">
        <v>4075.69</v>
      </c>
      <c r="U53" s="2"/>
      <c r="V53" s="7">
        <f t="shared" si="42"/>
        <v>3.3395253629449513E-2</v>
      </c>
      <c r="W53" s="2"/>
      <c r="X53" s="6">
        <f t="shared" si="43"/>
        <v>-424.30000000000018</v>
      </c>
      <c r="Y53" s="2"/>
      <c r="Z53" s="7">
        <f t="shared" si="44"/>
        <v>-0.10410507177925706</v>
      </c>
    </row>
    <row r="54" spans="1:26" s="29" customFormat="1" outlineLevel="1" collapsed="1" x14ac:dyDescent="0.3">
      <c r="A54" s="28"/>
      <c r="B54" s="14" t="str">
        <f>CONCATENATE("     ","Freight out/Postage                               ")</f>
        <v xml:space="preserve">     Freight out/Postage                               </v>
      </c>
      <c r="C54" s="14"/>
      <c r="D54" s="1">
        <f>SUM(OSRRefD22_8x_0)</f>
        <v>0</v>
      </c>
      <c r="E54" s="1"/>
      <c r="F54" s="5">
        <f t="shared" si="37"/>
        <v>0</v>
      </c>
      <c r="G54" s="1"/>
      <c r="H54" s="1">
        <f>SUM(OSRRefH22_8x_0)</f>
        <v>0</v>
      </c>
      <c r="I54" s="1"/>
      <c r="J54" s="5">
        <f t="shared" si="38"/>
        <v>0</v>
      </c>
      <c r="K54" s="1"/>
      <c r="L54" s="1">
        <f t="shared" si="39"/>
        <v>0</v>
      </c>
      <c r="M54" s="1"/>
      <c r="N54" s="5">
        <f t="shared" si="40"/>
        <v>0</v>
      </c>
      <c r="O54" s="14"/>
      <c r="P54" s="1">
        <f>SUM(OSRRefP22_8x_0)</f>
        <v>0</v>
      </c>
      <c r="Q54" s="1"/>
      <c r="R54" s="5">
        <f t="shared" si="41"/>
        <v>0</v>
      </c>
      <c r="S54" s="1"/>
      <c r="T54" s="1">
        <f>SUM(OSRRefT22_8x_0)</f>
        <v>-5.41</v>
      </c>
      <c r="U54" s="1"/>
      <c r="V54" s="5">
        <f t="shared" si="42"/>
        <v>-4.4328278680498735E-5</v>
      </c>
      <c r="W54" s="1"/>
      <c r="X54" s="1">
        <f t="shared" si="43"/>
        <v>5.41</v>
      </c>
      <c r="Y54" s="1"/>
      <c r="Z54" s="5">
        <f t="shared" si="44"/>
        <v>-1</v>
      </c>
    </row>
    <row r="55" spans="1:26" s="24" customFormat="1" hidden="1" outlineLevel="2" x14ac:dyDescent="0.3">
      <c r="A55" s="27"/>
      <c r="B55" s="11" t="str">
        <f>CONCATENATE("          ", "6307", " - ", "POSTAGE")</f>
        <v xml:space="preserve">          6307 - POSTAGE</v>
      </c>
      <c r="C55" s="11"/>
      <c r="D55" s="6"/>
      <c r="E55" s="2"/>
      <c r="F55" s="7">
        <f t="shared" si="37"/>
        <v>0</v>
      </c>
      <c r="G55" s="2"/>
      <c r="H55" s="6"/>
      <c r="I55" s="2"/>
      <c r="J55" s="7">
        <f t="shared" si="38"/>
        <v>0</v>
      </c>
      <c r="K55" s="2"/>
      <c r="L55" s="6">
        <f t="shared" si="39"/>
        <v>0</v>
      </c>
      <c r="M55" s="2"/>
      <c r="N55" s="7">
        <f t="shared" si="40"/>
        <v>0</v>
      </c>
      <c r="O55" s="11"/>
      <c r="P55" s="6"/>
      <c r="Q55" s="2"/>
      <c r="R55" s="7">
        <f t="shared" si="41"/>
        <v>0</v>
      </c>
      <c r="S55" s="2"/>
      <c r="T55" s="6">
        <v>-5.41</v>
      </c>
      <c r="U55" s="2"/>
      <c r="V55" s="7">
        <f t="shared" si="42"/>
        <v>-4.4328278680498735E-5</v>
      </c>
      <c r="W55" s="2"/>
      <c r="X55" s="6">
        <f t="shared" si="43"/>
        <v>5.41</v>
      </c>
      <c r="Y55" s="2"/>
      <c r="Z55" s="7">
        <f t="shared" si="44"/>
        <v>-1</v>
      </c>
    </row>
    <row r="56" spans="1:26" s="29" customFormat="1" outlineLevel="1" collapsed="1" x14ac:dyDescent="0.3">
      <c r="A56" s="28"/>
      <c r="B56" s="14" t="str">
        <f>CONCATENATE("     ","General                                           ")</f>
        <v xml:space="preserve">     General                                           </v>
      </c>
      <c r="C56" s="14"/>
      <c r="D56" s="1">
        <f>SUM(OSRRefD22_9x_0)</f>
        <v>0</v>
      </c>
      <c r="E56" s="1"/>
      <c r="F56" s="5">
        <f t="shared" si="37"/>
        <v>0</v>
      </c>
      <c r="G56" s="1"/>
      <c r="H56" s="1">
        <f>SUM(OSRRefH22_9x_0)</f>
        <v>455</v>
      </c>
      <c r="I56" s="1"/>
      <c r="J56" s="5">
        <f t="shared" si="38"/>
        <v>7.0925755698338895E-3</v>
      </c>
      <c r="K56" s="1"/>
      <c r="L56" s="1">
        <f t="shared" si="39"/>
        <v>-455</v>
      </c>
      <c r="M56" s="1"/>
      <c r="N56" s="5">
        <f t="shared" si="40"/>
        <v>-1</v>
      </c>
      <c r="O56" s="14"/>
      <c r="P56" s="1">
        <f>SUM(OSRRefP22_9x_0)</f>
        <v>14090.26</v>
      </c>
      <c r="Q56" s="1"/>
      <c r="R56" s="5">
        <f t="shared" si="41"/>
        <v>2.9051938712055858E-2</v>
      </c>
      <c r="S56" s="1"/>
      <c r="T56" s="1">
        <f>SUM(OSRRefT22_9x_0)</f>
        <v>4221.45</v>
      </c>
      <c r="U56" s="1"/>
      <c r="V56" s="5">
        <f t="shared" si="42"/>
        <v>3.4589577086098222E-2</v>
      </c>
      <c r="W56" s="1"/>
      <c r="X56" s="1">
        <f t="shared" si="43"/>
        <v>9868.8100000000013</v>
      </c>
      <c r="Y56" s="1"/>
      <c r="Z56" s="5">
        <f t="shared" si="44"/>
        <v>2.3377773040069174</v>
      </c>
    </row>
    <row r="57" spans="1:26" s="24" customFormat="1" hidden="1" outlineLevel="2" x14ac:dyDescent="0.3">
      <c r="A57" s="27"/>
      <c r="B57" s="11" t="str">
        <f>CONCATENATE("          ", "6279", " - ", "GENERAL EXPENSE")</f>
        <v xml:space="preserve">          6279 - GENERAL EXPENSE</v>
      </c>
      <c r="C57" s="11"/>
      <c r="D57" s="6"/>
      <c r="E57" s="2"/>
      <c r="F57" s="7">
        <f t="shared" si="37"/>
        <v>0</v>
      </c>
      <c r="G57" s="2"/>
      <c r="H57" s="6">
        <v>455</v>
      </c>
      <c r="I57" s="2"/>
      <c r="J57" s="7">
        <f t="shared" si="38"/>
        <v>7.0925755698338895E-3</v>
      </c>
      <c r="K57" s="2"/>
      <c r="L57" s="6">
        <f t="shared" si="39"/>
        <v>-455</v>
      </c>
      <c r="M57" s="2"/>
      <c r="N57" s="7">
        <f t="shared" si="40"/>
        <v>-1</v>
      </c>
      <c r="O57" s="11"/>
      <c r="P57" s="6">
        <v>14090.26</v>
      </c>
      <c r="Q57" s="2"/>
      <c r="R57" s="7">
        <f t="shared" si="41"/>
        <v>2.9051938712055858E-2</v>
      </c>
      <c r="S57" s="2"/>
      <c r="T57" s="6">
        <v>4221.45</v>
      </c>
      <c r="U57" s="2"/>
      <c r="V57" s="7">
        <f t="shared" si="42"/>
        <v>3.4589577086098222E-2</v>
      </c>
      <c r="W57" s="2"/>
      <c r="X57" s="6">
        <f t="shared" si="43"/>
        <v>9868.8100000000013</v>
      </c>
      <c r="Y57" s="2"/>
      <c r="Z57" s="7">
        <f t="shared" si="44"/>
        <v>2.3377773040069174</v>
      </c>
    </row>
    <row r="58" spans="1:26" s="29" customFormat="1" outlineLevel="1" collapsed="1" x14ac:dyDescent="0.3">
      <c r="A58" s="28"/>
      <c r="B58" s="14" t="str">
        <f>CONCATENATE("     ","Insurance                                         ")</f>
        <v xml:space="preserve">     Insurance                                         </v>
      </c>
      <c r="C58" s="14"/>
      <c r="D58" s="1">
        <f>SUM(OSRRefD22_10x_0)</f>
        <v>5756.21</v>
      </c>
      <c r="E58" s="1"/>
      <c r="F58" s="5">
        <f t="shared" si="37"/>
        <v>5.6259209837144525E-2</v>
      </c>
      <c r="G58" s="1"/>
      <c r="H58" s="1">
        <f>SUM(OSRRefH22_10x_0)</f>
        <v>4240.13</v>
      </c>
      <c r="I58" s="1"/>
      <c r="J58" s="5">
        <f t="shared" si="38"/>
        <v>6.6095477914109385E-2</v>
      </c>
      <c r="K58" s="1"/>
      <c r="L58" s="1">
        <f t="shared" si="39"/>
        <v>1516.08</v>
      </c>
      <c r="M58" s="1"/>
      <c r="N58" s="5">
        <f t="shared" si="40"/>
        <v>0.35755507496232425</v>
      </c>
      <c r="O58" s="14"/>
      <c r="P58" s="1">
        <f>SUM(OSRRefP22_10x_0)</f>
        <v>35664.050000000003</v>
      </c>
      <c r="Q58" s="1"/>
      <c r="R58" s="5">
        <f t="shared" si="41"/>
        <v>7.353375983294104E-2</v>
      </c>
      <c r="S58" s="1"/>
      <c r="T58" s="1">
        <f>SUM(OSRRefT22_10x_0)</f>
        <v>27312.65</v>
      </c>
      <c r="U58" s="1"/>
      <c r="V58" s="5">
        <f t="shared" si="42"/>
        <v>0.22379348626671419</v>
      </c>
      <c r="W58" s="1"/>
      <c r="X58" s="1">
        <f t="shared" si="43"/>
        <v>8351.4000000000015</v>
      </c>
      <c r="Y58" s="1"/>
      <c r="Z58" s="5">
        <f t="shared" si="44"/>
        <v>0.30577040309160775</v>
      </c>
    </row>
    <row r="59" spans="1:26" s="24" customFormat="1" hidden="1" outlineLevel="2" x14ac:dyDescent="0.3">
      <c r="A59" s="27"/>
      <c r="B59" s="11" t="str">
        <f>CONCATENATE("          ", "6314", " - ", "LIABILITY INSURANCE")</f>
        <v xml:space="preserve">          6314 - LIABILITY INSURANCE</v>
      </c>
      <c r="C59" s="11"/>
      <c r="D59" s="6">
        <v>5756.21</v>
      </c>
      <c r="E59" s="2"/>
      <c r="F59" s="7">
        <f t="shared" si="37"/>
        <v>5.6259209837144525E-2</v>
      </c>
      <c r="G59" s="2"/>
      <c r="H59" s="6">
        <v>4240.13</v>
      </c>
      <c r="I59" s="2"/>
      <c r="J59" s="7">
        <f t="shared" si="38"/>
        <v>6.6095477914109385E-2</v>
      </c>
      <c r="K59" s="2"/>
      <c r="L59" s="6">
        <f t="shared" si="39"/>
        <v>1516.08</v>
      </c>
      <c r="M59" s="2"/>
      <c r="N59" s="7">
        <f t="shared" si="40"/>
        <v>0.35755507496232425</v>
      </c>
      <c r="O59" s="11"/>
      <c r="P59" s="6">
        <v>35664.050000000003</v>
      </c>
      <c r="Q59" s="2"/>
      <c r="R59" s="7">
        <f t="shared" si="41"/>
        <v>7.353375983294104E-2</v>
      </c>
      <c r="S59" s="2"/>
      <c r="T59" s="6">
        <v>27312.65</v>
      </c>
      <c r="U59" s="2"/>
      <c r="V59" s="7">
        <f t="shared" si="42"/>
        <v>0.22379348626671419</v>
      </c>
      <c r="W59" s="2"/>
      <c r="X59" s="6">
        <f t="shared" si="43"/>
        <v>8351.4000000000015</v>
      </c>
      <c r="Y59" s="2"/>
      <c r="Z59" s="7">
        <f t="shared" si="44"/>
        <v>0.30577040309160775</v>
      </c>
    </row>
    <row r="60" spans="1:26" s="29" customFormat="1" outlineLevel="1" collapsed="1" x14ac:dyDescent="0.3">
      <c r="A60" s="28"/>
      <c r="B60" s="14" t="str">
        <f>CONCATENATE("     ","Interest                                          ")</f>
        <v xml:space="preserve">     Interest                                          </v>
      </c>
      <c r="C60" s="14"/>
      <c r="D60" s="1">
        <f>SUM(OSRRefD22_11x_0)</f>
        <v>7253</v>
      </c>
      <c r="E60" s="1"/>
      <c r="F60" s="5">
        <f t="shared" si="37"/>
        <v>7.0888318693864402E-2</v>
      </c>
      <c r="G60" s="1"/>
      <c r="H60" s="1">
        <f>SUM(OSRRefH22_11x_0)</f>
        <v>7510</v>
      </c>
      <c r="I60" s="1"/>
      <c r="J60" s="5">
        <f t="shared" si="38"/>
        <v>0.11706646709769782</v>
      </c>
      <c r="K60" s="1"/>
      <c r="L60" s="1">
        <f t="shared" si="39"/>
        <v>-257</v>
      </c>
      <c r="M60" s="1"/>
      <c r="N60" s="5">
        <f t="shared" si="40"/>
        <v>-3.4221038615179764E-2</v>
      </c>
      <c r="O60" s="14"/>
      <c r="P60" s="1">
        <f>SUM(OSRRefP22_11x_0)</f>
        <v>35751</v>
      </c>
      <c r="Q60" s="1"/>
      <c r="R60" s="5">
        <f t="shared" si="41"/>
        <v>7.3713037296310277E-2</v>
      </c>
      <c r="S60" s="1"/>
      <c r="T60" s="1">
        <f>SUM(OSRRefT22_11x_0)</f>
        <v>37063.15</v>
      </c>
      <c r="U60" s="1"/>
      <c r="V60" s="5">
        <f t="shared" si="42"/>
        <v>0.30368680997728775</v>
      </c>
      <c r="W60" s="1"/>
      <c r="X60" s="1">
        <f t="shared" si="43"/>
        <v>-1312.1500000000015</v>
      </c>
      <c r="Y60" s="1"/>
      <c r="Z60" s="5">
        <f t="shared" si="44"/>
        <v>-3.540308905206388E-2</v>
      </c>
    </row>
    <row r="61" spans="1:26" s="24" customFormat="1" hidden="1" outlineLevel="2" x14ac:dyDescent="0.3">
      <c r="A61" s="27"/>
      <c r="B61" s="11" t="str">
        <f>CONCATENATE("          ", "6401", " - ", "INTEREST EXPENSE")</f>
        <v xml:space="preserve">          6401 - INTEREST EXPENSE</v>
      </c>
      <c r="C61" s="11"/>
      <c r="D61" s="6">
        <v>7253</v>
      </c>
      <c r="E61" s="2"/>
      <c r="F61" s="7">
        <f t="shared" si="37"/>
        <v>7.0888318693864402E-2</v>
      </c>
      <c r="G61" s="2"/>
      <c r="H61" s="6">
        <v>7510</v>
      </c>
      <c r="I61" s="2"/>
      <c r="J61" s="7">
        <f t="shared" si="38"/>
        <v>0.11706646709769782</v>
      </c>
      <c r="K61" s="2"/>
      <c r="L61" s="6">
        <f t="shared" si="39"/>
        <v>-257</v>
      </c>
      <c r="M61" s="2"/>
      <c r="N61" s="7">
        <f t="shared" si="40"/>
        <v>-3.4221038615179764E-2</v>
      </c>
      <c r="O61" s="11"/>
      <c r="P61" s="6">
        <v>35751</v>
      </c>
      <c r="Q61" s="2"/>
      <c r="R61" s="7">
        <f t="shared" si="41"/>
        <v>7.3713037296310277E-2</v>
      </c>
      <c r="S61" s="2"/>
      <c r="T61" s="6">
        <v>37063.15</v>
      </c>
      <c r="U61" s="2"/>
      <c r="V61" s="7">
        <f t="shared" si="42"/>
        <v>0.30368680997728775</v>
      </c>
      <c r="W61" s="2"/>
      <c r="X61" s="6">
        <f t="shared" si="43"/>
        <v>-1312.1500000000015</v>
      </c>
      <c r="Y61" s="2"/>
      <c r="Z61" s="7">
        <f t="shared" si="44"/>
        <v>-3.540308905206388E-2</v>
      </c>
    </row>
    <row r="62" spans="1:26" s="29" customFormat="1" outlineLevel="1" collapsed="1" x14ac:dyDescent="0.3">
      <c r="A62" s="28"/>
      <c r="B62" s="14" t="str">
        <f>CONCATENATE("     ","Rent                                              ")</f>
        <v xml:space="preserve">     Rent                                              </v>
      </c>
      <c r="C62" s="14"/>
      <c r="D62" s="1">
        <f>SUM(OSRRefD22_12x_0)</f>
        <v>1850</v>
      </c>
      <c r="E62" s="1"/>
      <c r="F62" s="5">
        <f t="shared" si="37"/>
        <v>1.8081261489542141E-2</v>
      </c>
      <c r="G62" s="1"/>
      <c r="H62" s="1">
        <f>SUM(OSRRefH22_12x_0)</f>
        <v>0</v>
      </c>
      <c r="I62" s="1"/>
      <c r="J62" s="5">
        <f t="shared" si="38"/>
        <v>0</v>
      </c>
      <c r="K62" s="1"/>
      <c r="L62" s="1">
        <f t="shared" si="39"/>
        <v>1850</v>
      </c>
      <c r="M62" s="1"/>
      <c r="N62" s="5">
        <f t="shared" si="40"/>
        <v>0</v>
      </c>
      <c r="O62" s="14"/>
      <c r="P62" s="1">
        <f>SUM(OSRRefP22_12x_0)</f>
        <v>9250</v>
      </c>
      <c r="Q62" s="1"/>
      <c r="R62" s="5">
        <f t="shared" si="41"/>
        <v>1.9072070571197173E-2</v>
      </c>
      <c r="S62" s="1"/>
      <c r="T62" s="1">
        <f>SUM(OSRRefT22_12x_0)</f>
        <v>5550</v>
      </c>
      <c r="U62" s="1"/>
      <c r="V62" s="5">
        <f t="shared" si="42"/>
        <v>4.5475406040068014E-2</v>
      </c>
      <c r="W62" s="1"/>
      <c r="X62" s="1">
        <f t="shared" si="43"/>
        <v>3700</v>
      </c>
      <c r="Y62" s="1"/>
      <c r="Z62" s="5">
        <f t="shared" si="44"/>
        <v>0.66666666666666663</v>
      </c>
    </row>
    <row r="63" spans="1:26" s="24" customFormat="1" hidden="1" outlineLevel="2" x14ac:dyDescent="0.3">
      <c r="A63" s="27"/>
      <c r="B63" s="11" t="str">
        <f>CONCATENATE("          ", "6273", " - ", "RENT")</f>
        <v xml:space="preserve">          6273 - RENT</v>
      </c>
      <c r="C63" s="11"/>
      <c r="D63" s="6">
        <v>1850</v>
      </c>
      <c r="E63" s="2"/>
      <c r="F63" s="7">
        <f t="shared" si="37"/>
        <v>1.8081261489542141E-2</v>
      </c>
      <c r="G63" s="2"/>
      <c r="H63" s="6"/>
      <c r="I63" s="2"/>
      <c r="J63" s="7">
        <f t="shared" si="38"/>
        <v>0</v>
      </c>
      <c r="K63" s="2"/>
      <c r="L63" s="6">
        <f t="shared" si="39"/>
        <v>1850</v>
      </c>
      <c r="M63" s="2"/>
      <c r="N63" s="7">
        <f t="shared" si="40"/>
        <v>0</v>
      </c>
      <c r="O63" s="11"/>
      <c r="P63" s="6">
        <v>9250</v>
      </c>
      <c r="Q63" s="2"/>
      <c r="R63" s="7">
        <f t="shared" si="41"/>
        <v>1.9072070571197173E-2</v>
      </c>
      <c r="S63" s="2"/>
      <c r="T63" s="6">
        <v>5550</v>
      </c>
      <c r="U63" s="2"/>
      <c r="V63" s="7">
        <f t="shared" si="42"/>
        <v>4.5475406040068014E-2</v>
      </c>
      <c r="W63" s="2"/>
      <c r="X63" s="6">
        <f t="shared" si="43"/>
        <v>3700</v>
      </c>
      <c r="Y63" s="2"/>
      <c r="Z63" s="7">
        <f t="shared" si="44"/>
        <v>0.66666666666666663</v>
      </c>
    </row>
    <row r="64" spans="1:26" s="29" customFormat="1" outlineLevel="1" collapsed="1" x14ac:dyDescent="0.3">
      <c r="A64" s="28"/>
      <c r="B64" s="14" t="str">
        <f>CONCATENATE("     ","Repair and Maintenance                            ")</f>
        <v xml:space="preserve">     Repair and Maintenance                            </v>
      </c>
      <c r="C64" s="14"/>
      <c r="D64" s="1">
        <f>SUM(OSRRefD22_13x_0)</f>
        <v>5673.9500000000007</v>
      </c>
      <c r="E64" s="1"/>
      <c r="F64" s="5">
        <f t="shared" si="37"/>
        <v>5.5455228988425753E-2</v>
      </c>
      <c r="G64" s="1"/>
      <c r="H64" s="1">
        <f>SUM(OSRRefH22_13x_0)</f>
        <v>3165.13</v>
      </c>
      <c r="I64" s="1"/>
      <c r="J64" s="5">
        <f t="shared" si="38"/>
        <v>4.9338293875490852E-2</v>
      </c>
      <c r="K64" s="1"/>
      <c r="L64" s="1">
        <f t="shared" si="39"/>
        <v>2508.8200000000006</v>
      </c>
      <c r="M64" s="1"/>
      <c r="N64" s="5">
        <f t="shared" si="40"/>
        <v>0.79264358809906721</v>
      </c>
      <c r="O64" s="14"/>
      <c r="P64" s="1">
        <f>SUM(OSRRefP22_13x_0)</f>
        <v>42185.41</v>
      </c>
      <c r="Q64" s="1"/>
      <c r="R64" s="5">
        <f t="shared" si="41"/>
        <v>8.6979796388636427E-2</v>
      </c>
      <c r="S64" s="1"/>
      <c r="T64" s="1">
        <f>SUM(OSRRefT22_13x_0)</f>
        <v>18172.260000000002</v>
      </c>
      <c r="U64" s="1"/>
      <c r="V64" s="5">
        <f t="shared" si="42"/>
        <v>0.14889926165147505</v>
      </c>
      <c r="W64" s="1"/>
      <c r="X64" s="1">
        <f t="shared" si="43"/>
        <v>24013.15</v>
      </c>
      <c r="Y64" s="1"/>
      <c r="Z64" s="5">
        <f t="shared" si="44"/>
        <v>1.3214179194002287</v>
      </c>
    </row>
    <row r="65" spans="1:26" s="24" customFormat="1" hidden="1" outlineLevel="2" x14ac:dyDescent="0.3">
      <c r="A65" s="27"/>
      <c r="B65" s="11" t="str">
        <f>CONCATENATE("          ", "6371", " - ", "COMPUTER SOFTWARE MAINTENANCE")</f>
        <v xml:space="preserve">          6371 - COMPUTER SOFTWARE MAINTENANCE</v>
      </c>
      <c r="C65" s="11"/>
      <c r="D65" s="6">
        <v>380.32</v>
      </c>
      <c r="E65" s="2"/>
      <c r="F65" s="7">
        <f t="shared" si="37"/>
        <v>3.7171164160554955E-3</v>
      </c>
      <c r="G65" s="2"/>
      <c r="H65" s="6"/>
      <c r="I65" s="2"/>
      <c r="J65" s="7">
        <f t="shared" si="38"/>
        <v>0</v>
      </c>
      <c r="K65" s="2"/>
      <c r="L65" s="6">
        <f t="shared" si="39"/>
        <v>380.32</v>
      </c>
      <c r="M65" s="2"/>
      <c r="N65" s="7">
        <f t="shared" si="40"/>
        <v>0</v>
      </c>
      <c r="O65" s="11"/>
      <c r="P65" s="6">
        <v>5717.72</v>
      </c>
      <c r="Q65" s="2"/>
      <c r="R65" s="7">
        <f t="shared" si="41"/>
        <v>1.1789055064469783E-2</v>
      </c>
      <c r="S65" s="2"/>
      <c r="T65" s="6"/>
      <c r="U65" s="2"/>
      <c r="V65" s="7">
        <f t="shared" si="42"/>
        <v>0</v>
      </c>
      <c r="W65" s="2"/>
      <c r="X65" s="6">
        <f t="shared" si="43"/>
        <v>5717.72</v>
      </c>
      <c r="Y65" s="2"/>
      <c r="Z65" s="7">
        <f t="shared" si="44"/>
        <v>0</v>
      </c>
    </row>
    <row r="66" spans="1:26" s="24" customFormat="1" hidden="1" outlineLevel="2" x14ac:dyDescent="0.3">
      <c r="A66" s="27"/>
      <c r="B66" s="11" t="str">
        <f>CONCATENATE("          ", "6373", " - ", "MAINTENANCE CONTRACTS")</f>
        <v xml:space="preserve">          6373 - MAINTENANCE CONTRACTS</v>
      </c>
      <c r="C66" s="11"/>
      <c r="D66" s="6">
        <v>2846.3</v>
      </c>
      <c r="E66" s="2"/>
      <c r="F66" s="7">
        <f t="shared" si="37"/>
        <v>2.7818753825775026E-2</v>
      </c>
      <c r="G66" s="2"/>
      <c r="H66" s="6">
        <v>900.01</v>
      </c>
      <c r="I66" s="2"/>
      <c r="J66" s="7">
        <f t="shared" si="38"/>
        <v>1.4029426238694942E-2</v>
      </c>
      <c r="K66" s="2"/>
      <c r="L66" s="6">
        <f t="shared" si="39"/>
        <v>1946.2900000000002</v>
      </c>
      <c r="M66" s="2"/>
      <c r="N66" s="7">
        <f t="shared" si="40"/>
        <v>2.1625204164398175</v>
      </c>
      <c r="O66" s="11"/>
      <c r="P66" s="6">
        <v>6659.5</v>
      </c>
      <c r="Q66" s="2"/>
      <c r="R66" s="7">
        <f t="shared" si="41"/>
        <v>1.3730859888528386E-2</v>
      </c>
      <c r="S66" s="2"/>
      <c r="T66" s="6">
        <v>9777.19</v>
      </c>
      <c r="U66" s="2"/>
      <c r="V66" s="7">
        <f t="shared" si="42"/>
        <v>8.0112015347908586E-2</v>
      </c>
      <c r="W66" s="2"/>
      <c r="X66" s="6">
        <f t="shared" si="43"/>
        <v>-3117.6900000000005</v>
      </c>
      <c r="Y66" s="2"/>
      <c r="Z66" s="7">
        <f t="shared" si="44"/>
        <v>-0.31887382775623674</v>
      </c>
    </row>
    <row r="67" spans="1:26" s="24" customFormat="1" hidden="1" outlineLevel="2" x14ac:dyDescent="0.3">
      <c r="A67" s="27"/>
      <c r="B67" s="11" t="str">
        <f>CONCATENATE("          ", "6375", " - ", "OUTSIDE REPAIRS &amp; MAINTENANCE")</f>
        <v xml:space="preserve">          6375 - OUTSIDE REPAIRS &amp; MAINTENANCE</v>
      </c>
      <c r="C67" s="11"/>
      <c r="D67" s="6">
        <v>2447.33</v>
      </c>
      <c r="E67" s="2"/>
      <c r="F67" s="7">
        <f t="shared" si="37"/>
        <v>2.3919358746595225E-2</v>
      </c>
      <c r="G67" s="2"/>
      <c r="H67" s="6">
        <v>2265.12</v>
      </c>
      <c r="I67" s="2"/>
      <c r="J67" s="7">
        <f t="shared" si="38"/>
        <v>3.5308867636795908E-2</v>
      </c>
      <c r="K67" s="2"/>
      <c r="L67" s="6">
        <f t="shared" si="39"/>
        <v>182.21000000000004</v>
      </c>
      <c r="M67" s="2"/>
      <c r="N67" s="7">
        <f t="shared" si="40"/>
        <v>8.0441654305290683E-2</v>
      </c>
      <c r="O67" s="11"/>
      <c r="P67" s="6">
        <v>29808.19</v>
      </c>
      <c r="Q67" s="2"/>
      <c r="R67" s="7">
        <f t="shared" si="41"/>
        <v>6.1459881435638249E-2</v>
      </c>
      <c r="S67" s="2"/>
      <c r="T67" s="6">
        <v>8395.07</v>
      </c>
      <c r="U67" s="2"/>
      <c r="V67" s="7">
        <f t="shared" si="42"/>
        <v>6.8787246303566446E-2</v>
      </c>
      <c r="W67" s="2"/>
      <c r="X67" s="6">
        <f t="shared" si="43"/>
        <v>21413.119999999999</v>
      </c>
      <c r="Y67" s="2"/>
      <c r="Z67" s="7">
        <f t="shared" si="44"/>
        <v>2.5506779574202478</v>
      </c>
    </row>
    <row r="68" spans="1:26" s="29" customFormat="1" outlineLevel="1" collapsed="1" x14ac:dyDescent="0.3">
      <c r="A68" s="28"/>
      <c r="B68" s="14" t="str">
        <f>CONCATENATE("     ","Royalty &amp; Commissions                             ")</f>
        <v xml:space="preserve">     Royalty &amp; Commissions                             </v>
      </c>
      <c r="C68" s="14"/>
      <c r="D68" s="1">
        <f>SUM(OSRRefD22_14x_0)</f>
        <v>366.22</v>
      </c>
      <c r="E68" s="1"/>
      <c r="F68" s="5">
        <f t="shared" ref="F68:F74" si="45">IF(D$12=0,0,D68/D$12)</f>
        <v>3.5793078825406073E-3</v>
      </c>
      <c r="G68" s="1"/>
      <c r="H68" s="1">
        <f>SUM(OSRRefH22_14x_0)</f>
        <v>0</v>
      </c>
      <c r="I68" s="1"/>
      <c r="J68" s="5">
        <f t="shared" ref="J68:J74" si="46">IF(H$12=0,0,H68/H$12)</f>
        <v>0</v>
      </c>
      <c r="K68" s="1"/>
      <c r="L68" s="1">
        <f t="shared" ref="L68:L74" si="47">+D68-H68</f>
        <v>366.22</v>
      </c>
      <c r="M68" s="1"/>
      <c r="N68" s="5">
        <f t="shared" ref="N68:N74" si="48">IF(H68=0,0,L68/H68)</f>
        <v>0</v>
      </c>
      <c r="O68" s="14"/>
      <c r="P68" s="1">
        <f>SUM(OSRRefP22_14x_0)</f>
        <v>1432.44</v>
      </c>
      <c r="Q68" s="1"/>
      <c r="R68" s="5">
        <f t="shared" ref="R68:R74" si="49">IF(P$12=0,0,P68/P$12)</f>
        <v>2.9534699209735867E-3</v>
      </c>
      <c r="S68" s="1"/>
      <c r="T68" s="1">
        <f>SUM(OSRRefT22_14x_0)</f>
        <v>0</v>
      </c>
      <c r="U68" s="1"/>
      <c r="V68" s="5">
        <f t="shared" ref="V68:V74" si="50">IF(T$12=0,0,T68/T$12)</f>
        <v>0</v>
      </c>
      <c r="W68" s="1"/>
      <c r="X68" s="1">
        <f t="shared" ref="X68:X74" si="51">+P68-T68</f>
        <v>1432.44</v>
      </c>
      <c r="Y68" s="1"/>
      <c r="Z68" s="5">
        <f t="shared" ref="Z68:Z74" si="52">IF(T68=0,0,X68/T68)</f>
        <v>0</v>
      </c>
    </row>
    <row r="69" spans="1:26" s="24" customFormat="1" hidden="1" outlineLevel="2" x14ac:dyDescent="0.3">
      <c r="A69" s="27"/>
      <c r="B69" s="11" t="str">
        <f>CONCATENATE("          ", "6254", " - ", "ROYALTY &amp; COMMISSIONS")</f>
        <v xml:space="preserve">          6254 - ROYALTY &amp; COMMISSIONS</v>
      </c>
      <c r="C69" s="11"/>
      <c r="D69" s="6">
        <v>366.22</v>
      </c>
      <c r="E69" s="2"/>
      <c r="F69" s="7">
        <f t="shared" si="45"/>
        <v>3.5793078825406073E-3</v>
      </c>
      <c r="G69" s="2"/>
      <c r="H69" s="6"/>
      <c r="I69" s="2"/>
      <c r="J69" s="7">
        <f t="shared" si="46"/>
        <v>0</v>
      </c>
      <c r="K69" s="2"/>
      <c r="L69" s="6">
        <f t="shared" si="47"/>
        <v>366.22</v>
      </c>
      <c r="M69" s="2"/>
      <c r="N69" s="7">
        <f t="shared" si="48"/>
        <v>0</v>
      </c>
      <c r="O69" s="11"/>
      <c r="P69" s="6">
        <v>1432.44</v>
      </c>
      <c r="Q69" s="2"/>
      <c r="R69" s="7">
        <f t="shared" si="49"/>
        <v>2.9534699209735867E-3</v>
      </c>
      <c r="S69" s="2"/>
      <c r="T69" s="6"/>
      <c r="U69" s="2"/>
      <c r="V69" s="7">
        <f t="shared" si="50"/>
        <v>0</v>
      </c>
      <c r="W69" s="2"/>
      <c r="X69" s="6">
        <f t="shared" si="51"/>
        <v>1432.44</v>
      </c>
      <c r="Y69" s="2"/>
      <c r="Z69" s="7">
        <f t="shared" si="52"/>
        <v>0</v>
      </c>
    </row>
    <row r="70" spans="1:26" s="29" customFormat="1" outlineLevel="1" collapsed="1" x14ac:dyDescent="0.3">
      <c r="A70" s="28"/>
      <c r="B70" s="14" t="str">
        <f>CONCATENATE("     ","Services                                          ")</f>
        <v xml:space="preserve">     Services                                          </v>
      </c>
      <c r="C70" s="14"/>
      <c r="D70" s="1">
        <f>SUM(OSRRefD22_15x_0)</f>
        <v>4708.99</v>
      </c>
      <c r="E70" s="1"/>
      <c r="F70" s="5">
        <f t="shared" si="45"/>
        <v>4.6024042995480567E-2</v>
      </c>
      <c r="G70" s="1"/>
      <c r="H70" s="1">
        <f>SUM(OSRRefH22_15x_0)</f>
        <v>8548.44</v>
      </c>
      <c r="I70" s="1"/>
      <c r="J70" s="5">
        <f t="shared" si="46"/>
        <v>0.13325375099822157</v>
      </c>
      <c r="K70" s="1"/>
      <c r="L70" s="1">
        <f t="shared" si="47"/>
        <v>-3839.4500000000007</v>
      </c>
      <c r="M70" s="1"/>
      <c r="N70" s="5">
        <f t="shared" si="48"/>
        <v>-0.44914042796112513</v>
      </c>
      <c r="O70" s="14"/>
      <c r="P70" s="1">
        <f>SUM(OSRRefP22_15x_0)</f>
        <v>39724.910000000003</v>
      </c>
      <c r="Q70" s="1"/>
      <c r="R70" s="5">
        <f t="shared" si="49"/>
        <v>8.1906625616697981E-2</v>
      </c>
      <c r="S70" s="1"/>
      <c r="T70" s="1">
        <f>SUM(OSRRefT22_15x_0)</f>
        <v>25529.23</v>
      </c>
      <c r="U70" s="1"/>
      <c r="V70" s="5">
        <f t="shared" si="50"/>
        <v>0.20918055858383525</v>
      </c>
      <c r="W70" s="1"/>
      <c r="X70" s="1">
        <f t="shared" si="51"/>
        <v>14195.680000000004</v>
      </c>
      <c r="Y70" s="1"/>
      <c r="Z70" s="5">
        <f t="shared" si="52"/>
        <v>0.55605594058261865</v>
      </c>
    </row>
    <row r="71" spans="1:26" s="24" customFormat="1" hidden="1" outlineLevel="2" x14ac:dyDescent="0.3">
      <c r="A71" s="27"/>
      <c r="B71" s="11" t="str">
        <f>CONCATENATE("          ", "6282", " - ", "JANITORIAL/EXTERMINATOR EXPENS")</f>
        <v xml:space="preserve">          6282 - JANITORIAL/EXTERMINATOR EXPENS</v>
      </c>
      <c r="C71" s="11"/>
      <c r="D71" s="6">
        <v>1021.65</v>
      </c>
      <c r="E71" s="2"/>
      <c r="F71" s="7">
        <f t="shared" si="45"/>
        <v>9.9852544869139075E-3</v>
      </c>
      <c r="G71" s="2"/>
      <c r="H71" s="6"/>
      <c r="I71" s="2"/>
      <c r="J71" s="7">
        <f t="shared" si="46"/>
        <v>0</v>
      </c>
      <c r="K71" s="2"/>
      <c r="L71" s="6">
        <f t="shared" si="47"/>
        <v>1021.65</v>
      </c>
      <c r="M71" s="2"/>
      <c r="N71" s="7">
        <f t="shared" si="48"/>
        <v>0</v>
      </c>
      <c r="O71" s="11"/>
      <c r="P71" s="6">
        <v>5172.1099999999997</v>
      </c>
      <c r="Q71" s="2"/>
      <c r="R71" s="7">
        <f t="shared" si="49"/>
        <v>1.0664091559134552E-2</v>
      </c>
      <c r="S71" s="2"/>
      <c r="T71" s="6">
        <v>1752.65</v>
      </c>
      <c r="U71" s="2"/>
      <c r="V71" s="7">
        <f t="shared" si="50"/>
        <v>1.4360805476779316E-2</v>
      </c>
      <c r="W71" s="2"/>
      <c r="X71" s="6">
        <f t="shared" si="51"/>
        <v>3419.4599999999996</v>
      </c>
      <c r="Y71" s="2"/>
      <c r="Z71" s="7">
        <f t="shared" si="52"/>
        <v>1.9510227369982593</v>
      </c>
    </row>
    <row r="72" spans="1:26" s="24" customFormat="1" hidden="1" outlineLevel="2" x14ac:dyDescent="0.3">
      <c r="A72" s="27"/>
      <c r="B72" s="11" t="str">
        <f>CONCATENATE("          ", "6284", " - ", "TRASH REMOVAL EXPENSE")</f>
        <v xml:space="preserve">          6284 - TRASH REMOVAL EXPENSE</v>
      </c>
      <c r="C72" s="11"/>
      <c r="D72" s="6"/>
      <c r="E72" s="2"/>
      <c r="F72" s="7">
        <f t="shared" si="45"/>
        <v>0</v>
      </c>
      <c r="G72" s="2"/>
      <c r="H72" s="6">
        <v>5369</v>
      </c>
      <c r="I72" s="2"/>
      <c r="J72" s="7">
        <f t="shared" si="46"/>
        <v>8.3692391724039888E-2</v>
      </c>
      <c r="K72" s="2"/>
      <c r="L72" s="6">
        <f t="shared" si="47"/>
        <v>-5369</v>
      </c>
      <c r="M72" s="2"/>
      <c r="N72" s="7">
        <f t="shared" si="48"/>
        <v>-1</v>
      </c>
      <c r="O72" s="11"/>
      <c r="P72" s="6"/>
      <c r="Q72" s="2"/>
      <c r="R72" s="7">
        <f t="shared" si="49"/>
        <v>0</v>
      </c>
      <c r="S72" s="2"/>
      <c r="T72" s="6">
        <v>13499</v>
      </c>
      <c r="U72" s="2"/>
      <c r="V72" s="7">
        <f t="shared" si="50"/>
        <v>0.1106076587630411</v>
      </c>
      <c r="W72" s="2"/>
      <c r="X72" s="6">
        <f t="shared" si="51"/>
        <v>-13499</v>
      </c>
      <c r="Y72" s="2"/>
      <c r="Z72" s="7">
        <f t="shared" si="52"/>
        <v>-1</v>
      </c>
    </row>
    <row r="73" spans="1:26" s="24" customFormat="1" hidden="1" outlineLevel="2" x14ac:dyDescent="0.3">
      <c r="A73" s="27"/>
      <c r="B73" s="11" t="str">
        <f>CONCATENATE("          ", "6285", " - ", "JANITORIAL SERVICES")</f>
        <v xml:space="preserve">          6285 - JANITORIAL SERVICES</v>
      </c>
      <c r="C73" s="11"/>
      <c r="D73" s="6">
        <v>3385.52</v>
      </c>
      <c r="E73" s="2"/>
      <c r="F73" s="7">
        <f t="shared" si="45"/>
        <v>3.30889039989593E-2</v>
      </c>
      <c r="G73" s="2"/>
      <c r="H73" s="6">
        <v>3179.44</v>
      </c>
      <c r="I73" s="2"/>
      <c r="J73" s="7">
        <f t="shared" si="46"/>
        <v>4.956135927418167E-2</v>
      </c>
      <c r="K73" s="2"/>
      <c r="L73" s="6">
        <f t="shared" si="47"/>
        <v>206.07999999999993</v>
      </c>
      <c r="M73" s="2"/>
      <c r="N73" s="7">
        <f t="shared" si="48"/>
        <v>6.4816445663387234E-2</v>
      </c>
      <c r="O73" s="11"/>
      <c r="P73" s="6">
        <v>32947.800000000003</v>
      </c>
      <c r="Q73" s="2"/>
      <c r="R73" s="7">
        <f t="shared" si="49"/>
        <v>6.793327208277733E-2</v>
      </c>
      <c r="S73" s="2"/>
      <c r="T73" s="6">
        <v>9591.3700000000008</v>
      </c>
      <c r="U73" s="2"/>
      <c r="V73" s="7">
        <f t="shared" si="50"/>
        <v>7.8589449591085977E-2</v>
      </c>
      <c r="W73" s="2"/>
      <c r="X73" s="6">
        <f t="shared" si="51"/>
        <v>23356.43</v>
      </c>
      <c r="Y73" s="2"/>
      <c r="Z73" s="7">
        <f t="shared" si="52"/>
        <v>2.435150557219667</v>
      </c>
    </row>
    <row r="74" spans="1:26" s="24" customFormat="1" hidden="1" outlineLevel="2" x14ac:dyDescent="0.3">
      <c r="A74" s="27"/>
      <c r="B74" s="11" t="str">
        <f>CONCATENATE("          ", "6286", " - ", "LAUNDRY EXPENSE")</f>
        <v xml:space="preserve">          6286 - LAUNDRY EXPENSE</v>
      </c>
      <c r="C74" s="11"/>
      <c r="D74" s="6">
        <v>301.82</v>
      </c>
      <c r="E74" s="2"/>
      <c r="F74" s="7">
        <f t="shared" si="45"/>
        <v>2.9498845096073562E-3</v>
      </c>
      <c r="G74" s="2"/>
      <c r="H74" s="6"/>
      <c r="I74" s="2"/>
      <c r="J74" s="7">
        <f t="shared" si="46"/>
        <v>0</v>
      </c>
      <c r="K74" s="2"/>
      <c r="L74" s="6">
        <f t="shared" si="47"/>
        <v>301.82</v>
      </c>
      <c r="M74" s="2"/>
      <c r="N74" s="7">
        <f t="shared" si="48"/>
        <v>0</v>
      </c>
      <c r="O74" s="11"/>
      <c r="P74" s="6">
        <v>1605</v>
      </c>
      <c r="Q74" s="2"/>
      <c r="R74" s="7">
        <f t="shared" si="49"/>
        <v>3.3092619747861038E-3</v>
      </c>
      <c r="S74" s="2"/>
      <c r="T74" s="6">
        <v>686.21</v>
      </c>
      <c r="U74" s="2"/>
      <c r="V74" s="7">
        <f t="shared" si="50"/>
        <v>5.6226447529288421E-3</v>
      </c>
      <c r="W74" s="2"/>
      <c r="X74" s="6">
        <f t="shared" si="51"/>
        <v>918.79</v>
      </c>
      <c r="Y74" s="2"/>
      <c r="Z74" s="7">
        <f t="shared" si="52"/>
        <v>1.3389341455239649</v>
      </c>
    </row>
    <row r="75" spans="1:26" s="29" customFormat="1" outlineLevel="1" collapsed="1" x14ac:dyDescent="0.3">
      <c r="A75" s="28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1">
        <f>SUM(OSRRefD22_16x_0)</f>
        <v>569.5</v>
      </c>
      <c r="E75" s="1"/>
      <c r="F75" s="5">
        <f t="shared" ref="F75:F86" si="53">IF(D$12=0,0,D75/D$12)</f>
        <v>5.5660964423212157E-3</v>
      </c>
      <c r="G75" s="1"/>
      <c r="H75" s="1">
        <f>SUM(OSRRefH22_16x_0)</f>
        <v>0</v>
      </c>
      <c r="I75" s="1"/>
      <c r="J75" s="5">
        <f t="shared" ref="J75:J86" si="54">IF(H$12=0,0,H75/H$12)</f>
        <v>0</v>
      </c>
      <c r="K75" s="1"/>
      <c r="L75" s="1">
        <f t="shared" ref="L75:L86" si="55">+D75-H75</f>
        <v>569.5</v>
      </c>
      <c r="M75" s="1"/>
      <c r="N75" s="5">
        <f t="shared" ref="N75:N86" si="56">IF(H75=0,0,L75/H75)</f>
        <v>0</v>
      </c>
      <c r="O75" s="14"/>
      <c r="P75" s="1">
        <f>SUM(OSRRefP22_16x_0)</f>
        <v>2516.5</v>
      </c>
      <c r="Q75" s="1"/>
      <c r="R75" s="5">
        <f t="shared" ref="R75:R86" si="57">IF(P$12=0,0,P75/P$12)</f>
        <v>5.1886341180992094E-3</v>
      </c>
      <c r="S75" s="1"/>
      <c r="T75" s="1">
        <f>SUM(OSRRefT22_16x_0)</f>
        <v>271.33</v>
      </c>
      <c r="U75" s="1"/>
      <c r="V75" s="5">
        <f t="shared" ref="V75:V86" si="58">IF(T$12=0,0,T75/T$12)</f>
        <v>2.2232147605138115E-3</v>
      </c>
      <c r="W75" s="1"/>
      <c r="X75" s="1">
        <f t="shared" ref="X75:X86" si="59">+P75-T75</f>
        <v>2245.17</v>
      </c>
      <c r="Y75" s="1"/>
      <c r="Z75" s="5">
        <f t="shared" ref="Z75:Z86" si="60">IF(T75=0,0,X75/T75)</f>
        <v>8.2746839641764645</v>
      </c>
    </row>
    <row r="76" spans="1:26" s="24" customFormat="1" hidden="1" outlineLevel="2" x14ac:dyDescent="0.3">
      <c r="A76" s="27"/>
      <c r="B76" s="11" t="str">
        <f>CONCATENATE("          ", "6275", " - ", "SUBSCRIPTIONS")</f>
        <v xml:space="preserve">          6275 - SUBSCRIPTIONS</v>
      </c>
      <c r="C76" s="11"/>
      <c r="D76" s="6">
        <v>569.5</v>
      </c>
      <c r="E76" s="2"/>
      <c r="F76" s="7">
        <f t="shared" si="53"/>
        <v>5.5660964423212157E-3</v>
      </c>
      <c r="G76" s="2"/>
      <c r="H76" s="6"/>
      <c r="I76" s="2"/>
      <c r="J76" s="7">
        <f t="shared" si="54"/>
        <v>0</v>
      </c>
      <c r="K76" s="2"/>
      <c r="L76" s="6">
        <f t="shared" si="55"/>
        <v>569.5</v>
      </c>
      <c r="M76" s="2"/>
      <c r="N76" s="7">
        <f t="shared" si="56"/>
        <v>0</v>
      </c>
      <c r="O76" s="11"/>
      <c r="P76" s="6">
        <v>2516.5</v>
      </c>
      <c r="Q76" s="2"/>
      <c r="R76" s="7">
        <f t="shared" si="57"/>
        <v>5.1886341180992094E-3</v>
      </c>
      <c r="S76" s="2"/>
      <c r="T76" s="6">
        <v>271.33</v>
      </c>
      <c r="U76" s="2"/>
      <c r="V76" s="7">
        <f t="shared" si="58"/>
        <v>2.2232147605138115E-3</v>
      </c>
      <c r="W76" s="2"/>
      <c r="X76" s="6">
        <f t="shared" si="59"/>
        <v>2245.17</v>
      </c>
      <c r="Y76" s="2"/>
      <c r="Z76" s="7">
        <f t="shared" si="60"/>
        <v>8.2746839641764645</v>
      </c>
    </row>
    <row r="77" spans="1:26" s="29" customFormat="1" outlineLevel="1" collapsed="1" x14ac:dyDescent="0.3">
      <c r="A77" s="28"/>
      <c r="B77" s="14" t="str">
        <f>CONCATENATE("     ","Supplies                                          ")</f>
        <v xml:space="preserve">     Supplies                                          </v>
      </c>
      <c r="C77" s="14"/>
      <c r="D77" s="1">
        <f>SUM(OSRRefD22_17x_0)</f>
        <v>1318.71</v>
      </c>
      <c r="E77" s="1"/>
      <c r="F77" s="5">
        <f t="shared" si="53"/>
        <v>1.2888616399391414E-2</v>
      </c>
      <c r="G77" s="1"/>
      <c r="H77" s="1">
        <f>SUM(OSRRefH22_17x_0)</f>
        <v>72</v>
      </c>
      <c r="I77" s="1"/>
      <c r="J77" s="5">
        <f t="shared" si="54"/>
        <v>1.1223416286330549E-3</v>
      </c>
      <c r="K77" s="1"/>
      <c r="L77" s="1">
        <f t="shared" si="55"/>
        <v>1246.71</v>
      </c>
      <c r="M77" s="1"/>
      <c r="N77" s="5">
        <f t="shared" si="56"/>
        <v>17.315416666666668</v>
      </c>
      <c r="O77" s="14"/>
      <c r="P77" s="1">
        <f>SUM(OSRRefP22_17x_0)</f>
        <v>16946.190000000002</v>
      </c>
      <c r="Q77" s="1"/>
      <c r="R77" s="5">
        <f t="shared" si="57"/>
        <v>3.4940425037071982E-2</v>
      </c>
      <c r="S77" s="1"/>
      <c r="T77" s="1">
        <f>SUM(OSRRefT22_17x_0)</f>
        <v>-21570.68</v>
      </c>
      <c r="U77" s="1"/>
      <c r="V77" s="5">
        <f t="shared" si="58"/>
        <v>-0.17674512280367105</v>
      </c>
      <c r="W77" s="1"/>
      <c r="X77" s="1">
        <f t="shared" si="59"/>
        <v>38516.870000000003</v>
      </c>
      <c r="Y77" s="1"/>
      <c r="Z77" s="5">
        <f t="shared" si="60"/>
        <v>-1.7856122291925893</v>
      </c>
    </row>
    <row r="78" spans="1:26" s="24" customFormat="1" hidden="1" outlineLevel="2" x14ac:dyDescent="0.3">
      <c r="A78" s="27"/>
      <c r="B78" s="11" t="str">
        <f>CONCATENATE("          ", "6234", " - ", "EXPENDABLE SUPPLIES &amp; EQUIPMEN")</f>
        <v xml:space="preserve">          6234 - EXPENDABLE SUPPLIES &amp; EQUIPMEN</v>
      </c>
      <c r="C78" s="11"/>
      <c r="D78" s="6"/>
      <c r="E78" s="2"/>
      <c r="F78" s="7">
        <f t="shared" si="53"/>
        <v>0</v>
      </c>
      <c r="G78" s="2"/>
      <c r="H78" s="6"/>
      <c r="I78" s="2"/>
      <c r="J78" s="7">
        <f t="shared" si="54"/>
        <v>0</v>
      </c>
      <c r="K78" s="2"/>
      <c r="L78" s="6">
        <f t="shared" si="55"/>
        <v>0</v>
      </c>
      <c r="M78" s="2"/>
      <c r="N78" s="7">
        <f t="shared" si="56"/>
        <v>0</v>
      </c>
      <c r="O78" s="11"/>
      <c r="P78" s="6"/>
      <c r="Q78" s="2"/>
      <c r="R78" s="7">
        <f t="shared" si="57"/>
        <v>0</v>
      </c>
      <c r="S78" s="2"/>
      <c r="T78" s="6">
        <v>310.91000000000003</v>
      </c>
      <c r="U78" s="2"/>
      <c r="V78" s="7">
        <f t="shared" si="58"/>
        <v>2.5475240525977562E-3</v>
      </c>
      <c r="W78" s="2"/>
      <c r="X78" s="6">
        <f t="shared" si="59"/>
        <v>-310.91000000000003</v>
      </c>
      <c r="Y78" s="2"/>
      <c r="Z78" s="7">
        <f t="shared" si="60"/>
        <v>-1</v>
      </c>
    </row>
    <row r="79" spans="1:26" s="24" customFormat="1" hidden="1" outlineLevel="2" x14ac:dyDescent="0.3">
      <c r="A79" s="27"/>
      <c r="B79" s="11" t="str">
        <f>CONCATENATE("          ", "6235", " - ", "COVID-19 EXPENSES")</f>
        <v xml:space="preserve">          6235 - COVID-19 EXPENSES</v>
      </c>
      <c r="C79" s="11"/>
      <c r="D79" s="6"/>
      <c r="E79" s="2"/>
      <c r="F79" s="7">
        <f t="shared" si="53"/>
        <v>0</v>
      </c>
      <c r="G79" s="2"/>
      <c r="H79" s="6"/>
      <c r="I79" s="2"/>
      <c r="J79" s="7">
        <f t="shared" si="54"/>
        <v>0</v>
      </c>
      <c r="K79" s="2"/>
      <c r="L79" s="6">
        <f t="shared" si="55"/>
        <v>0</v>
      </c>
      <c r="M79" s="2"/>
      <c r="N79" s="7">
        <f t="shared" si="56"/>
        <v>0</v>
      </c>
      <c r="O79" s="11"/>
      <c r="P79" s="6">
        <v>193.5</v>
      </c>
      <c r="Q79" s="2"/>
      <c r="R79" s="7">
        <f t="shared" si="57"/>
        <v>3.9896709789477331E-4</v>
      </c>
      <c r="S79" s="2"/>
      <c r="T79" s="6">
        <v>6881.86</v>
      </c>
      <c r="U79" s="2"/>
      <c r="V79" s="7">
        <f t="shared" si="58"/>
        <v>5.6388356362324768E-2</v>
      </c>
      <c r="W79" s="2"/>
      <c r="X79" s="6">
        <f t="shared" si="59"/>
        <v>-6688.36</v>
      </c>
      <c r="Y79" s="2"/>
      <c r="Z79" s="7">
        <f t="shared" si="60"/>
        <v>-0.97188260150598815</v>
      </c>
    </row>
    <row r="80" spans="1:26" s="24" customFormat="1" hidden="1" outlineLevel="2" x14ac:dyDescent="0.3">
      <c r="A80" s="27"/>
      <c r="B80" s="11" t="str">
        <f>CONCATENATE("          ", "6237", " - ", "JANITORIAL SUPPLIES")</f>
        <v xml:space="preserve">          6237 - JANITORIAL SUPPLIES</v>
      </c>
      <c r="C80" s="11"/>
      <c r="D80" s="6">
        <v>583.25</v>
      </c>
      <c r="E80" s="2"/>
      <c r="F80" s="7">
        <f t="shared" si="53"/>
        <v>5.7004841966353803E-3</v>
      </c>
      <c r="G80" s="2"/>
      <c r="H80" s="6">
        <v>72</v>
      </c>
      <c r="I80" s="2"/>
      <c r="J80" s="7">
        <f t="shared" si="54"/>
        <v>1.1223416286330549E-3</v>
      </c>
      <c r="K80" s="2"/>
      <c r="L80" s="6">
        <f t="shared" si="55"/>
        <v>511.25</v>
      </c>
      <c r="M80" s="2"/>
      <c r="N80" s="7">
        <f t="shared" si="56"/>
        <v>7.1006944444444446</v>
      </c>
      <c r="O80" s="11"/>
      <c r="P80" s="6">
        <v>5032.1000000000004</v>
      </c>
      <c r="Q80" s="2"/>
      <c r="R80" s="7">
        <f t="shared" si="57"/>
        <v>1.0375412575277979E-2</v>
      </c>
      <c r="S80" s="2"/>
      <c r="T80" s="6">
        <v>340.05</v>
      </c>
      <c r="U80" s="2"/>
      <c r="V80" s="7">
        <f t="shared" si="58"/>
        <v>2.7862904187252483E-3</v>
      </c>
      <c r="W80" s="2"/>
      <c r="X80" s="6">
        <f t="shared" si="59"/>
        <v>4692.05</v>
      </c>
      <c r="Y80" s="2"/>
      <c r="Z80" s="7">
        <f t="shared" si="60"/>
        <v>13.798117923834731</v>
      </c>
    </row>
    <row r="81" spans="1:26" s="24" customFormat="1" hidden="1" outlineLevel="2" x14ac:dyDescent="0.3">
      <c r="A81" s="27"/>
      <c r="B81" s="11" t="str">
        <f>CONCATENATE("          ", "6239", " - ", "KITCHEN SUPPLIES")</f>
        <v xml:space="preserve">          6239 - KITCHEN SUPPLIES</v>
      </c>
      <c r="C81" s="11"/>
      <c r="D81" s="6">
        <v>291.81</v>
      </c>
      <c r="E81" s="2"/>
      <c r="F81" s="7">
        <f t="shared" si="53"/>
        <v>2.8520502244666446E-3</v>
      </c>
      <c r="G81" s="2"/>
      <c r="H81" s="6"/>
      <c r="I81" s="2"/>
      <c r="J81" s="7">
        <f t="shared" si="54"/>
        <v>0</v>
      </c>
      <c r="K81" s="2"/>
      <c r="L81" s="6">
        <f t="shared" si="55"/>
        <v>291.81</v>
      </c>
      <c r="M81" s="2"/>
      <c r="N81" s="7">
        <f t="shared" si="56"/>
        <v>0</v>
      </c>
      <c r="O81" s="11"/>
      <c r="P81" s="6">
        <v>2283.86</v>
      </c>
      <c r="Q81" s="2"/>
      <c r="R81" s="7">
        <f t="shared" si="57"/>
        <v>4.7089663886199324E-3</v>
      </c>
      <c r="S81" s="2"/>
      <c r="T81" s="6">
        <v>19.829999999999998</v>
      </c>
      <c r="U81" s="2"/>
      <c r="V81" s="7">
        <f t="shared" si="58"/>
        <v>1.6248239671613488E-4</v>
      </c>
      <c r="W81" s="2"/>
      <c r="X81" s="6">
        <f t="shared" si="59"/>
        <v>2264.0300000000002</v>
      </c>
      <c r="Y81" s="2"/>
      <c r="Z81" s="7">
        <f t="shared" si="60"/>
        <v>114.17196167423099</v>
      </c>
    </row>
    <row r="82" spans="1:26" s="24" customFormat="1" hidden="1" outlineLevel="2" x14ac:dyDescent="0.3">
      <c r="A82" s="27"/>
      <c r="B82" s="11" t="str">
        <f>CONCATENATE("          ", "6241", " - ", "OFFICE EXPENSE")</f>
        <v xml:space="preserve">          6241 - OFFICE EXPENSE</v>
      </c>
      <c r="C82" s="11"/>
      <c r="D82" s="6">
        <v>250.7</v>
      </c>
      <c r="E82" s="2"/>
      <c r="F82" s="7">
        <f t="shared" si="53"/>
        <v>2.4502552732044401E-3</v>
      </c>
      <c r="G82" s="2"/>
      <c r="H82" s="6"/>
      <c r="I82" s="2"/>
      <c r="J82" s="7">
        <f t="shared" si="54"/>
        <v>0</v>
      </c>
      <c r="K82" s="2"/>
      <c r="L82" s="6">
        <f t="shared" si="55"/>
        <v>250.7</v>
      </c>
      <c r="M82" s="2"/>
      <c r="N82" s="7">
        <f t="shared" si="56"/>
        <v>0</v>
      </c>
      <c r="O82" s="11"/>
      <c r="P82" s="6">
        <v>6426.58</v>
      </c>
      <c r="Q82" s="2"/>
      <c r="R82" s="7">
        <f t="shared" si="57"/>
        <v>1.3250614842318304E-2</v>
      </c>
      <c r="S82" s="2"/>
      <c r="T82" s="6">
        <v>-29123.33</v>
      </c>
      <c r="U82" s="2"/>
      <c r="V82" s="7">
        <f t="shared" si="58"/>
        <v>-0.23862977603403498</v>
      </c>
      <c r="W82" s="2"/>
      <c r="X82" s="6">
        <f t="shared" si="59"/>
        <v>35549.910000000003</v>
      </c>
      <c r="Y82" s="2"/>
      <c r="Z82" s="7">
        <f t="shared" si="60"/>
        <v>-1.2206677601771501</v>
      </c>
    </row>
    <row r="83" spans="1:26" s="24" customFormat="1" hidden="1" outlineLevel="2" x14ac:dyDescent="0.3">
      <c r="A83" s="27"/>
      <c r="B83" s="11" t="str">
        <f>CONCATENATE("          ", "6243", " - ", "PAPER SUPPLIES")</f>
        <v xml:space="preserve">          6243 - PAPER SUPPLIES</v>
      </c>
      <c r="C83" s="11"/>
      <c r="D83" s="6"/>
      <c r="E83" s="2"/>
      <c r="F83" s="7">
        <f t="shared" si="53"/>
        <v>0</v>
      </c>
      <c r="G83" s="2"/>
      <c r="H83" s="6"/>
      <c r="I83" s="2"/>
      <c r="J83" s="7">
        <f t="shared" si="54"/>
        <v>0</v>
      </c>
      <c r="K83" s="2"/>
      <c r="L83" s="6">
        <f t="shared" si="55"/>
        <v>0</v>
      </c>
      <c r="M83" s="2"/>
      <c r="N83" s="7">
        <f t="shared" si="56"/>
        <v>0</v>
      </c>
      <c r="O83" s="11"/>
      <c r="P83" s="6">
        <v>1185.5899999999999</v>
      </c>
      <c r="Q83" s="2"/>
      <c r="R83" s="7">
        <f t="shared" si="57"/>
        <v>2.4445033674060168E-3</v>
      </c>
      <c r="S83" s="2"/>
      <c r="T83" s="6"/>
      <c r="U83" s="2"/>
      <c r="V83" s="7">
        <f t="shared" si="58"/>
        <v>0</v>
      </c>
      <c r="W83" s="2"/>
      <c r="X83" s="6">
        <f t="shared" si="59"/>
        <v>1185.5899999999999</v>
      </c>
      <c r="Y83" s="2"/>
      <c r="Z83" s="7">
        <f t="shared" si="60"/>
        <v>0</v>
      </c>
    </row>
    <row r="84" spans="1:26" s="24" customFormat="1" hidden="1" outlineLevel="2" x14ac:dyDescent="0.3">
      <c r="A84" s="27"/>
      <c r="B84" s="11" t="str">
        <f>CONCATENATE("          ", "6245", " - ", "PRINTING")</f>
        <v xml:space="preserve">          6245 - PRINTING</v>
      </c>
      <c r="C84" s="11"/>
      <c r="D84" s="6"/>
      <c r="E84" s="2"/>
      <c r="F84" s="7">
        <f t="shared" si="53"/>
        <v>0</v>
      </c>
      <c r="G84" s="2"/>
      <c r="H84" s="6"/>
      <c r="I84" s="2"/>
      <c r="J84" s="7">
        <f t="shared" si="54"/>
        <v>0</v>
      </c>
      <c r="K84" s="2"/>
      <c r="L84" s="6">
        <f t="shared" si="55"/>
        <v>0</v>
      </c>
      <c r="M84" s="2"/>
      <c r="N84" s="7">
        <f t="shared" si="56"/>
        <v>0</v>
      </c>
      <c r="O84" s="11"/>
      <c r="P84" s="6">
        <v>1071</v>
      </c>
      <c r="Q84" s="2"/>
      <c r="R84" s="7">
        <f t="shared" si="57"/>
        <v>2.2082364953245593E-3</v>
      </c>
      <c r="S84" s="2"/>
      <c r="T84" s="6"/>
      <c r="U84" s="2"/>
      <c r="V84" s="7">
        <f t="shared" si="58"/>
        <v>0</v>
      </c>
      <c r="W84" s="2"/>
      <c r="X84" s="6">
        <f t="shared" si="59"/>
        <v>1071</v>
      </c>
      <c r="Y84" s="2"/>
      <c r="Z84" s="7">
        <f t="shared" si="60"/>
        <v>0</v>
      </c>
    </row>
    <row r="85" spans="1:26" s="24" customFormat="1" hidden="1" outlineLevel="2" x14ac:dyDescent="0.3">
      <c r="A85" s="27"/>
      <c r="B85" s="11" t="str">
        <f>CONCATENATE("          ", "6247", " - ", "STORE SUPPLIES")</f>
        <v xml:space="preserve">          6247 - STORE SUPPLIES</v>
      </c>
      <c r="C85" s="11"/>
      <c r="D85" s="6">
        <v>-60</v>
      </c>
      <c r="E85" s="2"/>
      <c r="F85" s="7">
        <f t="shared" si="53"/>
        <v>-5.8641929155271808E-4</v>
      </c>
      <c r="G85" s="2"/>
      <c r="H85" s="6"/>
      <c r="I85" s="2"/>
      <c r="J85" s="7">
        <f t="shared" si="54"/>
        <v>0</v>
      </c>
      <c r="K85" s="2"/>
      <c r="L85" s="6">
        <f t="shared" si="55"/>
        <v>-60</v>
      </c>
      <c r="M85" s="2"/>
      <c r="N85" s="7">
        <f t="shared" si="56"/>
        <v>0</v>
      </c>
      <c r="O85" s="11"/>
      <c r="P85" s="6">
        <v>500.61</v>
      </c>
      <c r="Q85" s="2"/>
      <c r="R85" s="7">
        <f t="shared" si="57"/>
        <v>1.0321804593131909E-3</v>
      </c>
      <c r="S85" s="2"/>
      <c r="T85" s="6"/>
      <c r="U85" s="2"/>
      <c r="V85" s="7">
        <f t="shared" si="58"/>
        <v>0</v>
      </c>
      <c r="W85" s="2"/>
      <c r="X85" s="6">
        <f t="shared" si="59"/>
        <v>500.61</v>
      </c>
      <c r="Y85" s="2"/>
      <c r="Z85" s="7">
        <f t="shared" si="60"/>
        <v>0</v>
      </c>
    </row>
    <row r="86" spans="1:26" s="24" customFormat="1" hidden="1" outlineLevel="2" x14ac:dyDescent="0.3">
      <c r="A86" s="27"/>
      <c r="B86" s="11" t="str">
        <f>CONCATENATE("          ", "6248", " - ", "UNIFORMS")</f>
        <v xml:space="preserve">          6248 - UNIFORMS</v>
      </c>
      <c r="C86" s="11"/>
      <c r="D86" s="6">
        <v>252.95</v>
      </c>
      <c r="E86" s="2"/>
      <c r="F86" s="7">
        <f t="shared" si="53"/>
        <v>2.4722459966376674E-3</v>
      </c>
      <c r="G86" s="2"/>
      <c r="H86" s="6"/>
      <c r="I86" s="2"/>
      <c r="J86" s="7">
        <f t="shared" si="54"/>
        <v>0</v>
      </c>
      <c r="K86" s="2"/>
      <c r="L86" s="6">
        <f t="shared" si="55"/>
        <v>252.95</v>
      </c>
      <c r="M86" s="2"/>
      <c r="N86" s="7">
        <f t="shared" si="56"/>
        <v>0</v>
      </c>
      <c r="O86" s="11"/>
      <c r="P86" s="6">
        <v>252.95</v>
      </c>
      <c r="Q86" s="2"/>
      <c r="R86" s="7">
        <f t="shared" si="57"/>
        <v>5.2154381091722428E-4</v>
      </c>
      <c r="S86" s="2"/>
      <c r="T86" s="6"/>
      <c r="U86" s="2"/>
      <c r="V86" s="7">
        <f t="shared" si="58"/>
        <v>0</v>
      </c>
      <c r="W86" s="2"/>
      <c r="X86" s="6">
        <f t="shared" si="59"/>
        <v>252.95</v>
      </c>
      <c r="Y86" s="2"/>
      <c r="Z86" s="7">
        <f t="shared" si="60"/>
        <v>0</v>
      </c>
    </row>
    <row r="87" spans="1:26" s="29" customFormat="1" outlineLevel="1" collapsed="1" x14ac:dyDescent="0.3">
      <c r="A87" s="28"/>
      <c r="B87" s="14" t="str">
        <f>CONCATENATE("     ","Telephone/Data Lines                              ")</f>
        <v xml:space="preserve">     Telephone/Data Lines                              </v>
      </c>
      <c r="C87" s="14"/>
      <c r="D87" s="1">
        <f>SUM(OSRRefD22_18x_0)</f>
        <v>586.1</v>
      </c>
      <c r="E87" s="1"/>
      <c r="F87" s="5">
        <f t="shared" ref="F87:F93" si="61">IF(D$12=0,0,D87/D$12)</f>
        <v>5.7283391129841349E-3</v>
      </c>
      <c r="G87" s="1"/>
      <c r="H87" s="1">
        <f>SUM(OSRRefH22_18x_0)</f>
        <v>622.1</v>
      </c>
      <c r="I87" s="1"/>
      <c r="J87" s="5">
        <f t="shared" ref="J87:J93" si="62">IF(H$12=0,0,H87/H$12)</f>
        <v>9.6973434329531046E-3</v>
      </c>
      <c r="K87" s="1"/>
      <c r="L87" s="1">
        <f t="shared" ref="L87:L93" si="63">+D87-H87</f>
        <v>-36</v>
      </c>
      <c r="M87" s="1"/>
      <c r="N87" s="5">
        <f t="shared" ref="N87:N93" si="64">IF(H87=0,0,L87/H87)</f>
        <v>-5.7868509885870438E-2</v>
      </c>
      <c r="O87" s="14"/>
      <c r="P87" s="1">
        <f>SUM(OSRRefP22_18x_0)</f>
        <v>3467.49</v>
      </c>
      <c r="Q87" s="1"/>
      <c r="R87" s="5">
        <f t="shared" ref="R87:R93" si="65">IF(P$12=0,0,P87/P$12)</f>
        <v>7.149428538910322E-3</v>
      </c>
      <c r="S87" s="1"/>
      <c r="T87" s="1">
        <f>SUM(OSRRefT22_18x_0)</f>
        <v>4058.17</v>
      </c>
      <c r="U87" s="1"/>
      <c r="V87" s="5">
        <f t="shared" ref="V87:V93" si="66">IF(T$12=0,0,T87/T$12)</f>
        <v>3.3251698834166274E-2</v>
      </c>
      <c r="W87" s="1"/>
      <c r="X87" s="1">
        <f t="shared" ref="X87:X93" si="67">+P87-T87</f>
        <v>-590.68000000000029</v>
      </c>
      <c r="Y87" s="1"/>
      <c r="Z87" s="5">
        <f t="shared" ref="Z87:Z93" si="68">IF(T87=0,0,X87/T87)</f>
        <v>-0.14555329126182498</v>
      </c>
    </row>
    <row r="88" spans="1:26" s="24" customFormat="1" hidden="1" outlineLevel="2" x14ac:dyDescent="0.3">
      <c r="A88" s="27"/>
      <c r="B88" s="11" t="str">
        <f>CONCATENATE("          ", "6309", " - ", "TELEPHONE")</f>
        <v xml:space="preserve">          6309 - TELEPHONE</v>
      </c>
      <c r="C88" s="11"/>
      <c r="D88" s="6">
        <v>586.1</v>
      </c>
      <c r="E88" s="2"/>
      <c r="F88" s="7">
        <f t="shared" si="61"/>
        <v>5.7283391129841349E-3</v>
      </c>
      <c r="G88" s="2"/>
      <c r="H88" s="6">
        <v>622.1</v>
      </c>
      <c r="I88" s="2"/>
      <c r="J88" s="7">
        <f t="shared" si="62"/>
        <v>9.6973434329531046E-3</v>
      </c>
      <c r="K88" s="2"/>
      <c r="L88" s="6">
        <f t="shared" si="63"/>
        <v>-36</v>
      </c>
      <c r="M88" s="2"/>
      <c r="N88" s="7">
        <f t="shared" si="64"/>
        <v>-5.7868509885870438E-2</v>
      </c>
      <c r="O88" s="11"/>
      <c r="P88" s="6">
        <v>3467.49</v>
      </c>
      <c r="Q88" s="2"/>
      <c r="R88" s="7">
        <f t="shared" si="65"/>
        <v>7.149428538910322E-3</v>
      </c>
      <c r="S88" s="2"/>
      <c r="T88" s="6">
        <v>4058.17</v>
      </c>
      <c r="U88" s="2"/>
      <c r="V88" s="7">
        <f t="shared" si="66"/>
        <v>3.3251698834166274E-2</v>
      </c>
      <c r="W88" s="2"/>
      <c r="X88" s="6">
        <f t="shared" si="67"/>
        <v>-590.68000000000029</v>
      </c>
      <c r="Y88" s="2"/>
      <c r="Z88" s="7">
        <f t="shared" si="68"/>
        <v>-0.14555329126182498</v>
      </c>
    </row>
    <row r="89" spans="1:26" s="29" customFormat="1" outlineLevel="1" collapsed="1" x14ac:dyDescent="0.3">
      <c r="A89" s="28"/>
      <c r="B89" s="14" t="str">
        <f>CONCATENATE("     ","Training                                          ")</f>
        <v xml:space="preserve">     Training                                          </v>
      </c>
      <c r="C89" s="14"/>
      <c r="D89" s="1">
        <f>SUM(OSRRefD22_19x_0)</f>
        <v>0</v>
      </c>
      <c r="E89" s="1"/>
      <c r="F89" s="5">
        <f t="shared" si="61"/>
        <v>0</v>
      </c>
      <c r="G89" s="1"/>
      <c r="H89" s="1">
        <f>SUM(OSRRefH22_19x_0)</f>
        <v>400</v>
      </c>
      <c r="I89" s="1"/>
      <c r="J89" s="5">
        <f t="shared" si="62"/>
        <v>6.2352312701836384E-3</v>
      </c>
      <c r="K89" s="1"/>
      <c r="L89" s="1">
        <f t="shared" si="63"/>
        <v>-400</v>
      </c>
      <c r="M89" s="1"/>
      <c r="N89" s="5">
        <f t="shared" si="64"/>
        <v>-1</v>
      </c>
      <c r="O89" s="14"/>
      <c r="P89" s="1">
        <f>SUM(OSRRefP22_19x_0)</f>
        <v>0</v>
      </c>
      <c r="Q89" s="1"/>
      <c r="R89" s="5">
        <f t="shared" si="65"/>
        <v>0</v>
      </c>
      <c r="S89" s="1"/>
      <c r="T89" s="1">
        <f>SUM(OSRRefT22_19x_0)</f>
        <v>400</v>
      </c>
      <c r="U89" s="1"/>
      <c r="V89" s="5">
        <f t="shared" si="66"/>
        <v>3.2775067416265236E-3</v>
      </c>
      <c r="W89" s="1"/>
      <c r="X89" s="1">
        <f t="shared" si="67"/>
        <v>-400</v>
      </c>
      <c r="Y89" s="1"/>
      <c r="Z89" s="5">
        <f t="shared" si="68"/>
        <v>-1</v>
      </c>
    </row>
    <row r="90" spans="1:26" s="24" customFormat="1" hidden="1" outlineLevel="2" x14ac:dyDescent="0.3">
      <c r="A90" s="27"/>
      <c r="B90" s="11" t="str">
        <f>CONCATENATE("          ", "6376", " - ", "TRAINING")</f>
        <v xml:space="preserve">          6376 - TRAINING</v>
      </c>
      <c r="C90" s="11"/>
      <c r="D90" s="6"/>
      <c r="E90" s="2"/>
      <c r="F90" s="7">
        <f t="shared" si="61"/>
        <v>0</v>
      </c>
      <c r="G90" s="2"/>
      <c r="H90" s="6">
        <v>400</v>
      </c>
      <c r="I90" s="2"/>
      <c r="J90" s="7">
        <f t="shared" si="62"/>
        <v>6.2352312701836384E-3</v>
      </c>
      <c r="K90" s="2"/>
      <c r="L90" s="6">
        <f t="shared" si="63"/>
        <v>-400</v>
      </c>
      <c r="M90" s="2"/>
      <c r="N90" s="7">
        <f t="shared" si="64"/>
        <v>-1</v>
      </c>
      <c r="O90" s="11"/>
      <c r="P90" s="6"/>
      <c r="Q90" s="2"/>
      <c r="R90" s="7">
        <f t="shared" si="65"/>
        <v>0</v>
      </c>
      <c r="S90" s="2"/>
      <c r="T90" s="6">
        <v>400</v>
      </c>
      <c r="U90" s="2"/>
      <c r="V90" s="7">
        <f t="shared" si="66"/>
        <v>3.2775067416265236E-3</v>
      </c>
      <c r="W90" s="2"/>
      <c r="X90" s="6">
        <f t="shared" si="67"/>
        <v>-400</v>
      </c>
      <c r="Y90" s="2"/>
      <c r="Z90" s="7">
        <f t="shared" si="68"/>
        <v>-1</v>
      </c>
    </row>
    <row r="91" spans="1:26" s="29" customFormat="1" outlineLevel="1" collapsed="1" x14ac:dyDescent="0.3">
      <c r="A91" s="28"/>
      <c r="B91" s="14" t="str">
        <f>CONCATENATE("     ","Travel                                            ")</f>
        <v xml:space="preserve">     Travel                                            </v>
      </c>
      <c r="C91" s="14"/>
      <c r="D91" s="1">
        <f>SUM(OSRRefD22_20x_0)</f>
        <v>18.59</v>
      </c>
      <c r="E91" s="1"/>
      <c r="F91" s="5">
        <f t="shared" si="61"/>
        <v>1.8169224383275049E-4</v>
      </c>
      <c r="G91" s="1"/>
      <c r="H91" s="1">
        <f>SUM(OSRRefH22_20x_0)</f>
        <v>0</v>
      </c>
      <c r="I91" s="1"/>
      <c r="J91" s="5">
        <f t="shared" si="62"/>
        <v>0</v>
      </c>
      <c r="K91" s="1"/>
      <c r="L91" s="1">
        <f t="shared" si="63"/>
        <v>18.59</v>
      </c>
      <c r="M91" s="1"/>
      <c r="N91" s="5">
        <f t="shared" si="64"/>
        <v>0</v>
      </c>
      <c r="O91" s="14"/>
      <c r="P91" s="1">
        <f>SUM(OSRRefP22_20x_0)</f>
        <v>18.59</v>
      </c>
      <c r="Q91" s="1"/>
      <c r="R91" s="5">
        <f t="shared" si="65"/>
        <v>3.8329707234438424E-5</v>
      </c>
      <c r="S91" s="1"/>
      <c r="T91" s="1">
        <f>SUM(OSRRefT22_20x_0)</f>
        <v>332.21</v>
      </c>
      <c r="U91" s="1"/>
      <c r="V91" s="5">
        <f t="shared" si="66"/>
        <v>2.7220512865893682E-3</v>
      </c>
      <c r="W91" s="1"/>
      <c r="X91" s="1">
        <f t="shared" si="67"/>
        <v>-313.62</v>
      </c>
      <c r="Y91" s="1"/>
      <c r="Z91" s="5">
        <f t="shared" si="68"/>
        <v>-0.94404141958399812</v>
      </c>
    </row>
    <row r="92" spans="1:26" s="24" customFormat="1" hidden="1" outlineLevel="2" x14ac:dyDescent="0.3">
      <c r="A92" s="27"/>
      <c r="B92" s="11" t="str">
        <f>CONCATENATE("          ", "6292", " - ", "TRAVEL/CONFERENCE")</f>
        <v xml:space="preserve">          6292 - TRAVEL/CONFERENCE</v>
      </c>
      <c r="C92" s="11"/>
      <c r="D92" s="6">
        <v>18.59</v>
      </c>
      <c r="E92" s="2"/>
      <c r="F92" s="7">
        <f t="shared" si="61"/>
        <v>1.8169224383275049E-4</v>
      </c>
      <c r="G92" s="2"/>
      <c r="H92" s="6"/>
      <c r="I92" s="2"/>
      <c r="J92" s="7">
        <f t="shared" si="62"/>
        <v>0</v>
      </c>
      <c r="K92" s="2"/>
      <c r="L92" s="6">
        <f t="shared" si="63"/>
        <v>18.59</v>
      </c>
      <c r="M92" s="2"/>
      <c r="N92" s="7">
        <f t="shared" si="64"/>
        <v>0</v>
      </c>
      <c r="O92" s="11"/>
      <c r="P92" s="6">
        <v>18.59</v>
      </c>
      <c r="Q92" s="2"/>
      <c r="R92" s="7">
        <f t="shared" si="65"/>
        <v>3.8329707234438424E-5</v>
      </c>
      <c r="S92" s="2"/>
      <c r="T92" s="6"/>
      <c r="U92" s="2"/>
      <c r="V92" s="7">
        <f t="shared" si="66"/>
        <v>0</v>
      </c>
      <c r="W92" s="2"/>
      <c r="X92" s="6">
        <f t="shared" si="67"/>
        <v>18.59</v>
      </c>
      <c r="Y92" s="2"/>
      <c r="Z92" s="7">
        <f t="shared" si="68"/>
        <v>0</v>
      </c>
    </row>
    <row r="93" spans="1:26" s="24" customFormat="1" hidden="1" outlineLevel="2" x14ac:dyDescent="0.3">
      <c r="A93" s="27"/>
      <c r="B93" s="11" t="str">
        <f>CONCATENATE("          ", "6298", " - ", "VEHICLE MILEAGE")</f>
        <v xml:space="preserve">          6298 - VEHICLE MILEAGE</v>
      </c>
      <c r="C93" s="11"/>
      <c r="D93" s="6"/>
      <c r="E93" s="2"/>
      <c r="F93" s="7">
        <f t="shared" si="61"/>
        <v>0</v>
      </c>
      <c r="G93" s="2"/>
      <c r="H93" s="6"/>
      <c r="I93" s="2"/>
      <c r="J93" s="7">
        <f t="shared" si="62"/>
        <v>0</v>
      </c>
      <c r="K93" s="2"/>
      <c r="L93" s="6">
        <f t="shared" si="63"/>
        <v>0</v>
      </c>
      <c r="M93" s="2"/>
      <c r="N93" s="7">
        <f t="shared" si="64"/>
        <v>0</v>
      </c>
      <c r="O93" s="11"/>
      <c r="P93" s="6"/>
      <c r="Q93" s="2"/>
      <c r="R93" s="7">
        <f t="shared" si="65"/>
        <v>0</v>
      </c>
      <c r="S93" s="2"/>
      <c r="T93" s="6">
        <v>332.21</v>
      </c>
      <c r="U93" s="2"/>
      <c r="V93" s="7">
        <f t="shared" si="66"/>
        <v>2.7220512865893682E-3</v>
      </c>
      <c r="W93" s="2"/>
      <c r="X93" s="6">
        <f t="shared" si="67"/>
        <v>-332.21</v>
      </c>
      <c r="Y93" s="2"/>
      <c r="Z93" s="7">
        <f t="shared" si="68"/>
        <v>-1</v>
      </c>
    </row>
    <row r="94" spans="1:26" s="29" customFormat="1" outlineLevel="1" collapsed="1" x14ac:dyDescent="0.3">
      <c r="A94" s="28"/>
      <c r="B94" s="14" t="str">
        <f>CONCATENATE("     ","Utilities                                         ")</f>
        <v xml:space="preserve">     Utilities                                         </v>
      </c>
      <c r="C94" s="14"/>
      <c r="D94" s="1">
        <f>SUM(OSRRefD22_21x_0)</f>
        <v>8150</v>
      </c>
      <c r="E94" s="1"/>
      <c r="F94" s="5">
        <f t="shared" ref="F94:F95" si="69">IF(D$12=0,0,D94/D$12)</f>
        <v>7.9655287102577535E-2</v>
      </c>
      <c r="G94" s="1"/>
      <c r="H94" s="1">
        <f>SUM(OSRRefH22_21x_0)</f>
        <v>3660</v>
      </c>
      <c r="I94" s="1"/>
      <c r="J94" s="5">
        <f t="shared" ref="J94:J95" si="70">IF(H$12=0,0,H94/H$12)</f>
        <v>5.7052366122180294E-2</v>
      </c>
      <c r="K94" s="1"/>
      <c r="L94" s="1">
        <f t="shared" ref="L94:L95" si="71">+D94-H94</f>
        <v>4490</v>
      </c>
      <c r="M94" s="1"/>
      <c r="N94" s="5">
        <f t="shared" ref="N94:N95" si="72">IF(H94=0,0,L94/H94)</f>
        <v>1.2267759562841529</v>
      </c>
      <c r="O94" s="14"/>
      <c r="P94" s="1">
        <f>SUM(OSRRefP22_21x_0)</f>
        <v>38350</v>
      </c>
      <c r="Q94" s="1"/>
      <c r="R94" s="5">
        <f t="shared" ref="R94:R95" si="73">IF(P$12=0,0,P94/P$12)</f>
        <v>7.9071773665449901E-2</v>
      </c>
      <c r="S94" s="1"/>
      <c r="T94" s="1">
        <f>SUM(OSRRefT22_21x_0)</f>
        <v>-2668</v>
      </c>
      <c r="U94" s="1"/>
      <c r="V94" s="5">
        <f t="shared" ref="V94:V95" si="74">IF(T$12=0,0,T94/T$12)</f>
        <v>-2.1860969966648911E-2</v>
      </c>
      <c r="W94" s="1"/>
      <c r="X94" s="1">
        <f t="shared" ref="X94:X95" si="75">+P94-T94</f>
        <v>41018</v>
      </c>
      <c r="Y94" s="1"/>
      <c r="Z94" s="5">
        <f t="shared" ref="Z94:Z95" si="76">IF(T94=0,0,X94/T94)</f>
        <v>-15.374062968515743</v>
      </c>
    </row>
    <row r="95" spans="1:26" s="24" customFormat="1" hidden="1" outlineLevel="2" x14ac:dyDescent="0.3">
      <c r="A95" s="27"/>
      <c r="B95" s="11" t="str">
        <f>CONCATENATE("          ", "6274", " - ", "UTILITIES")</f>
        <v xml:space="preserve">          6274 - UTILITIES</v>
      </c>
      <c r="C95" s="11"/>
      <c r="D95" s="6">
        <v>8150</v>
      </c>
      <c r="E95" s="2"/>
      <c r="F95" s="7">
        <f t="shared" si="69"/>
        <v>7.9655287102577535E-2</v>
      </c>
      <c r="G95" s="2"/>
      <c r="H95" s="6">
        <v>3660</v>
      </c>
      <c r="I95" s="2"/>
      <c r="J95" s="7">
        <f t="shared" si="70"/>
        <v>5.7052366122180294E-2</v>
      </c>
      <c r="K95" s="2"/>
      <c r="L95" s="6">
        <f t="shared" si="71"/>
        <v>4490</v>
      </c>
      <c r="M95" s="2"/>
      <c r="N95" s="7">
        <f t="shared" si="72"/>
        <v>1.2267759562841529</v>
      </c>
      <c r="O95" s="11"/>
      <c r="P95" s="6">
        <v>38350</v>
      </c>
      <c r="Q95" s="2"/>
      <c r="R95" s="7">
        <f t="shared" si="73"/>
        <v>7.9071773665449901E-2</v>
      </c>
      <c r="S95" s="2"/>
      <c r="T95" s="6">
        <v>-2668</v>
      </c>
      <c r="U95" s="2"/>
      <c r="V95" s="7">
        <f t="shared" si="74"/>
        <v>-2.1860969966648911E-2</v>
      </c>
      <c r="W95" s="2"/>
      <c r="X95" s="6">
        <f t="shared" si="75"/>
        <v>41018</v>
      </c>
      <c r="Y95" s="2"/>
      <c r="Z95" s="7">
        <f t="shared" si="76"/>
        <v>-15.374062968515743</v>
      </c>
    </row>
    <row r="96" spans="1:26" s="62" customFormat="1" x14ac:dyDescent="0.3">
      <c r="A96" s="37"/>
      <c r="B96" s="37"/>
      <c r="C96" s="37"/>
      <c r="D96" s="1"/>
      <c r="E96" s="1"/>
      <c r="F96" s="5"/>
      <c r="G96" s="1"/>
      <c r="H96" s="1"/>
      <c r="I96" s="1"/>
      <c r="J96" s="5"/>
      <c r="K96" s="1"/>
      <c r="L96" s="1"/>
      <c r="M96" s="1"/>
      <c r="N96" s="5"/>
      <c r="O96" s="37"/>
      <c r="P96" s="1"/>
      <c r="Q96" s="1"/>
      <c r="R96" s="5"/>
      <c r="S96" s="1"/>
      <c r="T96" s="1"/>
      <c r="U96" s="1"/>
      <c r="V96" s="5"/>
      <c r="W96" s="1"/>
      <c r="X96" s="1"/>
      <c r="Y96" s="1"/>
      <c r="Z96" s="5"/>
    </row>
    <row r="97" spans="1:26" s="23" customFormat="1" collapsed="1" x14ac:dyDescent="0.3">
      <c r="A97" s="10"/>
      <c r="B97" s="26" t="s">
        <v>292</v>
      </c>
      <c r="C97" s="10"/>
      <c r="D97" s="4">
        <f>SUM(OSRRefD25x_0)</f>
        <v>6011.63</v>
      </c>
      <c r="E97" s="4"/>
      <c r="F97" s="12">
        <f t="shared" ref="F97:F100" si="77">IF(D$12=0,0,D97/D$12)</f>
        <v>5.8755596761284445E-2</v>
      </c>
      <c r="G97" s="4"/>
      <c r="H97" s="4">
        <f>SUM(OSRRefH25x_0)</f>
        <v>173.47</v>
      </c>
      <c r="I97" s="4"/>
      <c r="J97" s="12">
        <f t="shared" ref="J97:J100" si="78">IF(H$12=0,0,H97/H$12)</f>
        <v>2.7040639210968893E-3</v>
      </c>
      <c r="K97" s="4"/>
      <c r="L97" s="4">
        <f t="shared" ref="L97:L100" si="79">+D97-H97</f>
        <v>5838.16</v>
      </c>
      <c r="M97" s="4"/>
      <c r="N97" s="12">
        <f t="shared" ref="N97:N100" si="80">IF(H97=0,0,L97/H97)</f>
        <v>33.655156511212311</v>
      </c>
      <c r="O97" s="10"/>
      <c r="P97" s="4">
        <f>SUM(OSRRefP25x_0)</f>
        <v>30018.35</v>
      </c>
      <c r="Q97" s="4"/>
      <c r="R97" s="12">
        <f t="shared" ref="R97:R100" si="81">IF(P$12=0,0,P97/P$12)</f>
        <v>6.189319887901585E-2</v>
      </c>
      <c r="S97" s="4"/>
      <c r="T97" s="4">
        <f>SUM(OSRRefT25x_0)</f>
        <v>4250.67</v>
      </c>
      <c r="U97" s="4"/>
      <c r="V97" s="12">
        <f t="shared" ref="V97:V100" si="82">IF(T$12=0,0,T97/T$12)</f>
        <v>3.4828998953574039E-2</v>
      </c>
      <c r="W97" s="4"/>
      <c r="X97" s="4">
        <f t="shared" ref="X97:X100" si="83">+P97-T97</f>
        <v>25767.68</v>
      </c>
      <c r="Y97" s="4"/>
      <c r="Z97" s="12">
        <f t="shared" ref="Z97:Z100" si="84">IF(T97=0,0,X97/T97)</f>
        <v>6.0620278685477818</v>
      </c>
    </row>
    <row r="98" spans="1:26" s="24" customFormat="1" hidden="1" outlineLevel="1" x14ac:dyDescent="0.3">
      <c r="A98" s="44"/>
      <c r="B98" s="11" t="str">
        <f>CONCATENATE("          ", "9150", " - ", "MISC. INCOME")</f>
        <v xml:space="preserve">          9150 - MISC. INCOME</v>
      </c>
      <c r="C98" s="11"/>
      <c r="D98" s="2">
        <f>--6011.63</f>
        <v>6011.63</v>
      </c>
      <c r="E98" s="2"/>
      <c r="F98" s="19">
        <f t="shared" si="77"/>
        <v>5.8755596761284445E-2</v>
      </c>
      <c r="G98" s="2"/>
      <c r="H98" s="2">
        <f t="shared" ref="H98:H99" si="85">0</f>
        <v>0</v>
      </c>
      <c r="I98" s="2"/>
      <c r="J98" s="19">
        <f t="shared" si="78"/>
        <v>0</v>
      </c>
      <c r="K98" s="2"/>
      <c r="L98" s="2">
        <f t="shared" si="79"/>
        <v>6011.63</v>
      </c>
      <c r="M98" s="2"/>
      <c r="N98" s="19">
        <f t="shared" si="80"/>
        <v>0</v>
      </c>
      <c r="O98" s="11"/>
      <c r="P98" s="2">
        <f>--30018.35</f>
        <v>30018.35</v>
      </c>
      <c r="Q98" s="2"/>
      <c r="R98" s="19">
        <f t="shared" si="81"/>
        <v>6.189319887901585E-2</v>
      </c>
      <c r="S98" s="2"/>
      <c r="T98" s="2">
        <f>--923.77</f>
        <v>923.77</v>
      </c>
      <c r="U98" s="2"/>
      <c r="V98" s="19">
        <f t="shared" si="82"/>
        <v>7.5691560067808342E-3</v>
      </c>
      <c r="W98" s="2"/>
      <c r="X98" s="2">
        <f t="shared" si="83"/>
        <v>29094.579999999998</v>
      </c>
      <c r="Y98" s="2"/>
      <c r="Z98" s="19">
        <f t="shared" si="84"/>
        <v>31.495480476742046</v>
      </c>
    </row>
    <row r="99" spans="1:26" s="24" customFormat="1" hidden="1" outlineLevel="1" x14ac:dyDescent="0.3">
      <c r="A99" s="44"/>
      <c r="B99" s="11" t="str">
        <f>CONCATENATE("          ", "9160", " - ", "MISC. INCOME")</f>
        <v xml:space="preserve">          9160 - MISC. INCOME</v>
      </c>
      <c r="C99" s="11"/>
      <c r="D99" s="2">
        <f t="shared" ref="D99:D100" si="86">0</f>
        <v>0</v>
      </c>
      <c r="E99" s="2"/>
      <c r="F99" s="19">
        <f t="shared" si="77"/>
        <v>0</v>
      </c>
      <c r="G99" s="2"/>
      <c r="H99" s="2">
        <f t="shared" si="85"/>
        <v>0</v>
      </c>
      <c r="I99" s="2"/>
      <c r="J99" s="19">
        <f t="shared" si="78"/>
        <v>0</v>
      </c>
      <c r="K99" s="2"/>
      <c r="L99" s="2">
        <f t="shared" si="79"/>
        <v>0</v>
      </c>
      <c r="M99" s="2"/>
      <c r="N99" s="19">
        <f t="shared" si="80"/>
        <v>0</v>
      </c>
      <c r="O99" s="11"/>
      <c r="P99" s="2">
        <f t="shared" ref="P99:P100" si="87">0</f>
        <v>0</v>
      </c>
      <c r="Q99" s="2"/>
      <c r="R99" s="19">
        <f t="shared" si="81"/>
        <v>0</v>
      </c>
      <c r="S99" s="2"/>
      <c r="T99" s="2">
        <f>--2328.25</f>
        <v>2328.25</v>
      </c>
      <c r="U99" s="2"/>
      <c r="V99" s="19">
        <f t="shared" si="82"/>
        <v>1.9077137677979885E-2</v>
      </c>
      <c r="W99" s="2"/>
      <c r="X99" s="2">
        <f t="shared" si="83"/>
        <v>-2328.25</v>
      </c>
      <c r="Y99" s="2"/>
      <c r="Z99" s="19">
        <f t="shared" si="84"/>
        <v>-1</v>
      </c>
    </row>
    <row r="100" spans="1:26" s="24" customFormat="1" hidden="1" outlineLevel="1" x14ac:dyDescent="0.3">
      <c r="A100" s="44"/>
      <c r="B100" s="11" t="str">
        <f>CONCATENATE("          ", "9165", " - ", "OTHER INCOME")</f>
        <v xml:space="preserve">          9165 - OTHER INCOME</v>
      </c>
      <c r="C100" s="11"/>
      <c r="D100" s="2">
        <f t="shared" si="86"/>
        <v>0</v>
      </c>
      <c r="E100" s="2"/>
      <c r="F100" s="19">
        <f t="shared" si="77"/>
        <v>0</v>
      </c>
      <c r="G100" s="2"/>
      <c r="H100" s="2">
        <f>--173.47</f>
        <v>173.47</v>
      </c>
      <c r="I100" s="2"/>
      <c r="J100" s="19">
        <f t="shared" si="78"/>
        <v>2.7040639210968893E-3</v>
      </c>
      <c r="K100" s="2"/>
      <c r="L100" s="2">
        <f t="shared" si="79"/>
        <v>-173.47</v>
      </c>
      <c r="M100" s="2"/>
      <c r="N100" s="19">
        <f t="shared" si="80"/>
        <v>-1</v>
      </c>
      <c r="O100" s="11"/>
      <c r="P100" s="2">
        <f t="shared" si="87"/>
        <v>0</v>
      </c>
      <c r="Q100" s="2"/>
      <c r="R100" s="19">
        <f t="shared" si="81"/>
        <v>0</v>
      </c>
      <c r="S100" s="2"/>
      <c r="T100" s="2">
        <f>--998.65</f>
        <v>998.65</v>
      </c>
      <c r="U100" s="2"/>
      <c r="V100" s="19">
        <f t="shared" si="82"/>
        <v>8.182705268813319E-3</v>
      </c>
      <c r="W100" s="2"/>
      <c r="X100" s="2">
        <f t="shared" si="83"/>
        <v>-998.65</v>
      </c>
      <c r="Y100" s="2"/>
      <c r="Z100" s="19">
        <f t="shared" si="84"/>
        <v>-1</v>
      </c>
    </row>
    <row r="101" spans="1:26" x14ac:dyDescent="0.3">
      <c r="A101" s="9"/>
      <c r="B101" s="10"/>
      <c r="C101" s="10"/>
      <c r="D101" s="3"/>
      <c r="E101" s="3"/>
      <c r="F101" s="8"/>
      <c r="G101" s="3"/>
      <c r="H101" s="3"/>
      <c r="I101" s="3"/>
      <c r="J101" s="8"/>
      <c r="K101" s="3"/>
      <c r="L101" s="3"/>
      <c r="M101" s="3"/>
      <c r="N101" s="8"/>
      <c r="O101" s="10"/>
      <c r="P101" s="3"/>
      <c r="Q101" s="3"/>
      <c r="R101" s="8"/>
      <c r="S101" s="3"/>
      <c r="T101" s="3"/>
      <c r="U101" s="3"/>
      <c r="V101" s="8"/>
      <c r="W101" s="3"/>
      <c r="X101" s="3"/>
      <c r="Y101" s="3"/>
      <c r="Z101" s="8"/>
    </row>
    <row r="102" spans="1:26" s="23" customFormat="1" x14ac:dyDescent="0.3">
      <c r="A102" s="10"/>
      <c r="B102" s="25" t="s">
        <v>276</v>
      </c>
      <c r="C102" s="25"/>
      <c r="D102" s="21">
        <f>+D23-D25+D97</f>
        <v>-98959.03</v>
      </c>
      <c r="E102" s="13"/>
      <c r="F102" s="22">
        <f>IF(D$12=0,0,D102/D$12)</f>
        <v>-0.96719140442240292</v>
      </c>
      <c r="G102" s="13"/>
      <c r="H102" s="21">
        <f>+H23-H25+H97</f>
        <v>-50395.870000000017</v>
      </c>
      <c r="I102" s="13"/>
      <c r="J102" s="22">
        <f>IF(H$12=0,0,H102/H$12)</f>
        <v>-0.78557476128027415</v>
      </c>
      <c r="K102" s="16"/>
      <c r="L102" s="21">
        <f>+D102-H102</f>
        <v>-48563.159999999982</v>
      </c>
      <c r="M102" s="16"/>
      <c r="N102" s="22">
        <f>IF(H102=0,0,L102/H102)</f>
        <v>0.96363372633511368</v>
      </c>
      <c r="O102" s="26"/>
      <c r="P102" s="21">
        <f>+P23-P25+P97</f>
        <v>-571012.30999999982</v>
      </c>
      <c r="Q102" s="13"/>
      <c r="R102" s="22">
        <f>IF(P$12=0,0,P102/P$12)</f>
        <v>-1.1773391430640339</v>
      </c>
      <c r="S102" s="13"/>
      <c r="T102" s="21">
        <f>+T23-T25+T97</f>
        <v>-447594.77000000008</v>
      </c>
      <c r="U102" s="13"/>
      <c r="V102" s="22">
        <f>IF(T$12=0,0,T102/T$12)</f>
        <v>-3.6674871904794339</v>
      </c>
      <c r="W102" s="16"/>
      <c r="X102" s="21">
        <f>+P102-T102</f>
        <v>-123417.53999999975</v>
      </c>
      <c r="Y102" s="16"/>
      <c r="Z102" s="22">
        <f>IF(T102=0,0,X102/T102)</f>
        <v>0.27573499127346757</v>
      </c>
    </row>
    <row r="103" spans="1:26" x14ac:dyDescent="0.3">
      <c r="A103" s="9"/>
      <c r="B103" s="10"/>
      <c r="C103" s="9"/>
      <c r="D103" s="3"/>
      <c r="E103" s="3"/>
      <c r="F103" s="8"/>
      <c r="G103" s="3"/>
      <c r="H103" s="3"/>
      <c r="I103" s="3"/>
      <c r="J103" s="8"/>
      <c r="K103" s="3"/>
      <c r="L103" s="3"/>
      <c r="M103" s="3"/>
      <c r="N103" s="8"/>
      <c r="P103" s="3"/>
      <c r="Q103" s="3"/>
      <c r="R103" s="8"/>
      <c r="S103" s="3"/>
      <c r="T103" s="3"/>
      <c r="U103" s="3"/>
      <c r="V103" s="8"/>
      <c r="W103" s="3"/>
      <c r="X103" s="3"/>
      <c r="Y103" s="3"/>
      <c r="Z103" s="8"/>
    </row>
    <row r="104" spans="1:26" s="23" customFormat="1" x14ac:dyDescent="0.3">
      <c r="A104" s="51"/>
      <c r="B104" s="10" t="s">
        <v>127</v>
      </c>
      <c r="C104" s="10"/>
      <c r="D104" s="4">
        <v>13534.08</v>
      </c>
      <c r="E104" s="4"/>
      <c r="F104" s="12">
        <f>IF(D$12=0,0,D104/D$12)</f>
        <v>0.13227742675696352</v>
      </c>
      <c r="G104" s="4"/>
      <c r="H104" s="4">
        <v>6852.04</v>
      </c>
      <c r="I104" s="4"/>
      <c r="J104" s="12">
        <f>IF(H$12=0,0,H104/H$12)</f>
        <v>0.10681013518137275</v>
      </c>
      <c r="K104" s="4"/>
      <c r="L104" s="4">
        <f>+D104-H104</f>
        <v>6682.04</v>
      </c>
      <c r="M104" s="4"/>
      <c r="N104" s="12">
        <f>IF(H104=0,0,L104/H104)</f>
        <v>0.97518987046193539</v>
      </c>
      <c r="O104" s="10"/>
      <c r="P104" s="4">
        <v>57769.48</v>
      </c>
      <c r="Q104" s="4"/>
      <c r="R104" s="12">
        <f>IF(P$12=0,0,P104/P$12)</f>
        <v>0.11911174047798527</v>
      </c>
      <c r="S104" s="4"/>
      <c r="T104" s="4">
        <v>19392.79</v>
      </c>
      <c r="U104" s="4"/>
      <c r="V104" s="12">
        <f>IF(T$12=0,0,T104/T$12)</f>
        <v>0.15889999990986858</v>
      </c>
      <c r="W104" s="4"/>
      <c r="X104" s="4">
        <f>+P104-T104</f>
        <v>38376.69</v>
      </c>
      <c r="Y104" s="4"/>
      <c r="Z104" s="12">
        <f>IF(T104=0,0,X104/T104)</f>
        <v>1.9789153597806195</v>
      </c>
    </row>
    <row r="105" spans="1:26" x14ac:dyDescent="0.3">
      <c r="A105" s="9"/>
      <c r="B105" s="10"/>
      <c r="C105" s="10"/>
      <c r="D105" s="3"/>
      <c r="E105" s="3"/>
      <c r="F105" s="8"/>
      <c r="G105" s="3"/>
      <c r="H105" s="3"/>
      <c r="I105" s="3"/>
      <c r="J105" s="8"/>
      <c r="K105" s="3"/>
      <c r="L105" s="3"/>
      <c r="M105" s="3"/>
      <c r="N105" s="8"/>
      <c r="O105" s="10"/>
      <c r="P105" s="3"/>
      <c r="Q105" s="3"/>
      <c r="R105" s="8"/>
      <c r="S105" s="3"/>
      <c r="T105" s="3"/>
      <c r="U105" s="3"/>
      <c r="V105" s="8"/>
      <c r="W105" s="3"/>
      <c r="X105" s="3"/>
      <c r="Y105" s="3"/>
      <c r="Z105" s="8"/>
    </row>
    <row r="106" spans="1:26" s="23" customFormat="1" ht="15" thickBot="1" x14ac:dyDescent="0.35">
      <c r="A106" s="10"/>
      <c r="B106" s="25" t="s">
        <v>125</v>
      </c>
      <c r="C106" s="25"/>
      <c r="D106" s="35">
        <f>+D102-D104</f>
        <v>-112493.11</v>
      </c>
      <c r="E106" s="13"/>
      <c r="F106" s="31">
        <f>IF(D$12=0,0,D106/D$12)</f>
        <v>-1.0994688311793666</v>
      </c>
      <c r="G106" s="13"/>
      <c r="H106" s="35">
        <f>+H102-H104</f>
        <v>-57247.910000000018</v>
      </c>
      <c r="I106" s="13"/>
      <c r="J106" s="31">
        <f>IF(H$12=0,0,H106/H$12)</f>
        <v>-0.89238489646164687</v>
      </c>
      <c r="K106" s="16"/>
      <c r="L106" s="35">
        <f>D106-H106</f>
        <v>-55245.199999999983</v>
      </c>
      <c r="M106" s="16"/>
      <c r="N106" s="31">
        <f>IF(H106=0,0,L106/H106)</f>
        <v>0.9650168888261591</v>
      </c>
      <c r="O106" s="26"/>
      <c r="P106" s="35">
        <f>+P102-P104</f>
        <v>-628781.7899999998</v>
      </c>
      <c r="Q106" s="13"/>
      <c r="R106" s="31">
        <f>IF(P$12=0,0,P106/P$12)</f>
        <v>-1.2964508835420192</v>
      </c>
      <c r="S106" s="13"/>
      <c r="T106" s="35">
        <f>+T102-T104</f>
        <v>-466987.56000000006</v>
      </c>
      <c r="U106" s="13"/>
      <c r="V106" s="31">
        <f>IF(T$12=0,0,T106/T$12)</f>
        <v>-3.8263871903893021</v>
      </c>
      <c r="W106" s="16"/>
      <c r="X106" s="35">
        <f>P106-T106</f>
        <v>-161794.22999999975</v>
      </c>
      <c r="Y106" s="16"/>
      <c r="Z106" s="31">
        <f>IF(T106=0,0,X106/T106)</f>
        <v>0.34646368310110814</v>
      </c>
    </row>
    <row r="107" spans="1:26" ht="15" thickTop="1" x14ac:dyDescent="0.3">
      <c r="A107" s="9"/>
      <c r="B107" s="9"/>
      <c r="C107" s="9"/>
      <c r="D107" s="3"/>
      <c r="E107" s="3"/>
      <c r="F107" s="8"/>
      <c r="G107" s="3"/>
      <c r="H107" s="3"/>
      <c r="I107" s="3"/>
      <c r="J107" s="8"/>
      <c r="K107" s="3"/>
      <c r="L107" s="3"/>
      <c r="M107" s="3"/>
      <c r="N107" s="8"/>
      <c r="P107" s="3"/>
      <c r="Q107" s="3"/>
      <c r="R107" s="8"/>
      <c r="S107" s="3"/>
      <c r="T107" s="3"/>
      <c r="U107" s="3"/>
      <c r="V107" s="8"/>
      <c r="W107" s="3"/>
      <c r="X107" s="3"/>
      <c r="Y107" s="3"/>
      <c r="Z107" s="8"/>
    </row>
    <row r="108" spans="1:26" x14ac:dyDescent="0.3">
      <c r="A108" s="9"/>
      <c r="B108" s="9"/>
      <c r="C108" s="9"/>
      <c r="D108" s="3"/>
      <c r="E108" s="3"/>
      <c r="F108" s="8"/>
      <c r="G108" s="3"/>
      <c r="H108" s="3"/>
      <c r="I108" s="3"/>
      <c r="J108" s="8"/>
      <c r="K108" s="3"/>
      <c r="L108" s="3"/>
      <c r="M108" s="3"/>
      <c r="N108" s="8"/>
      <c r="P108" s="3"/>
      <c r="Q108" s="3"/>
      <c r="R108" s="8"/>
      <c r="S108" s="3"/>
      <c r="T108" s="3"/>
      <c r="U108" s="3"/>
      <c r="V108" s="8"/>
      <c r="W108" s="3"/>
      <c r="X108" s="3"/>
      <c r="Y108" s="3"/>
      <c r="Z108" s="8"/>
    </row>
    <row r="109" spans="1:26" s="23" customFormat="1" ht="15" thickBot="1" x14ac:dyDescent="0.35">
      <c r="A109" s="10"/>
      <c r="B109" s="25" t="s">
        <v>293</v>
      </c>
      <c r="C109" s="25"/>
      <c r="D109" s="36">
        <f>SUM(D106:D108)</f>
        <v>-112493.11</v>
      </c>
      <c r="E109" s="13"/>
      <c r="F109" s="33">
        <f>IF(D$12=0,0,D109/D$12)</f>
        <v>-1.0994688311793666</v>
      </c>
      <c r="G109" s="13"/>
      <c r="H109" s="36">
        <f>SUM(H106:H108)</f>
        <v>-57247.910000000018</v>
      </c>
      <c r="I109" s="13"/>
      <c r="J109" s="33">
        <f>IF(H$12=0,0,H109/H$12)</f>
        <v>-0.89238489646164687</v>
      </c>
      <c r="K109" s="16"/>
      <c r="L109" s="36">
        <f>+D109-H109</f>
        <v>-55245.199999999983</v>
      </c>
      <c r="M109" s="16"/>
      <c r="N109" s="33">
        <f>IF(H109=0,0,L109/H109)</f>
        <v>0.9650168888261591</v>
      </c>
      <c r="O109" s="26"/>
      <c r="P109" s="36">
        <f>SUM(P106:P108)</f>
        <v>-628781.7899999998</v>
      </c>
      <c r="Q109" s="13"/>
      <c r="R109" s="33">
        <f>IF(P$12=0,0,P109/P$12)</f>
        <v>-1.2964508835420192</v>
      </c>
      <c r="S109" s="13"/>
      <c r="T109" s="36">
        <f>SUM(T106:T108)</f>
        <v>-466987.56000000006</v>
      </c>
      <c r="U109" s="13"/>
      <c r="V109" s="33">
        <f>IF(T$12=0,0,T109/T$12)</f>
        <v>-3.8263871903893021</v>
      </c>
      <c r="W109" s="16"/>
      <c r="X109" s="36">
        <f>+P109-T109</f>
        <v>-161794.22999999975</v>
      </c>
      <c r="Y109" s="16"/>
      <c r="Z109" s="33">
        <f>IF(T109=0,0,X109/T109)</f>
        <v>0.34646368310110814</v>
      </c>
    </row>
    <row r="110" spans="1:26" ht="15" thickTop="1" x14ac:dyDescent="0.3">
      <c r="A110" s="9"/>
      <c r="C110" s="9"/>
      <c r="D110" s="17"/>
      <c r="E110" s="17"/>
      <c r="G110" s="17"/>
      <c r="H110" s="17"/>
      <c r="I110" s="17"/>
      <c r="J110" s="42"/>
      <c r="K110" s="17"/>
      <c r="L110" s="17"/>
      <c r="M110" s="17"/>
      <c r="P110" s="17"/>
      <c r="Q110" s="17"/>
      <c r="R110" s="42"/>
      <c r="S110" s="17"/>
      <c r="T110" s="17"/>
      <c r="U110" s="17"/>
      <c r="V110" s="42"/>
      <c r="W110" s="17"/>
      <c r="X110" s="17"/>
    </row>
    <row r="111" spans="1:26" x14ac:dyDescent="0.3">
      <c r="A111" s="9"/>
      <c r="B111" s="52">
        <v>44543.76557693287</v>
      </c>
      <c r="D111" s="17"/>
      <c r="E111" s="17"/>
      <c r="G111" s="17"/>
      <c r="H111" s="17"/>
      <c r="I111" s="17"/>
      <c r="J111" s="42"/>
      <c r="K111" s="17"/>
      <c r="L111" s="17"/>
      <c r="M111" s="17"/>
      <c r="P111" s="17"/>
      <c r="Q111" s="17"/>
      <c r="R111" s="42"/>
      <c r="S111" s="17"/>
      <c r="T111" s="17"/>
      <c r="U111" s="17"/>
      <c r="V111" s="42"/>
      <c r="W111" s="17"/>
      <c r="X111" s="17"/>
    </row>
    <row r="112" spans="1:26" x14ac:dyDescent="0.3">
      <c r="A112" s="9"/>
      <c r="B112" s="59" t="s">
        <v>56</v>
      </c>
      <c r="D112" s="17"/>
      <c r="E112" s="17"/>
      <c r="G112" s="17"/>
      <c r="H112" s="17"/>
      <c r="I112" s="17"/>
      <c r="J112" s="42"/>
      <c r="K112" s="17"/>
      <c r="L112" s="17"/>
      <c r="M112" s="17"/>
      <c r="P112" s="17"/>
      <c r="Q112" s="17"/>
      <c r="R112" s="42"/>
      <c r="S112" s="17"/>
      <c r="T112" s="17"/>
      <c r="U112" s="17"/>
      <c r="V112" s="42"/>
      <c r="W112" s="17"/>
      <c r="X112" s="17"/>
    </row>
    <row r="113" spans="1:24" x14ac:dyDescent="0.3">
      <c r="A113" s="9"/>
      <c r="B113" s="61"/>
      <c r="D113" s="17"/>
      <c r="E113" s="17"/>
      <c r="G113" s="17"/>
      <c r="H113" s="17"/>
      <c r="I113" s="17"/>
      <c r="J113" s="42"/>
      <c r="K113" s="17"/>
      <c r="L113" s="17"/>
      <c r="M113" s="17"/>
      <c r="P113" s="17"/>
      <c r="Q113" s="17"/>
      <c r="R113" s="42"/>
      <c r="S113" s="17"/>
      <c r="T113" s="17"/>
      <c r="U113" s="17"/>
      <c r="V113" s="42"/>
      <c r="W113" s="17"/>
      <c r="X113" s="17"/>
    </row>
    <row r="114" spans="1:24" x14ac:dyDescent="0.3">
      <c r="D114" s="17"/>
      <c r="E114" s="17"/>
      <c r="G114" s="17"/>
      <c r="H114" s="17"/>
      <c r="I114" s="17"/>
      <c r="J114" s="42"/>
      <c r="K114" s="17"/>
      <c r="L114" s="17"/>
      <c r="M114" s="17"/>
      <c r="P114" s="17"/>
      <c r="Q114" s="17"/>
      <c r="R114" s="42"/>
      <c r="S114" s="17"/>
      <c r="T114" s="17"/>
      <c r="U114" s="17"/>
      <c r="V114" s="42"/>
      <c r="W114" s="17"/>
      <c r="X114" s="17"/>
    </row>
  </sheetData>
  <pageMargins left="0.25" right="0.25" top="0.75" bottom="0.75" header="0.3" footer="0.3"/>
  <pageSetup scale="55" fitToWidth="2" orientation="landscape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","405", " - ", "Caffeine Lab")</f>
        <v>Department 405 - Caffeine Lab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46287.99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4" si="0">+D12-H12</f>
        <v>46287.99</v>
      </c>
      <c r="M12" s="4"/>
      <c r="N12" s="12">
        <f t="shared" ref="N12:N14" si="1">IF(H12=0,0,L12/H12)</f>
        <v>0</v>
      </c>
      <c r="O12" s="10"/>
      <c r="P12" s="4">
        <f>SUM(OSRRefP13x_0)</f>
        <v>215312.21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4" si="2">+P12-T12</f>
        <v>215312.21</v>
      </c>
      <c r="Y12" s="4"/>
      <c r="Z12" s="12">
        <f t="shared" ref="Z12:Z14" si="3">IF(T12=0,0,X12/T12)</f>
        <v>0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--2650.64</f>
        <v>2650.64</v>
      </c>
      <c r="E13" s="2"/>
      <c r="F13" s="19"/>
      <c r="G13" s="2"/>
      <c r="H13" s="2">
        <f t="shared" ref="H13:H14" si="4">0</f>
        <v>0</v>
      </c>
      <c r="I13" s="2"/>
      <c r="J13" s="19"/>
      <c r="K13" s="2"/>
      <c r="L13" s="2">
        <f t="shared" si="0"/>
        <v>2650.64</v>
      </c>
      <c r="M13" s="2"/>
      <c r="N13" s="19">
        <f t="shared" si="1"/>
        <v>0</v>
      </c>
      <c r="O13" s="11"/>
      <c r="P13" s="2">
        <f>--20499.15</f>
        <v>20499.150000000001</v>
      </c>
      <c r="Q13" s="2"/>
      <c r="R13" s="19"/>
      <c r="S13" s="2"/>
      <c r="T13" s="2">
        <f t="shared" ref="T13:T14" si="5">0</f>
        <v>0</v>
      </c>
      <c r="U13" s="2"/>
      <c r="V13" s="19"/>
      <c r="W13" s="2"/>
      <c r="X13" s="2">
        <f t="shared" si="2"/>
        <v>20499.150000000001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--43637.35</f>
        <v>43637.35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43637.35</v>
      </c>
      <c r="M14" s="2"/>
      <c r="N14" s="19">
        <f t="shared" si="1"/>
        <v>0</v>
      </c>
      <c r="O14" s="11"/>
      <c r="P14" s="2">
        <f>--194813.06</f>
        <v>194813.06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194813.06</v>
      </c>
      <c r="Y14" s="2"/>
      <c r="Z14" s="19">
        <f t="shared" si="3"/>
        <v>0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20948.899999999998</v>
      </c>
      <c r="E16" s="4"/>
      <c r="F16" s="12">
        <f t="shared" ref="F16:F18" si="6">IF(D$12=0,0,D16/D$12)</f>
        <v>0.45257743963390934</v>
      </c>
      <c r="G16" s="4"/>
      <c r="H16" s="4">
        <f>SUM(OSRRefH16x_0)</f>
        <v>0</v>
      </c>
      <c r="I16" s="4"/>
      <c r="J16" s="12">
        <f t="shared" ref="J16:J18" si="7">IF(H$12=0,0,H16/H$12)</f>
        <v>0</v>
      </c>
      <c r="K16" s="4"/>
      <c r="L16" s="4">
        <f t="shared" ref="L16:L18" si="8">+D16-H16</f>
        <v>20948.899999999998</v>
      </c>
      <c r="M16" s="4"/>
      <c r="N16" s="12">
        <f t="shared" ref="N16:N18" si="9">IF(H16=0,0,L16/H16)</f>
        <v>0</v>
      </c>
      <c r="O16" s="10"/>
      <c r="P16" s="4">
        <f>SUM(OSRRefP16x_0)</f>
        <v>90053.62</v>
      </c>
      <c r="Q16" s="4"/>
      <c r="R16" s="12">
        <f t="shared" ref="R16:R18" si="10">IF(P$12=0,0,P16/P$12)</f>
        <v>0.41824669395200575</v>
      </c>
      <c r="S16" s="4"/>
      <c r="T16" s="4">
        <f>SUM(OSRRefT16x_0)</f>
        <v>0</v>
      </c>
      <c r="U16" s="4"/>
      <c r="V16" s="12">
        <f t="shared" ref="V16:V18" si="11">IF(T$12=0,0,T16/T$12)</f>
        <v>0</v>
      </c>
      <c r="W16" s="4"/>
      <c r="X16" s="4">
        <f t="shared" ref="X16:X18" si="12">+P16-T16</f>
        <v>90053.62</v>
      </c>
      <c r="Y16" s="4"/>
      <c r="Z16" s="12">
        <f t="shared" ref="Z16:Z18" si="13">IF(T16=0,0,X16/T16)</f>
        <v>0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18261.009999999998</v>
      </c>
      <c r="E17" s="2"/>
      <c r="F17" s="19">
        <f t="shared" si="6"/>
        <v>0.39450859715446707</v>
      </c>
      <c r="G17" s="2"/>
      <c r="H17" s="2"/>
      <c r="I17" s="2"/>
      <c r="J17" s="19">
        <f t="shared" si="7"/>
        <v>0</v>
      </c>
      <c r="K17" s="2"/>
      <c r="L17" s="2">
        <f t="shared" si="8"/>
        <v>18261.009999999998</v>
      </c>
      <c r="M17" s="2"/>
      <c r="N17" s="19">
        <f t="shared" si="9"/>
        <v>0</v>
      </c>
      <c r="O17" s="11"/>
      <c r="P17" s="2">
        <v>85343.59</v>
      </c>
      <c r="Q17" s="2"/>
      <c r="R17" s="19">
        <f t="shared" si="10"/>
        <v>0.39637134373382726</v>
      </c>
      <c r="S17" s="2"/>
      <c r="T17" s="2"/>
      <c r="U17" s="2"/>
      <c r="V17" s="19">
        <f t="shared" si="11"/>
        <v>0</v>
      </c>
      <c r="W17" s="2"/>
      <c r="X17" s="2">
        <f t="shared" si="12"/>
        <v>85343.59</v>
      </c>
      <c r="Y17" s="2"/>
      <c r="Z17" s="19">
        <f t="shared" si="13"/>
        <v>0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2687.89</v>
      </c>
      <c r="E18" s="2"/>
      <c r="F18" s="19">
        <f t="shared" si="6"/>
        <v>5.8068842479442294E-2</v>
      </c>
      <c r="G18" s="2"/>
      <c r="H18" s="2"/>
      <c r="I18" s="2"/>
      <c r="J18" s="19">
        <f t="shared" si="7"/>
        <v>0</v>
      </c>
      <c r="K18" s="2"/>
      <c r="L18" s="2">
        <f t="shared" si="8"/>
        <v>2687.89</v>
      </c>
      <c r="M18" s="2"/>
      <c r="N18" s="19">
        <f t="shared" si="9"/>
        <v>0</v>
      </c>
      <c r="O18" s="11"/>
      <c r="P18" s="2">
        <v>4710.03</v>
      </c>
      <c r="Q18" s="2"/>
      <c r="R18" s="19">
        <f t="shared" si="10"/>
        <v>2.1875350218178522E-2</v>
      </c>
      <c r="S18" s="2"/>
      <c r="T18" s="2"/>
      <c r="U18" s="2"/>
      <c r="V18" s="19">
        <f t="shared" si="11"/>
        <v>0</v>
      </c>
      <c r="W18" s="2"/>
      <c r="X18" s="2">
        <f t="shared" si="12"/>
        <v>4710.03</v>
      </c>
      <c r="Y18" s="2"/>
      <c r="Z18" s="19">
        <f t="shared" si="13"/>
        <v>0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25339.09</v>
      </c>
      <c r="E20" s="13"/>
      <c r="F20" s="22">
        <f>IF(D$12=0,0,D20/D$12)</f>
        <v>0.54742256036609072</v>
      </c>
      <c r="G20" s="13"/>
      <c r="H20" s="21">
        <f>H12-H16</f>
        <v>0</v>
      </c>
      <c r="I20" s="13"/>
      <c r="J20" s="22">
        <f>IF(H$12=0,0,H20/H$12)</f>
        <v>0</v>
      </c>
      <c r="K20" s="16"/>
      <c r="L20" s="21">
        <f>+D20-H20</f>
        <v>25339.09</v>
      </c>
      <c r="M20" s="16"/>
      <c r="N20" s="22">
        <f>IF(H20=0,0,L20/H20)</f>
        <v>0</v>
      </c>
      <c r="O20" s="26"/>
      <c r="P20" s="21">
        <f>P12-P16</f>
        <v>125258.59</v>
      </c>
      <c r="Q20" s="13"/>
      <c r="R20" s="22">
        <f>IF(P$12=0,0,P20/P$12)</f>
        <v>0.58175330604799425</v>
      </c>
      <c r="S20" s="13"/>
      <c r="T20" s="21">
        <f>T12-T16</f>
        <v>0</v>
      </c>
      <c r="U20" s="13"/>
      <c r="V20" s="22">
        <f>IF(T$12=0,0,T20/T$12)</f>
        <v>0</v>
      </c>
      <c r="W20" s="16"/>
      <c r="X20" s="21">
        <f>+P20-T20</f>
        <v>125258.59</v>
      </c>
      <c r="Y20" s="16"/>
      <c r="Z20" s="22">
        <f>IF(T20=0,0,X20/T20)</f>
        <v>0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34887.849999999991</v>
      </c>
      <c r="E22" s="20"/>
      <c r="F22" s="32">
        <f t="shared" ref="F22:F31" si="14">IF(D$12=0,0,D22/D$12)</f>
        <v>0.75371278813359566</v>
      </c>
      <c r="G22" s="20"/>
      <c r="H22" s="20">
        <f>SUM(OSRRefH22x_0)</f>
        <v>5768.84</v>
      </c>
      <c r="I22" s="20"/>
      <c r="J22" s="32">
        <f t="shared" ref="J22:J31" si="15">IF(H$12=0,0,H22/H$12)</f>
        <v>0</v>
      </c>
      <c r="K22" s="4"/>
      <c r="L22" s="20">
        <f t="shared" ref="L22:L31" si="16">+D22-H22</f>
        <v>29119.009999999991</v>
      </c>
      <c r="M22" s="4"/>
      <c r="N22" s="32">
        <f t="shared" ref="N22:N31" si="17">IF(H22=0,0,L22/H22)</f>
        <v>5.0476369599434188</v>
      </c>
      <c r="O22" s="10"/>
      <c r="P22" s="20">
        <f>SUM(OSRRefP22x_0)</f>
        <v>159816.66999999993</v>
      </c>
      <c r="Q22" s="20"/>
      <c r="R22" s="32">
        <f t="shared" ref="R22:R31" si="18">IF(P$12=0,0,P22/P$12)</f>
        <v>0.74225549029476745</v>
      </c>
      <c r="S22" s="20"/>
      <c r="T22" s="20">
        <f>SUM(OSRRefT22x_0)</f>
        <v>33871.68</v>
      </c>
      <c r="U22" s="20"/>
      <c r="V22" s="32">
        <f t="shared" ref="V22:V31" si="19">IF(T$12=0,0,T22/T$12)</f>
        <v>0</v>
      </c>
      <c r="W22" s="4"/>
      <c r="X22" s="20">
        <f t="shared" ref="X22:X31" si="20">+P22-T22</f>
        <v>125944.98999999993</v>
      </c>
      <c r="Y22" s="4"/>
      <c r="Z22" s="32">
        <f t="shared" ref="Z22:Z31" si="21">IF(T22=0,0,X22/T22)</f>
        <v>3.7182977047492161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5263.17</v>
      </c>
      <c r="E23" s="1"/>
      <c r="F23" s="5">
        <f t="shared" si="14"/>
        <v>0.11370487247339969</v>
      </c>
      <c r="G23" s="1"/>
      <c r="H23" s="1">
        <f>SUM(OSRRefH22_0x_0)</f>
        <v>0.83</v>
      </c>
      <c r="I23" s="1"/>
      <c r="J23" s="5">
        <f t="shared" si="15"/>
        <v>0</v>
      </c>
      <c r="K23" s="1"/>
      <c r="L23" s="1">
        <f t="shared" si="16"/>
        <v>5262.34</v>
      </c>
      <c r="M23" s="1"/>
      <c r="N23" s="5">
        <f t="shared" si="17"/>
        <v>6340.1686746987953</v>
      </c>
      <c r="O23" s="14"/>
      <c r="P23" s="1">
        <f>SUM(OSRRefP22_0x_0)</f>
        <v>19561.489999999998</v>
      </c>
      <c r="Q23" s="1"/>
      <c r="R23" s="5">
        <f t="shared" si="18"/>
        <v>9.0851745007865553E-2</v>
      </c>
      <c r="S23" s="1"/>
      <c r="T23" s="1">
        <f>SUM(OSRRefT22_0x_0)</f>
        <v>0.83</v>
      </c>
      <c r="U23" s="1"/>
      <c r="V23" s="5">
        <f t="shared" si="19"/>
        <v>0</v>
      </c>
      <c r="W23" s="1"/>
      <c r="X23" s="1">
        <f t="shared" si="20"/>
        <v>19560.659999999996</v>
      </c>
      <c r="Y23" s="1"/>
      <c r="Z23" s="5">
        <f t="shared" si="21"/>
        <v>23567.060240963852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781.67</v>
      </c>
      <c r="E24" s="2"/>
      <c r="F24" s="7">
        <f t="shared" si="14"/>
        <v>1.6887101816259464E-2</v>
      </c>
      <c r="G24" s="2"/>
      <c r="H24" s="6">
        <v>0.83</v>
      </c>
      <c r="I24" s="2"/>
      <c r="J24" s="7">
        <f t="shared" si="15"/>
        <v>0</v>
      </c>
      <c r="K24" s="2"/>
      <c r="L24" s="6">
        <f t="shared" si="16"/>
        <v>780.83999999999992</v>
      </c>
      <c r="M24" s="2"/>
      <c r="N24" s="7">
        <f t="shared" si="17"/>
        <v>940.77108433734929</v>
      </c>
      <c r="O24" s="11"/>
      <c r="P24" s="6">
        <v>3792.4</v>
      </c>
      <c r="Q24" s="2"/>
      <c r="R24" s="7">
        <f t="shared" si="18"/>
        <v>1.7613492518608213E-2</v>
      </c>
      <c r="S24" s="2"/>
      <c r="T24" s="6">
        <v>0.83</v>
      </c>
      <c r="U24" s="2"/>
      <c r="V24" s="7">
        <f t="shared" si="19"/>
        <v>0</v>
      </c>
      <c r="W24" s="2"/>
      <c r="X24" s="6">
        <f t="shared" si="20"/>
        <v>3791.57</v>
      </c>
      <c r="Y24" s="2"/>
      <c r="Z24" s="7">
        <f t="shared" si="21"/>
        <v>4568.1566265060246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700.9</v>
      </c>
      <c r="E25" s="2"/>
      <c r="F25" s="7">
        <f t="shared" si="14"/>
        <v>1.5142156745194596E-2</v>
      </c>
      <c r="G25" s="2"/>
      <c r="H25" s="6"/>
      <c r="I25" s="2"/>
      <c r="J25" s="7">
        <f t="shared" si="15"/>
        <v>0</v>
      </c>
      <c r="K25" s="2"/>
      <c r="L25" s="6">
        <f t="shared" si="16"/>
        <v>700.9</v>
      </c>
      <c r="M25" s="2"/>
      <c r="N25" s="7">
        <f t="shared" si="17"/>
        <v>0</v>
      </c>
      <c r="O25" s="11"/>
      <c r="P25" s="6">
        <v>3093.68</v>
      </c>
      <c r="Q25" s="2"/>
      <c r="R25" s="7">
        <f t="shared" si="18"/>
        <v>1.4368344461282526E-2</v>
      </c>
      <c r="S25" s="2"/>
      <c r="T25" s="6"/>
      <c r="U25" s="2"/>
      <c r="V25" s="7">
        <f t="shared" si="19"/>
        <v>0</v>
      </c>
      <c r="W25" s="2"/>
      <c r="X25" s="6">
        <f t="shared" si="20"/>
        <v>3093.68</v>
      </c>
      <c r="Y25" s="2"/>
      <c r="Z25" s="7">
        <f t="shared" si="21"/>
        <v>0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>
        <v>2055.31</v>
      </c>
      <c r="E26" s="2"/>
      <c r="F26" s="7">
        <f t="shared" si="14"/>
        <v>4.4402662548103732E-2</v>
      </c>
      <c r="G26" s="2"/>
      <c r="H26" s="6"/>
      <c r="I26" s="2"/>
      <c r="J26" s="7">
        <f t="shared" si="15"/>
        <v>0</v>
      </c>
      <c r="K26" s="2"/>
      <c r="L26" s="6">
        <f t="shared" si="16"/>
        <v>2055.31</v>
      </c>
      <c r="M26" s="2"/>
      <c r="N26" s="7">
        <f t="shared" si="17"/>
        <v>0</v>
      </c>
      <c r="O26" s="11"/>
      <c r="P26" s="6">
        <v>5520.22</v>
      </c>
      <c r="Q26" s="2"/>
      <c r="R26" s="7">
        <f t="shared" si="18"/>
        <v>2.5638211599797338E-2</v>
      </c>
      <c r="S26" s="2"/>
      <c r="T26" s="6"/>
      <c r="U26" s="2"/>
      <c r="V26" s="7">
        <f t="shared" si="19"/>
        <v>0</v>
      </c>
      <c r="W26" s="2"/>
      <c r="X26" s="6">
        <f t="shared" si="20"/>
        <v>5520.22</v>
      </c>
      <c r="Y26" s="2"/>
      <c r="Z26" s="7">
        <f t="shared" si="21"/>
        <v>0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50.62</v>
      </c>
      <c r="E27" s="2"/>
      <c r="F27" s="7">
        <f t="shared" si="14"/>
        <v>1.093588207221787E-3</v>
      </c>
      <c r="G27" s="2"/>
      <c r="H27" s="6"/>
      <c r="I27" s="2"/>
      <c r="J27" s="7">
        <f t="shared" si="15"/>
        <v>0</v>
      </c>
      <c r="K27" s="2"/>
      <c r="L27" s="6">
        <f t="shared" si="16"/>
        <v>50.62</v>
      </c>
      <c r="M27" s="2"/>
      <c r="N27" s="7">
        <f t="shared" si="17"/>
        <v>0</v>
      </c>
      <c r="O27" s="11"/>
      <c r="P27" s="6">
        <v>223.43</v>
      </c>
      <c r="Q27" s="2"/>
      <c r="R27" s="7">
        <f t="shared" si="18"/>
        <v>1.0377024136253119E-3</v>
      </c>
      <c r="S27" s="2"/>
      <c r="T27" s="6"/>
      <c r="U27" s="2"/>
      <c r="V27" s="7">
        <f t="shared" si="19"/>
        <v>0</v>
      </c>
      <c r="W27" s="2"/>
      <c r="X27" s="6">
        <f t="shared" si="20"/>
        <v>223.43</v>
      </c>
      <c r="Y27" s="2"/>
      <c r="Z27" s="7">
        <f t="shared" si="21"/>
        <v>0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>
        <v>408.69</v>
      </c>
      <c r="E28" s="2"/>
      <c r="F28" s="7">
        <f t="shared" si="14"/>
        <v>8.8292881155565411E-3</v>
      </c>
      <c r="G28" s="2"/>
      <c r="H28" s="6"/>
      <c r="I28" s="2"/>
      <c r="J28" s="7">
        <f t="shared" si="15"/>
        <v>0</v>
      </c>
      <c r="K28" s="2"/>
      <c r="L28" s="6">
        <f t="shared" si="16"/>
        <v>408.69</v>
      </c>
      <c r="M28" s="2"/>
      <c r="N28" s="7">
        <f t="shared" si="17"/>
        <v>0</v>
      </c>
      <c r="O28" s="11"/>
      <c r="P28" s="6">
        <v>2084.3200000000002</v>
      </c>
      <c r="Q28" s="2"/>
      <c r="R28" s="7">
        <f t="shared" si="18"/>
        <v>9.6804542575639353E-3</v>
      </c>
      <c r="S28" s="2"/>
      <c r="T28" s="6"/>
      <c r="U28" s="2"/>
      <c r="V28" s="7">
        <f t="shared" si="19"/>
        <v>0</v>
      </c>
      <c r="W28" s="2"/>
      <c r="X28" s="6">
        <f t="shared" si="20"/>
        <v>2084.3200000000002</v>
      </c>
      <c r="Y28" s="2"/>
      <c r="Z28" s="7">
        <f t="shared" si="21"/>
        <v>0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6">
        <v>393.94</v>
      </c>
      <c r="E29" s="2"/>
      <c r="F29" s="7">
        <f t="shared" si="14"/>
        <v>8.5106309433613352E-3</v>
      </c>
      <c r="G29" s="2"/>
      <c r="H29" s="6"/>
      <c r="I29" s="2"/>
      <c r="J29" s="7">
        <f t="shared" si="15"/>
        <v>0</v>
      </c>
      <c r="K29" s="2"/>
      <c r="L29" s="6">
        <f t="shared" si="16"/>
        <v>393.94</v>
      </c>
      <c r="M29" s="2"/>
      <c r="N29" s="7">
        <f t="shared" si="17"/>
        <v>0</v>
      </c>
      <c r="O29" s="11"/>
      <c r="P29" s="6">
        <v>1573.19</v>
      </c>
      <c r="Q29" s="2"/>
      <c r="R29" s="7">
        <f t="shared" si="18"/>
        <v>7.3065526567211402E-3</v>
      </c>
      <c r="S29" s="2"/>
      <c r="T29" s="6"/>
      <c r="U29" s="2"/>
      <c r="V29" s="7">
        <f t="shared" si="19"/>
        <v>0</v>
      </c>
      <c r="W29" s="2"/>
      <c r="X29" s="6">
        <f t="shared" si="20"/>
        <v>1573.19</v>
      </c>
      <c r="Y29" s="2"/>
      <c r="Z29" s="7">
        <f t="shared" si="21"/>
        <v>0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6">
        <v>395.22</v>
      </c>
      <c r="E30" s="2"/>
      <c r="F30" s="7">
        <f t="shared" si="14"/>
        <v>8.5382839047450539E-3</v>
      </c>
      <c r="G30" s="2"/>
      <c r="H30" s="6"/>
      <c r="I30" s="2"/>
      <c r="J30" s="7">
        <f t="shared" si="15"/>
        <v>0</v>
      </c>
      <c r="K30" s="2"/>
      <c r="L30" s="6">
        <f t="shared" si="16"/>
        <v>395.22</v>
      </c>
      <c r="M30" s="2"/>
      <c r="N30" s="7">
        <f t="shared" si="17"/>
        <v>0</v>
      </c>
      <c r="O30" s="11"/>
      <c r="P30" s="6">
        <v>1808.04</v>
      </c>
      <c r="Q30" s="2"/>
      <c r="R30" s="7">
        <f t="shared" si="18"/>
        <v>8.3972943290118104E-3</v>
      </c>
      <c r="S30" s="2"/>
      <c r="T30" s="6"/>
      <c r="U30" s="2"/>
      <c r="V30" s="7">
        <f t="shared" si="19"/>
        <v>0</v>
      </c>
      <c r="W30" s="2"/>
      <c r="X30" s="6">
        <f t="shared" si="20"/>
        <v>1808.04</v>
      </c>
      <c r="Y30" s="2"/>
      <c r="Z30" s="7">
        <f t="shared" si="21"/>
        <v>0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6">
        <v>476.82</v>
      </c>
      <c r="E31" s="2"/>
      <c r="F31" s="7">
        <f t="shared" si="14"/>
        <v>1.030116019295718E-2</v>
      </c>
      <c r="G31" s="2"/>
      <c r="H31" s="6"/>
      <c r="I31" s="2"/>
      <c r="J31" s="7">
        <f t="shared" si="15"/>
        <v>0</v>
      </c>
      <c r="K31" s="2"/>
      <c r="L31" s="6">
        <f t="shared" si="16"/>
        <v>476.82</v>
      </c>
      <c r="M31" s="2"/>
      <c r="N31" s="7">
        <f t="shared" si="17"/>
        <v>0</v>
      </c>
      <c r="O31" s="11"/>
      <c r="P31" s="6">
        <v>1466.21</v>
      </c>
      <c r="Q31" s="2"/>
      <c r="R31" s="7">
        <f t="shared" si="18"/>
        <v>6.8096927712552862E-3</v>
      </c>
      <c r="S31" s="2"/>
      <c r="T31" s="6"/>
      <c r="U31" s="2"/>
      <c r="V31" s="7">
        <f t="shared" si="19"/>
        <v>0</v>
      </c>
      <c r="W31" s="2"/>
      <c r="X31" s="6">
        <f t="shared" si="20"/>
        <v>1466.21</v>
      </c>
      <c r="Y31" s="2"/>
      <c r="Z31" s="7">
        <f t="shared" si="21"/>
        <v>0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19197.949999999997</v>
      </c>
      <c r="E32" s="1"/>
      <c r="F32" s="5">
        <f t="shared" ref="F32:F36" si="22">IF(D$12=0,0,D32/D$12)</f>
        <v>0.41475013280982814</v>
      </c>
      <c r="G32" s="1"/>
      <c r="H32" s="1">
        <f>SUM(OSRRefH22_1x_0)</f>
        <v>0</v>
      </c>
      <c r="I32" s="1"/>
      <c r="J32" s="5">
        <f t="shared" ref="J32:J36" si="23">IF(H$12=0,0,H32/H$12)</f>
        <v>0</v>
      </c>
      <c r="K32" s="1"/>
      <c r="L32" s="1">
        <f t="shared" ref="L32:L36" si="24">+D32-H32</f>
        <v>19197.949999999997</v>
      </c>
      <c r="M32" s="1"/>
      <c r="N32" s="5">
        <f t="shared" ref="N32:N36" si="25">IF(H32=0,0,L32/H32)</f>
        <v>0</v>
      </c>
      <c r="O32" s="14"/>
      <c r="P32" s="1">
        <f>SUM(OSRRefP22_1x_0)</f>
        <v>83934.97</v>
      </c>
      <c r="Q32" s="1"/>
      <c r="R32" s="5">
        <f t="shared" ref="R32:R36" si="26">IF(P$12=0,0,P32/P$12)</f>
        <v>0.38982912302093786</v>
      </c>
      <c r="S32" s="1"/>
      <c r="T32" s="1">
        <f>SUM(OSRRefT22_1x_0)</f>
        <v>0</v>
      </c>
      <c r="U32" s="1"/>
      <c r="V32" s="5">
        <f t="shared" ref="V32:V36" si="27">IF(T$12=0,0,T32/T$12)</f>
        <v>0</v>
      </c>
      <c r="W32" s="1"/>
      <c r="X32" s="1">
        <f t="shared" ref="X32:X36" si="28">+P32-T32</f>
        <v>83934.97</v>
      </c>
      <c r="Y32" s="1"/>
      <c r="Z32" s="5">
        <f t="shared" ref="Z32:Z36" si="29">IF(T32=0,0,X32/T32)</f>
        <v>0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5384.62</v>
      </c>
      <c r="E33" s="2"/>
      <c r="F33" s="7">
        <f t="shared" si="22"/>
        <v>0.1163286632234409</v>
      </c>
      <c r="G33" s="2"/>
      <c r="H33" s="6"/>
      <c r="I33" s="2"/>
      <c r="J33" s="7">
        <f t="shared" si="23"/>
        <v>0</v>
      </c>
      <c r="K33" s="2"/>
      <c r="L33" s="6">
        <f t="shared" si="24"/>
        <v>5384.62</v>
      </c>
      <c r="M33" s="2"/>
      <c r="N33" s="7">
        <f t="shared" si="25"/>
        <v>0</v>
      </c>
      <c r="O33" s="11"/>
      <c r="P33" s="6">
        <v>27192.32</v>
      </c>
      <c r="Q33" s="2"/>
      <c r="R33" s="7">
        <f t="shared" si="26"/>
        <v>0.12629251262619989</v>
      </c>
      <c r="S33" s="2"/>
      <c r="T33" s="6"/>
      <c r="U33" s="2"/>
      <c r="V33" s="7">
        <f t="shared" si="27"/>
        <v>0</v>
      </c>
      <c r="W33" s="2"/>
      <c r="X33" s="6">
        <f t="shared" si="28"/>
        <v>27192.32</v>
      </c>
      <c r="Y33" s="2"/>
      <c r="Z33" s="7">
        <f t="shared" si="29"/>
        <v>0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3121.85</v>
      </c>
      <c r="E34" s="2"/>
      <c r="F34" s="7">
        <f t="shared" si="22"/>
        <v>6.7444060543566484E-2</v>
      </c>
      <c r="G34" s="2"/>
      <c r="H34" s="6"/>
      <c r="I34" s="2"/>
      <c r="J34" s="7">
        <f t="shared" si="23"/>
        <v>0</v>
      </c>
      <c r="K34" s="2"/>
      <c r="L34" s="6">
        <f t="shared" si="24"/>
        <v>3121.85</v>
      </c>
      <c r="M34" s="2"/>
      <c r="N34" s="7">
        <f t="shared" si="25"/>
        <v>0</v>
      </c>
      <c r="O34" s="11"/>
      <c r="P34" s="6">
        <v>7408.83</v>
      </c>
      <c r="Q34" s="2"/>
      <c r="R34" s="7">
        <f t="shared" si="26"/>
        <v>3.4409706723088303E-2</v>
      </c>
      <c r="S34" s="2"/>
      <c r="T34" s="6"/>
      <c r="U34" s="2"/>
      <c r="V34" s="7">
        <f t="shared" si="27"/>
        <v>0</v>
      </c>
      <c r="W34" s="2"/>
      <c r="X34" s="6">
        <f t="shared" si="28"/>
        <v>7408.83</v>
      </c>
      <c r="Y34" s="2"/>
      <c r="Z34" s="7">
        <f t="shared" si="29"/>
        <v>0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1355.73</v>
      </c>
      <c r="E35" s="2"/>
      <c r="F35" s="7">
        <f t="shared" si="22"/>
        <v>2.9289022919336098E-2</v>
      </c>
      <c r="G35" s="2"/>
      <c r="H35" s="6"/>
      <c r="I35" s="2"/>
      <c r="J35" s="7">
        <f t="shared" si="23"/>
        <v>0</v>
      </c>
      <c r="K35" s="2"/>
      <c r="L35" s="6">
        <f t="shared" si="24"/>
        <v>1355.73</v>
      </c>
      <c r="M35" s="2"/>
      <c r="N35" s="7">
        <f t="shared" si="25"/>
        <v>0</v>
      </c>
      <c r="O35" s="11"/>
      <c r="P35" s="6">
        <v>9531.7999999999993</v>
      </c>
      <c r="Q35" s="2"/>
      <c r="R35" s="7">
        <f t="shared" si="26"/>
        <v>4.4269667753630879E-2</v>
      </c>
      <c r="S35" s="2"/>
      <c r="T35" s="6"/>
      <c r="U35" s="2"/>
      <c r="V35" s="7">
        <f t="shared" si="27"/>
        <v>0</v>
      </c>
      <c r="W35" s="2"/>
      <c r="X35" s="6">
        <f t="shared" si="28"/>
        <v>9531.7999999999993</v>
      </c>
      <c r="Y35" s="2"/>
      <c r="Z35" s="7">
        <f t="shared" si="29"/>
        <v>0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9335.75</v>
      </c>
      <c r="E36" s="2"/>
      <c r="F36" s="7">
        <f t="shared" si="22"/>
        <v>0.20168838612348475</v>
      </c>
      <c r="G36" s="2"/>
      <c r="H36" s="6"/>
      <c r="I36" s="2"/>
      <c r="J36" s="7">
        <f t="shared" si="23"/>
        <v>0</v>
      </c>
      <c r="K36" s="2"/>
      <c r="L36" s="6">
        <f t="shared" si="24"/>
        <v>9335.75</v>
      </c>
      <c r="M36" s="2"/>
      <c r="N36" s="7">
        <f t="shared" si="25"/>
        <v>0</v>
      </c>
      <c r="O36" s="11"/>
      <c r="P36" s="6">
        <v>39802.019999999997</v>
      </c>
      <c r="Q36" s="2"/>
      <c r="R36" s="7">
        <f t="shared" si="26"/>
        <v>0.18485723591801875</v>
      </c>
      <c r="S36" s="2"/>
      <c r="T36" s="6"/>
      <c r="U36" s="2"/>
      <c r="V36" s="7">
        <f t="shared" si="27"/>
        <v>0</v>
      </c>
      <c r="W36" s="2"/>
      <c r="X36" s="6">
        <f t="shared" si="28"/>
        <v>39802.019999999997</v>
      </c>
      <c r="Y36" s="2"/>
      <c r="Z36" s="7">
        <f t="shared" si="29"/>
        <v>0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8.4700000000000006</v>
      </c>
      <c r="E37" s="1"/>
      <c r="F37" s="5">
        <f t="shared" ref="F37:F45" si="30">IF(D$12=0,0,D37/D$12)</f>
        <v>1.8298483040633221E-4</v>
      </c>
      <c r="G37" s="1"/>
      <c r="H37" s="1">
        <f>SUM(OSRRefH22_2x_0)</f>
        <v>0</v>
      </c>
      <c r="I37" s="1"/>
      <c r="J37" s="5">
        <f t="shared" ref="J37:J45" si="31">IF(H$12=0,0,H37/H$12)</f>
        <v>0</v>
      </c>
      <c r="K37" s="1"/>
      <c r="L37" s="1">
        <f t="shared" ref="L37:L45" si="32">+D37-H37</f>
        <v>8.4700000000000006</v>
      </c>
      <c r="M37" s="1"/>
      <c r="N37" s="5">
        <f t="shared" ref="N37:N45" si="33">IF(H37=0,0,L37/H37)</f>
        <v>0</v>
      </c>
      <c r="O37" s="14"/>
      <c r="P37" s="1">
        <f>SUM(OSRRefP22_2x_0)</f>
        <v>218.26</v>
      </c>
      <c r="Q37" s="1"/>
      <c r="R37" s="5">
        <f t="shared" ref="R37:R45" si="34">IF(P$12=0,0,P37/P$12)</f>
        <v>1.0136907702540418E-3</v>
      </c>
      <c r="S37" s="1"/>
      <c r="T37" s="1">
        <f>SUM(OSRRefT22_2x_0)</f>
        <v>0</v>
      </c>
      <c r="U37" s="1"/>
      <c r="V37" s="5">
        <f t="shared" ref="V37:V45" si="35">IF(T$12=0,0,T37/T$12)</f>
        <v>0</v>
      </c>
      <c r="W37" s="1"/>
      <c r="X37" s="1">
        <f t="shared" ref="X37:X45" si="36">+P37-T37</f>
        <v>218.26</v>
      </c>
      <c r="Y37" s="1"/>
      <c r="Z37" s="5">
        <f t="shared" ref="Z37:Z45" si="3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6">
        <v>8.4700000000000006</v>
      </c>
      <c r="E38" s="2"/>
      <c r="F38" s="7">
        <f t="shared" si="30"/>
        <v>1.8298483040633221E-4</v>
      </c>
      <c r="G38" s="2"/>
      <c r="H38" s="6"/>
      <c r="I38" s="2"/>
      <c r="J38" s="7">
        <f t="shared" si="31"/>
        <v>0</v>
      </c>
      <c r="K38" s="2"/>
      <c r="L38" s="6">
        <f t="shared" si="32"/>
        <v>8.4700000000000006</v>
      </c>
      <c r="M38" s="2"/>
      <c r="N38" s="7">
        <f t="shared" si="33"/>
        <v>0</v>
      </c>
      <c r="O38" s="11"/>
      <c r="P38" s="6">
        <v>218.26</v>
      </c>
      <c r="Q38" s="2"/>
      <c r="R38" s="7">
        <f t="shared" si="34"/>
        <v>1.0136907702540418E-3</v>
      </c>
      <c r="S38" s="2"/>
      <c r="T38" s="6"/>
      <c r="U38" s="2"/>
      <c r="V38" s="7">
        <f t="shared" si="35"/>
        <v>0</v>
      </c>
      <c r="W38" s="2"/>
      <c r="X38" s="6">
        <f t="shared" si="36"/>
        <v>218.26</v>
      </c>
      <c r="Y38" s="2"/>
      <c r="Z38" s="7">
        <f t="shared" si="37"/>
        <v>0</v>
      </c>
    </row>
    <row r="39" spans="1:26" s="29" customFormat="1" outlineLevel="1" collapsed="1" x14ac:dyDescent="0.3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10.28</v>
      </c>
      <c r="E39" s="1"/>
      <c r="F39" s="5">
        <f t="shared" si="30"/>
        <v>2.220878461129982E-4</v>
      </c>
      <c r="G39" s="1"/>
      <c r="H39" s="1">
        <f>SUM(OSRRefH22_3x_0)</f>
        <v>0</v>
      </c>
      <c r="I39" s="1"/>
      <c r="J39" s="5">
        <f t="shared" si="31"/>
        <v>0</v>
      </c>
      <c r="K39" s="1"/>
      <c r="L39" s="1">
        <f t="shared" si="32"/>
        <v>10.28</v>
      </c>
      <c r="M39" s="1"/>
      <c r="N39" s="5">
        <f t="shared" si="33"/>
        <v>0</v>
      </c>
      <c r="O39" s="14"/>
      <c r="P39" s="1">
        <f>SUM(OSRRefP22_3x_0)</f>
        <v>-78.760000000000005</v>
      </c>
      <c r="Q39" s="1"/>
      <c r="R39" s="5">
        <f t="shared" si="34"/>
        <v>-3.6579439688998601E-4</v>
      </c>
      <c r="S39" s="1"/>
      <c r="T39" s="1">
        <f>SUM(OSRRefT22_3x_0)</f>
        <v>0</v>
      </c>
      <c r="U39" s="1"/>
      <c r="V39" s="5">
        <f t="shared" si="35"/>
        <v>0</v>
      </c>
      <c r="W39" s="1"/>
      <c r="X39" s="1">
        <f t="shared" si="36"/>
        <v>-78.760000000000005</v>
      </c>
      <c r="Y39" s="1"/>
      <c r="Z39" s="5">
        <f t="shared" si="37"/>
        <v>0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6">
        <v>10.28</v>
      </c>
      <c r="E40" s="2"/>
      <c r="F40" s="7">
        <f t="shared" si="30"/>
        <v>2.220878461129982E-4</v>
      </c>
      <c r="G40" s="2"/>
      <c r="H40" s="6"/>
      <c r="I40" s="2"/>
      <c r="J40" s="7">
        <f t="shared" si="31"/>
        <v>0</v>
      </c>
      <c r="K40" s="2"/>
      <c r="L40" s="6">
        <f t="shared" si="32"/>
        <v>10.28</v>
      </c>
      <c r="M40" s="2"/>
      <c r="N40" s="7">
        <f t="shared" si="33"/>
        <v>0</v>
      </c>
      <c r="O40" s="11"/>
      <c r="P40" s="6">
        <v>-78.760000000000005</v>
      </c>
      <c r="Q40" s="2"/>
      <c r="R40" s="7">
        <f t="shared" si="34"/>
        <v>-3.6579439688998601E-4</v>
      </c>
      <c r="S40" s="2"/>
      <c r="T40" s="6"/>
      <c r="U40" s="2"/>
      <c r="V40" s="7">
        <f t="shared" si="35"/>
        <v>0</v>
      </c>
      <c r="W40" s="2"/>
      <c r="X40" s="6">
        <f t="shared" si="36"/>
        <v>-78.760000000000005</v>
      </c>
      <c r="Y40" s="2"/>
      <c r="Z40" s="7">
        <f t="shared" si="37"/>
        <v>0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1904.6</v>
      </c>
      <c r="E41" s="1"/>
      <c r="F41" s="5">
        <f t="shared" si="30"/>
        <v>4.1146742383931553E-2</v>
      </c>
      <c r="G41" s="1"/>
      <c r="H41" s="1">
        <f>SUM(OSRRefH22_4x_0)</f>
        <v>0</v>
      </c>
      <c r="I41" s="1"/>
      <c r="J41" s="5">
        <f t="shared" si="31"/>
        <v>0</v>
      </c>
      <c r="K41" s="1"/>
      <c r="L41" s="1">
        <f t="shared" si="32"/>
        <v>1904.6</v>
      </c>
      <c r="M41" s="1"/>
      <c r="N41" s="5">
        <f t="shared" si="33"/>
        <v>0</v>
      </c>
      <c r="O41" s="14"/>
      <c r="P41" s="1">
        <f>SUM(OSRRefP22_4x_0)</f>
        <v>8047.2</v>
      </c>
      <c r="Q41" s="1"/>
      <c r="R41" s="5">
        <f t="shared" si="34"/>
        <v>3.7374564127134267E-2</v>
      </c>
      <c r="S41" s="1"/>
      <c r="T41" s="1">
        <f>SUM(OSRRefT22_4x_0)</f>
        <v>0</v>
      </c>
      <c r="U41" s="1"/>
      <c r="V41" s="5">
        <f t="shared" si="35"/>
        <v>0</v>
      </c>
      <c r="W41" s="1"/>
      <c r="X41" s="1">
        <f t="shared" si="36"/>
        <v>8047.2</v>
      </c>
      <c r="Y41" s="1"/>
      <c r="Z41" s="5">
        <f t="shared" si="37"/>
        <v>0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6">
        <v>1904.6</v>
      </c>
      <c r="E42" s="2"/>
      <c r="F42" s="7">
        <f t="shared" si="30"/>
        <v>4.1146742383931553E-2</v>
      </c>
      <c r="G42" s="2"/>
      <c r="H42" s="6"/>
      <c r="I42" s="2"/>
      <c r="J42" s="7">
        <f t="shared" si="31"/>
        <v>0</v>
      </c>
      <c r="K42" s="2"/>
      <c r="L42" s="6">
        <f t="shared" si="32"/>
        <v>1904.6</v>
      </c>
      <c r="M42" s="2"/>
      <c r="N42" s="7">
        <f t="shared" si="33"/>
        <v>0</v>
      </c>
      <c r="O42" s="11"/>
      <c r="P42" s="6">
        <v>8047.2</v>
      </c>
      <c r="Q42" s="2"/>
      <c r="R42" s="7">
        <f t="shared" si="34"/>
        <v>3.7374564127134267E-2</v>
      </c>
      <c r="S42" s="2"/>
      <c r="T42" s="6"/>
      <c r="U42" s="2"/>
      <c r="V42" s="7">
        <f t="shared" si="35"/>
        <v>0</v>
      </c>
      <c r="W42" s="2"/>
      <c r="X42" s="6">
        <f t="shared" si="36"/>
        <v>8047.2</v>
      </c>
      <c r="Y42" s="2"/>
      <c r="Z42" s="7">
        <f t="shared" si="37"/>
        <v>0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4626.5</v>
      </c>
      <c r="E43" s="1"/>
      <c r="F43" s="5">
        <f t="shared" si="30"/>
        <v>9.9950332688889712E-2</v>
      </c>
      <c r="G43" s="1"/>
      <c r="H43" s="1">
        <f>SUM(OSRRefH22_5x_0)</f>
        <v>5233.01</v>
      </c>
      <c r="I43" s="1"/>
      <c r="J43" s="5">
        <f t="shared" si="31"/>
        <v>0</v>
      </c>
      <c r="K43" s="1"/>
      <c r="L43" s="1">
        <f t="shared" si="32"/>
        <v>-606.51000000000022</v>
      </c>
      <c r="M43" s="1"/>
      <c r="N43" s="5">
        <f t="shared" si="33"/>
        <v>-0.11590079132277603</v>
      </c>
      <c r="O43" s="14"/>
      <c r="P43" s="1">
        <f>SUM(OSRRefP22_5x_0)</f>
        <v>23132.5</v>
      </c>
      <c r="Q43" s="1"/>
      <c r="R43" s="5">
        <f t="shared" si="34"/>
        <v>0.10743700972648045</v>
      </c>
      <c r="S43" s="1"/>
      <c r="T43" s="1">
        <f>SUM(OSRRefT22_5x_0)</f>
        <v>26456.17</v>
      </c>
      <c r="U43" s="1"/>
      <c r="V43" s="5">
        <f t="shared" si="35"/>
        <v>0</v>
      </c>
      <c r="W43" s="1"/>
      <c r="X43" s="1">
        <f t="shared" si="36"/>
        <v>-3323.6699999999983</v>
      </c>
      <c r="Y43" s="1"/>
      <c r="Z43" s="5">
        <f t="shared" si="37"/>
        <v>-0.12562929554807059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6">
        <v>4626.5</v>
      </c>
      <c r="E44" s="2"/>
      <c r="F44" s="7">
        <f t="shared" si="30"/>
        <v>9.9950332688889712E-2</v>
      </c>
      <c r="G44" s="2"/>
      <c r="H44" s="6">
        <v>4626.5</v>
      </c>
      <c r="I44" s="2"/>
      <c r="J44" s="7">
        <f t="shared" si="31"/>
        <v>0</v>
      </c>
      <c r="K44" s="2"/>
      <c r="L44" s="6">
        <f t="shared" si="32"/>
        <v>0</v>
      </c>
      <c r="M44" s="2"/>
      <c r="N44" s="7">
        <f t="shared" si="33"/>
        <v>0</v>
      </c>
      <c r="O44" s="11"/>
      <c r="P44" s="6">
        <v>23132.5</v>
      </c>
      <c r="Q44" s="2"/>
      <c r="R44" s="7">
        <f t="shared" si="34"/>
        <v>0.10743700972648045</v>
      </c>
      <c r="S44" s="2"/>
      <c r="T44" s="6">
        <v>23132.5</v>
      </c>
      <c r="U44" s="2"/>
      <c r="V44" s="7">
        <f t="shared" si="35"/>
        <v>0</v>
      </c>
      <c r="W44" s="2"/>
      <c r="X44" s="6">
        <f t="shared" si="36"/>
        <v>0</v>
      </c>
      <c r="Y44" s="2"/>
      <c r="Z44" s="7">
        <f t="shared" si="37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/>
      <c r="E45" s="2"/>
      <c r="F45" s="7">
        <f t="shared" si="30"/>
        <v>0</v>
      </c>
      <c r="G45" s="2"/>
      <c r="H45" s="6">
        <v>606.51</v>
      </c>
      <c r="I45" s="2"/>
      <c r="J45" s="7">
        <f t="shared" si="31"/>
        <v>0</v>
      </c>
      <c r="K45" s="2"/>
      <c r="L45" s="6">
        <f t="shared" si="32"/>
        <v>-606.51</v>
      </c>
      <c r="M45" s="2"/>
      <c r="N45" s="7">
        <f t="shared" si="33"/>
        <v>-1</v>
      </c>
      <c r="O45" s="11"/>
      <c r="P45" s="6"/>
      <c r="Q45" s="2"/>
      <c r="R45" s="7">
        <f t="shared" si="34"/>
        <v>0</v>
      </c>
      <c r="S45" s="2"/>
      <c r="T45" s="6">
        <v>3323.67</v>
      </c>
      <c r="U45" s="2"/>
      <c r="V45" s="7">
        <f t="shared" si="35"/>
        <v>0</v>
      </c>
      <c r="W45" s="2"/>
      <c r="X45" s="6">
        <f t="shared" si="36"/>
        <v>-3323.67</v>
      </c>
      <c r="Y45" s="2"/>
      <c r="Z45" s="7">
        <f t="shared" si="37"/>
        <v>-1</v>
      </c>
    </row>
    <row r="46" spans="1:26" s="29" customFormat="1" outlineLevel="1" collapsed="1" x14ac:dyDescent="0.3">
      <c r="A46" s="28"/>
      <c r="B46" s="14" t="str">
        <f>CONCATENATE("     ","Employees' Appreciation                           ")</f>
        <v xml:space="preserve">     Employees' Appreciation                           </v>
      </c>
      <c r="C46" s="14"/>
      <c r="D46" s="1">
        <f>SUM(OSRRefD22_6x_0)</f>
        <v>0</v>
      </c>
      <c r="E46" s="1"/>
      <c r="F46" s="5">
        <f t="shared" ref="F46:F56" si="38">IF(D$12=0,0,D46/D$12)</f>
        <v>0</v>
      </c>
      <c r="G46" s="1"/>
      <c r="H46" s="1">
        <f>SUM(OSRRefH22_6x_0)</f>
        <v>0</v>
      </c>
      <c r="I46" s="1"/>
      <c r="J46" s="5">
        <f t="shared" ref="J46:J56" si="39">IF(H$12=0,0,H46/H$12)</f>
        <v>0</v>
      </c>
      <c r="K46" s="1"/>
      <c r="L46" s="1">
        <f t="shared" ref="L46:L56" si="40">+D46-H46</f>
        <v>0</v>
      </c>
      <c r="M46" s="1"/>
      <c r="N46" s="5">
        <f t="shared" ref="N46:N56" si="41">IF(H46=0,0,L46/H46)</f>
        <v>0</v>
      </c>
      <c r="O46" s="14"/>
      <c r="P46" s="1">
        <f>SUM(OSRRefP22_6x_0)</f>
        <v>73.22</v>
      </c>
      <c r="Q46" s="1"/>
      <c r="R46" s="5">
        <f t="shared" ref="R46:R56" si="42">IF(P$12=0,0,P46/P$12)</f>
        <v>3.4006431869330591E-4</v>
      </c>
      <c r="S46" s="1"/>
      <c r="T46" s="1">
        <f>SUM(OSRRefT22_6x_0)</f>
        <v>0</v>
      </c>
      <c r="U46" s="1"/>
      <c r="V46" s="5">
        <f t="shared" ref="V46:V56" si="43">IF(T$12=0,0,T46/T$12)</f>
        <v>0</v>
      </c>
      <c r="W46" s="1"/>
      <c r="X46" s="1">
        <f t="shared" ref="X46:X56" si="44">+P46-T46</f>
        <v>73.22</v>
      </c>
      <c r="Y46" s="1"/>
      <c r="Z46" s="5">
        <f t="shared" ref="Z46:Z56" si="45">IF(T46=0,0,X46/T46)</f>
        <v>0</v>
      </c>
    </row>
    <row r="47" spans="1:26" s="24" customFormat="1" hidden="1" outlineLevel="2" x14ac:dyDescent="0.3">
      <c r="A47" s="27"/>
      <c r="B47" s="11" t="str">
        <f>CONCATENATE("          ", "6277", " - ", "EMPLOYEE APPRECIATION")</f>
        <v xml:space="preserve">          6277 - EMPLOYEE APPRECIATION</v>
      </c>
      <c r="C47" s="11"/>
      <c r="D47" s="6"/>
      <c r="E47" s="2"/>
      <c r="F47" s="7">
        <f t="shared" si="38"/>
        <v>0</v>
      </c>
      <c r="G47" s="2"/>
      <c r="H47" s="6"/>
      <c r="I47" s="2"/>
      <c r="J47" s="7">
        <f t="shared" si="39"/>
        <v>0</v>
      </c>
      <c r="K47" s="2"/>
      <c r="L47" s="6">
        <f t="shared" si="40"/>
        <v>0</v>
      </c>
      <c r="M47" s="2"/>
      <c r="N47" s="7">
        <f t="shared" si="41"/>
        <v>0</v>
      </c>
      <c r="O47" s="11"/>
      <c r="P47" s="6">
        <v>73.22</v>
      </c>
      <c r="Q47" s="2"/>
      <c r="R47" s="7">
        <f t="shared" si="42"/>
        <v>3.4006431869330591E-4</v>
      </c>
      <c r="S47" s="2"/>
      <c r="T47" s="6"/>
      <c r="U47" s="2"/>
      <c r="V47" s="7">
        <f t="shared" si="43"/>
        <v>0</v>
      </c>
      <c r="W47" s="2"/>
      <c r="X47" s="6">
        <f t="shared" si="44"/>
        <v>73.22</v>
      </c>
      <c r="Y47" s="2"/>
      <c r="Z47" s="7">
        <f t="shared" si="45"/>
        <v>0</v>
      </c>
    </row>
    <row r="48" spans="1:26" s="29" customFormat="1" outlineLevel="1" collapsed="1" x14ac:dyDescent="0.3">
      <c r="A48" s="28"/>
      <c r="B48" s="14" t="str">
        <f>CONCATENATE("     ","Equipment Rental                                  ")</f>
        <v xml:space="preserve">     Equipment Rental                                  </v>
      </c>
      <c r="C48" s="14"/>
      <c r="D48" s="1">
        <f>SUM(OSRRefD22_7x_0)</f>
        <v>0</v>
      </c>
      <c r="E48" s="1"/>
      <c r="F48" s="5">
        <f t="shared" si="38"/>
        <v>0</v>
      </c>
      <c r="G48" s="1"/>
      <c r="H48" s="1">
        <f>SUM(OSRRefH22_7x_0)</f>
        <v>0</v>
      </c>
      <c r="I48" s="1"/>
      <c r="J48" s="5">
        <f t="shared" si="39"/>
        <v>0</v>
      </c>
      <c r="K48" s="1"/>
      <c r="L48" s="1">
        <f t="shared" si="40"/>
        <v>0</v>
      </c>
      <c r="M48" s="1"/>
      <c r="N48" s="5">
        <f t="shared" si="41"/>
        <v>0</v>
      </c>
      <c r="O48" s="14"/>
      <c r="P48" s="1">
        <f>SUM(OSRRefP22_7x_0)</f>
        <v>0</v>
      </c>
      <c r="Q48" s="1"/>
      <c r="R48" s="5">
        <f t="shared" si="42"/>
        <v>0</v>
      </c>
      <c r="S48" s="1"/>
      <c r="T48" s="1">
        <f>SUM(OSRRefT22_7x_0)</f>
        <v>96.3</v>
      </c>
      <c r="U48" s="1"/>
      <c r="V48" s="5">
        <f t="shared" si="43"/>
        <v>0</v>
      </c>
      <c r="W48" s="1"/>
      <c r="X48" s="1">
        <f t="shared" si="44"/>
        <v>-96.3</v>
      </c>
      <c r="Y48" s="1"/>
      <c r="Z48" s="5">
        <f t="shared" si="45"/>
        <v>-1</v>
      </c>
    </row>
    <row r="49" spans="1:26" s="24" customFormat="1" hidden="1" outlineLevel="2" x14ac:dyDescent="0.3">
      <c r="A49" s="27"/>
      <c r="B49" s="11" t="str">
        <f>CONCATENATE("          ", "6351", " - ", "EQUIPMENT RENTAL")</f>
        <v xml:space="preserve">          6351 - EQUIPMENT RENTAL</v>
      </c>
      <c r="C49" s="11"/>
      <c r="D49" s="6"/>
      <c r="E49" s="2"/>
      <c r="F49" s="7">
        <f t="shared" si="38"/>
        <v>0</v>
      </c>
      <c r="G49" s="2"/>
      <c r="H49" s="6"/>
      <c r="I49" s="2"/>
      <c r="J49" s="7">
        <f t="shared" si="39"/>
        <v>0</v>
      </c>
      <c r="K49" s="2"/>
      <c r="L49" s="6">
        <f t="shared" si="40"/>
        <v>0</v>
      </c>
      <c r="M49" s="2"/>
      <c r="N49" s="7">
        <f t="shared" si="41"/>
        <v>0</v>
      </c>
      <c r="O49" s="11"/>
      <c r="P49" s="6"/>
      <c r="Q49" s="2"/>
      <c r="R49" s="7">
        <f t="shared" si="42"/>
        <v>0</v>
      </c>
      <c r="S49" s="2"/>
      <c r="T49" s="6">
        <v>96.3</v>
      </c>
      <c r="U49" s="2"/>
      <c r="V49" s="7">
        <f t="shared" si="43"/>
        <v>0</v>
      </c>
      <c r="W49" s="2"/>
      <c r="X49" s="6">
        <f t="shared" si="44"/>
        <v>-96.3</v>
      </c>
      <c r="Y49" s="2"/>
      <c r="Z49" s="7">
        <f t="shared" si="45"/>
        <v>-1</v>
      </c>
    </row>
    <row r="50" spans="1:26" s="29" customFormat="1" outlineLevel="1" collapsed="1" x14ac:dyDescent="0.3">
      <c r="A50" s="28"/>
      <c r="B50" s="14" t="str">
        <f>CONCATENATE("     ","General                                           ")</f>
        <v xml:space="preserve">     General                                           </v>
      </c>
      <c r="C50" s="14"/>
      <c r="D50" s="1">
        <f>SUM(OSRRefD22_8x_0)</f>
        <v>0</v>
      </c>
      <c r="E50" s="1"/>
      <c r="F50" s="5">
        <f t="shared" si="38"/>
        <v>0</v>
      </c>
      <c r="G50" s="1"/>
      <c r="H50" s="1">
        <f>SUM(OSRRefH22_8x_0)</f>
        <v>0</v>
      </c>
      <c r="I50" s="1"/>
      <c r="J50" s="5">
        <f t="shared" si="39"/>
        <v>0</v>
      </c>
      <c r="K50" s="1"/>
      <c r="L50" s="1">
        <f t="shared" si="40"/>
        <v>0</v>
      </c>
      <c r="M50" s="1"/>
      <c r="N50" s="5">
        <f t="shared" si="41"/>
        <v>0</v>
      </c>
      <c r="O50" s="14"/>
      <c r="P50" s="1">
        <f>SUM(OSRRefP22_8x_0)</f>
        <v>1887.3</v>
      </c>
      <c r="Q50" s="1"/>
      <c r="R50" s="5">
        <f t="shared" si="42"/>
        <v>8.7654109351253239E-3</v>
      </c>
      <c r="S50" s="1"/>
      <c r="T50" s="1">
        <f>SUM(OSRRefT22_8x_0)</f>
        <v>0</v>
      </c>
      <c r="U50" s="1"/>
      <c r="V50" s="5">
        <f t="shared" si="43"/>
        <v>0</v>
      </c>
      <c r="W50" s="1"/>
      <c r="X50" s="1">
        <f t="shared" si="44"/>
        <v>1887.3</v>
      </c>
      <c r="Y50" s="1"/>
      <c r="Z50" s="5">
        <f t="shared" si="45"/>
        <v>0</v>
      </c>
    </row>
    <row r="51" spans="1:26" s="24" customFormat="1" hidden="1" outlineLevel="2" x14ac:dyDescent="0.3">
      <c r="A51" s="27"/>
      <c r="B51" s="11" t="str">
        <f>CONCATENATE("          ", "6279", " - ", "GENERAL EXPENSE")</f>
        <v xml:space="preserve">          6279 - GENERAL EXPENSE</v>
      </c>
      <c r="C51" s="11"/>
      <c r="D51" s="6"/>
      <c r="E51" s="2"/>
      <c r="F51" s="7">
        <f t="shared" si="38"/>
        <v>0</v>
      </c>
      <c r="G51" s="2"/>
      <c r="H51" s="6"/>
      <c r="I51" s="2"/>
      <c r="J51" s="7">
        <f t="shared" si="39"/>
        <v>0</v>
      </c>
      <c r="K51" s="2"/>
      <c r="L51" s="6">
        <f t="shared" si="40"/>
        <v>0</v>
      </c>
      <c r="M51" s="2"/>
      <c r="N51" s="7">
        <f t="shared" si="41"/>
        <v>0</v>
      </c>
      <c r="O51" s="11"/>
      <c r="P51" s="6">
        <v>1887.3</v>
      </c>
      <c r="Q51" s="2"/>
      <c r="R51" s="7">
        <f t="shared" si="42"/>
        <v>8.7654109351253239E-3</v>
      </c>
      <c r="S51" s="2"/>
      <c r="T51" s="6">
        <v>0</v>
      </c>
      <c r="U51" s="2"/>
      <c r="V51" s="7">
        <f t="shared" si="43"/>
        <v>0</v>
      </c>
      <c r="W51" s="2"/>
      <c r="X51" s="6">
        <f t="shared" si="44"/>
        <v>1887.3</v>
      </c>
      <c r="Y51" s="2"/>
      <c r="Z51" s="7">
        <f t="shared" si="45"/>
        <v>0</v>
      </c>
    </row>
    <row r="52" spans="1:26" s="29" customFormat="1" outlineLevel="1" collapsed="1" x14ac:dyDescent="0.3">
      <c r="A52" s="28"/>
      <c r="B52" s="14" t="str">
        <f>CONCATENATE("     ","Rent                                              ")</f>
        <v xml:space="preserve">     Rent                                              </v>
      </c>
      <c r="C52" s="14"/>
      <c r="D52" s="1">
        <f>SUM(OSRRefD22_9x_0)</f>
        <v>1850</v>
      </c>
      <c r="E52" s="1"/>
      <c r="F52" s="5">
        <f t="shared" si="38"/>
        <v>3.9967170749907265E-2</v>
      </c>
      <c r="G52" s="1"/>
      <c r="H52" s="1">
        <f>SUM(OSRRefH22_9x_0)</f>
        <v>0</v>
      </c>
      <c r="I52" s="1"/>
      <c r="J52" s="5">
        <f t="shared" si="39"/>
        <v>0</v>
      </c>
      <c r="K52" s="1"/>
      <c r="L52" s="1">
        <f t="shared" si="40"/>
        <v>1850</v>
      </c>
      <c r="M52" s="1"/>
      <c r="N52" s="5">
        <f t="shared" si="41"/>
        <v>0</v>
      </c>
      <c r="O52" s="14"/>
      <c r="P52" s="1">
        <f>SUM(OSRRefP22_9x_0)</f>
        <v>9250</v>
      </c>
      <c r="Q52" s="1"/>
      <c r="R52" s="5">
        <f t="shared" si="42"/>
        <v>4.2960870635251017E-2</v>
      </c>
      <c r="S52" s="1"/>
      <c r="T52" s="1">
        <f>SUM(OSRRefT22_9x_0)</f>
        <v>5550</v>
      </c>
      <c r="U52" s="1"/>
      <c r="V52" s="5">
        <f t="shared" si="43"/>
        <v>0</v>
      </c>
      <c r="W52" s="1"/>
      <c r="X52" s="1">
        <f t="shared" si="44"/>
        <v>3700</v>
      </c>
      <c r="Y52" s="1"/>
      <c r="Z52" s="5">
        <f t="shared" si="45"/>
        <v>0.66666666666666663</v>
      </c>
    </row>
    <row r="53" spans="1:26" s="24" customFormat="1" hidden="1" outlineLevel="2" x14ac:dyDescent="0.3">
      <c r="A53" s="27"/>
      <c r="B53" s="11" t="str">
        <f>CONCATENATE("          ", "6273", " - ", "RENT")</f>
        <v xml:space="preserve">          6273 - RENT</v>
      </c>
      <c r="C53" s="11"/>
      <c r="D53" s="6">
        <v>1850</v>
      </c>
      <c r="E53" s="2"/>
      <c r="F53" s="7">
        <f t="shared" si="38"/>
        <v>3.9967170749907265E-2</v>
      </c>
      <c r="G53" s="2"/>
      <c r="H53" s="6"/>
      <c r="I53" s="2"/>
      <c r="J53" s="7">
        <f t="shared" si="39"/>
        <v>0</v>
      </c>
      <c r="K53" s="2"/>
      <c r="L53" s="6">
        <f t="shared" si="40"/>
        <v>1850</v>
      </c>
      <c r="M53" s="2"/>
      <c r="N53" s="7">
        <f t="shared" si="41"/>
        <v>0</v>
      </c>
      <c r="O53" s="11"/>
      <c r="P53" s="6">
        <v>9250</v>
      </c>
      <c r="Q53" s="2"/>
      <c r="R53" s="7">
        <f t="shared" si="42"/>
        <v>4.2960870635251017E-2</v>
      </c>
      <c r="S53" s="2"/>
      <c r="T53" s="6">
        <v>5550</v>
      </c>
      <c r="U53" s="2"/>
      <c r="V53" s="7">
        <f t="shared" si="43"/>
        <v>0</v>
      </c>
      <c r="W53" s="2"/>
      <c r="X53" s="6">
        <f t="shared" si="44"/>
        <v>3700</v>
      </c>
      <c r="Y53" s="2"/>
      <c r="Z53" s="7">
        <f t="shared" si="45"/>
        <v>0.66666666666666663</v>
      </c>
    </row>
    <row r="54" spans="1:26" s="29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1277.0999999999999</v>
      </c>
      <c r="E54" s="1"/>
      <c r="F54" s="5">
        <f t="shared" si="38"/>
        <v>2.7590310143084631E-2</v>
      </c>
      <c r="G54" s="1"/>
      <c r="H54" s="1">
        <f>SUM(OSRRefH22_10x_0)</f>
        <v>0</v>
      </c>
      <c r="I54" s="1"/>
      <c r="J54" s="5">
        <f t="shared" si="39"/>
        <v>0</v>
      </c>
      <c r="K54" s="1"/>
      <c r="L54" s="1">
        <f t="shared" si="40"/>
        <v>1277.0999999999999</v>
      </c>
      <c r="M54" s="1"/>
      <c r="N54" s="5">
        <f t="shared" si="41"/>
        <v>0</v>
      </c>
      <c r="O54" s="14"/>
      <c r="P54" s="1">
        <f>SUM(OSRRefP22_10x_0)</f>
        <v>3181.9900000000002</v>
      </c>
      <c r="Q54" s="1"/>
      <c r="R54" s="5">
        <f t="shared" si="42"/>
        <v>1.477849305434188E-2</v>
      </c>
      <c r="S54" s="1"/>
      <c r="T54" s="1">
        <f>SUM(OSRRefT22_10x_0)</f>
        <v>692.95</v>
      </c>
      <c r="U54" s="1"/>
      <c r="V54" s="5">
        <f t="shared" si="43"/>
        <v>0</v>
      </c>
      <c r="W54" s="1"/>
      <c r="X54" s="1">
        <f t="shared" si="44"/>
        <v>2489.04</v>
      </c>
      <c r="Y54" s="1"/>
      <c r="Z54" s="5">
        <f t="shared" si="45"/>
        <v>3.5919474709575003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6"/>
      <c r="E55" s="2"/>
      <c r="F55" s="7">
        <f t="shared" si="38"/>
        <v>0</v>
      </c>
      <c r="G55" s="2"/>
      <c r="H55" s="6"/>
      <c r="I55" s="2"/>
      <c r="J55" s="7">
        <f t="shared" si="39"/>
        <v>0</v>
      </c>
      <c r="K55" s="2"/>
      <c r="L55" s="6">
        <f t="shared" si="40"/>
        <v>0</v>
      </c>
      <c r="M55" s="2"/>
      <c r="N55" s="7">
        <f t="shared" si="41"/>
        <v>0</v>
      </c>
      <c r="O55" s="11"/>
      <c r="P55" s="6">
        <v>71.86</v>
      </c>
      <c r="Q55" s="2"/>
      <c r="R55" s="7">
        <f t="shared" si="42"/>
        <v>3.337479096053122E-4</v>
      </c>
      <c r="S55" s="2"/>
      <c r="T55" s="6">
        <v>150.94999999999999</v>
      </c>
      <c r="U55" s="2"/>
      <c r="V55" s="7">
        <f t="shared" si="43"/>
        <v>0</v>
      </c>
      <c r="W55" s="2"/>
      <c r="X55" s="6">
        <f t="shared" si="44"/>
        <v>-79.089999999999989</v>
      </c>
      <c r="Y55" s="2"/>
      <c r="Z55" s="7">
        <f t="shared" si="45"/>
        <v>-0.5239483272606823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1277.0999999999999</v>
      </c>
      <c r="E56" s="2"/>
      <c r="F56" s="7">
        <f t="shared" si="38"/>
        <v>2.7590310143084631E-2</v>
      </c>
      <c r="G56" s="2"/>
      <c r="H56" s="6"/>
      <c r="I56" s="2"/>
      <c r="J56" s="7">
        <f t="shared" si="39"/>
        <v>0</v>
      </c>
      <c r="K56" s="2"/>
      <c r="L56" s="6">
        <f t="shared" si="40"/>
        <v>1277.0999999999999</v>
      </c>
      <c r="M56" s="2"/>
      <c r="N56" s="7">
        <f t="shared" si="41"/>
        <v>0</v>
      </c>
      <c r="O56" s="11"/>
      <c r="P56" s="6">
        <v>3110.13</v>
      </c>
      <c r="Q56" s="2"/>
      <c r="R56" s="7">
        <f t="shared" si="42"/>
        <v>1.4444745144736568E-2</v>
      </c>
      <c r="S56" s="2"/>
      <c r="T56" s="6">
        <v>542</v>
      </c>
      <c r="U56" s="2"/>
      <c r="V56" s="7">
        <f t="shared" si="43"/>
        <v>0</v>
      </c>
      <c r="W56" s="2"/>
      <c r="X56" s="6">
        <f t="shared" si="44"/>
        <v>2568.13</v>
      </c>
      <c r="Y56" s="2"/>
      <c r="Z56" s="7">
        <f t="shared" si="45"/>
        <v>4.7382472324723253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20.7</v>
      </c>
      <c r="E57" s="1"/>
      <c r="F57" s="5">
        <f t="shared" ref="F57:F61" si="46">IF(D$12=0,0,D57/D$12)</f>
        <v>4.4720023487734075E-4</v>
      </c>
      <c r="G57" s="1"/>
      <c r="H57" s="1">
        <f>SUM(OSRRefH22_11x_0)</f>
        <v>115</v>
      </c>
      <c r="I57" s="1"/>
      <c r="J57" s="5">
        <f t="shared" ref="J57:J61" si="47">IF(H$12=0,0,H57/H$12)</f>
        <v>0</v>
      </c>
      <c r="K57" s="1"/>
      <c r="L57" s="1">
        <f t="shared" ref="L57:L61" si="48">+D57-H57</f>
        <v>-94.3</v>
      </c>
      <c r="M57" s="1"/>
      <c r="N57" s="5">
        <f t="shared" ref="N57:N61" si="49">IF(H57=0,0,L57/H57)</f>
        <v>-0.82</v>
      </c>
      <c r="O57" s="14"/>
      <c r="P57" s="1">
        <f>SUM(OSRRefP22_11x_0)</f>
        <v>4000</v>
      </c>
      <c r="Q57" s="1"/>
      <c r="R57" s="5">
        <f t="shared" ref="R57:R61" si="50">IF(P$12=0,0,P57/P$12)</f>
        <v>1.8577673788216655E-2</v>
      </c>
      <c r="S57" s="1"/>
      <c r="T57" s="1">
        <f>SUM(OSRRefT22_11x_0)</f>
        <v>230</v>
      </c>
      <c r="U57" s="1"/>
      <c r="V57" s="5">
        <f t="shared" ref="V57:V61" si="51">IF(T$12=0,0,T57/T$12)</f>
        <v>0</v>
      </c>
      <c r="W57" s="1"/>
      <c r="X57" s="1">
        <f t="shared" ref="X57:X61" si="52">+P57-T57</f>
        <v>3770</v>
      </c>
      <c r="Y57" s="1"/>
      <c r="Z57" s="5">
        <f t="shared" ref="Z57:Z61" si="53">IF(T57=0,0,X57/T57)</f>
        <v>16.391304347826086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/>
      <c r="E58" s="2"/>
      <c r="F58" s="7">
        <f t="shared" si="46"/>
        <v>0</v>
      </c>
      <c r="G58" s="2"/>
      <c r="H58" s="6"/>
      <c r="I58" s="2"/>
      <c r="J58" s="7">
        <f t="shared" si="47"/>
        <v>0</v>
      </c>
      <c r="K58" s="2"/>
      <c r="L58" s="6">
        <f t="shared" si="48"/>
        <v>0</v>
      </c>
      <c r="M58" s="2"/>
      <c r="N58" s="7">
        <f t="shared" si="49"/>
        <v>0</v>
      </c>
      <c r="O58" s="11"/>
      <c r="P58" s="6">
        <v>63.86</v>
      </c>
      <c r="Q58" s="2"/>
      <c r="R58" s="7">
        <f t="shared" si="50"/>
        <v>2.9659256202887893E-4</v>
      </c>
      <c r="S58" s="2"/>
      <c r="T58" s="6"/>
      <c r="U58" s="2"/>
      <c r="V58" s="7">
        <f t="shared" si="51"/>
        <v>0</v>
      </c>
      <c r="W58" s="2"/>
      <c r="X58" s="6">
        <f t="shared" si="52"/>
        <v>63.86</v>
      </c>
      <c r="Y58" s="2"/>
      <c r="Z58" s="7">
        <f t="shared" si="53"/>
        <v>0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46"/>
        <v>0</v>
      </c>
      <c r="G59" s="2"/>
      <c r="H59" s="6">
        <v>115</v>
      </c>
      <c r="I59" s="2"/>
      <c r="J59" s="7">
        <f t="shared" si="47"/>
        <v>0</v>
      </c>
      <c r="K59" s="2"/>
      <c r="L59" s="6">
        <f t="shared" si="48"/>
        <v>-115</v>
      </c>
      <c r="M59" s="2"/>
      <c r="N59" s="7">
        <f t="shared" si="49"/>
        <v>-1</v>
      </c>
      <c r="O59" s="11"/>
      <c r="P59" s="6"/>
      <c r="Q59" s="2"/>
      <c r="R59" s="7">
        <f t="shared" si="50"/>
        <v>0</v>
      </c>
      <c r="S59" s="2"/>
      <c r="T59" s="6">
        <v>230</v>
      </c>
      <c r="U59" s="2"/>
      <c r="V59" s="7">
        <f t="shared" si="51"/>
        <v>0</v>
      </c>
      <c r="W59" s="2"/>
      <c r="X59" s="6">
        <f t="shared" si="52"/>
        <v>-230</v>
      </c>
      <c r="Y59" s="2"/>
      <c r="Z59" s="7">
        <f t="shared" si="53"/>
        <v>-1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6"/>
      <c r="E60" s="2"/>
      <c r="F60" s="7">
        <f t="shared" si="46"/>
        <v>0</v>
      </c>
      <c r="G60" s="2"/>
      <c r="H60" s="6"/>
      <c r="I60" s="2"/>
      <c r="J60" s="7">
        <f t="shared" si="47"/>
        <v>0</v>
      </c>
      <c r="K60" s="2"/>
      <c r="L60" s="6">
        <f t="shared" si="48"/>
        <v>0</v>
      </c>
      <c r="M60" s="2"/>
      <c r="N60" s="7">
        <f t="shared" si="49"/>
        <v>0</v>
      </c>
      <c r="O60" s="11"/>
      <c r="P60" s="6">
        <v>3660</v>
      </c>
      <c r="Q60" s="2"/>
      <c r="R60" s="7">
        <f t="shared" si="50"/>
        <v>1.6998571516218239E-2</v>
      </c>
      <c r="S60" s="2"/>
      <c r="T60" s="6"/>
      <c r="U60" s="2"/>
      <c r="V60" s="7">
        <f t="shared" si="51"/>
        <v>0</v>
      </c>
      <c r="W60" s="2"/>
      <c r="X60" s="6">
        <f t="shared" si="52"/>
        <v>3660</v>
      </c>
      <c r="Y60" s="2"/>
      <c r="Z60" s="7">
        <f t="shared" si="53"/>
        <v>0</v>
      </c>
    </row>
    <row r="61" spans="1:26" s="24" customFormat="1" hidden="1" outlineLevel="2" x14ac:dyDescent="0.3">
      <c r="A61" s="27"/>
      <c r="B61" s="11" t="str">
        <f>CONCATENATE("          ", "6286", " - ", "LAUNDRY EXPENSE")</f>
        <v xml:space="preserve">          6286 - LAUNDRY EXPENSE</v>
      </c>
      <c r="C61" s="11"/>
      <c r="D61" s="6">
        <v>20.7</v>
      </c>
      <c r="E61" s="2"/>
      <c r="F61" s="7">
        <f t="shared" si="46"/>
        <v>4.4720023487734075E-4</v>
      </c>
      <c r="G61" s="2"/>
      <c r="H61" s="6"/>
      <c r="I61" s="2"/>
      <c r="J61" s="7">
        <f t="shared" si="47"/>
        <v>0</v>
      </c>
      <c r="K61" s="2"/>
      <c r="L61" s="6">
        <f t="shared" si="48"/>
        <v>20.7</v>
      </c>
      <c r="M61" s="2"/>
      <c r="N61" s="7">
        <f t="shared" si="49"/>
        <v>0</v>
      </c>
      <c r="O61" s="11"/>
      <c r="P61" s="6">
        <v>276.14</v>
      </c>
      <c r="Q61" s="2"/>
      <c r="R61" s="7">
        <f t="shared" si="50"/>
        <v>1.2825097099695368E-3</v>
      </c>
      <c r="S61" s="2"/>
      <c r="T61" s="6"/>
      <c r="U61" s="2"/>
      <c r="V61" s="7">
        <f t="shared" si="51"/>
        <v>0</v>
      </c>
      <c r="W61" s="2"/>
      <c r="X61" s="6">
        <f t="shared" si="52"/>
        <v>276.14</v>
      </c>
      <c r="Y61" s="2"/>
      <c r="Z61" s="7">
        <f t="shared" si="53"/>
        <v>0</v>
      </c>
    </row>
    <row r="62" spans="1:26" s="29" customFormat="1" outlineLevel="1" collapsed="1" x14ac:dyDescent="0.3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44.9</v>
      </c>
      <c r="E62" s="1"/>
      <c r="F62" s="5">
        <f t="shared" ref="F62:F72" si="54">IF(D$12=0,0,D62/D$12)</f>
        <v>9.7001403603828981E-4</v>
      </c>
      <c r="G62" s="1"/>
      <c r="H62" s="1">
        <f>SUM(OSRRefH22_12x_0)</f>
        <v>0</v>
      </c>
      <c r="I62" s="1"/>
      <c r="J62" s="5">
        <f t="shared" ref="J62:J72" si="55">IF(H$12=0,0,H62/H$12)</f>
        <v>0</v>
      </c>
      <c r="K62" s="1"/>
      <c r="L62" s="1">
        <f t="shared" ref="L62:L72" si="56">+D62-H62</f>
        <v>44.9</v>
      </c>
      <c r="M62" s="1"/>
      <c r="N62" s="5">
        <f t="shared" ref="N62:N72" si="57">IF(H62=0,0,L62/H62)</f>
        <v>0</v>
      </c>
      <c r="O62" s="14"/>
      <c r="P62" s="1">
        <f>SUM(OSRRefP22_12x_0)</f>
        <v>217.94</v>
      </c>
      <c r="Q62" s="1"/>
      <c r="R62" s="5">
        <f t="shared" ref="R62:R72" si="58">IF(P$12=0,0,P62/P$12)</f>
        <v>1.0122045563509844E-3</v>
      </c>
      <c r="S62" s="1"/>
      <c r="T62" s="1">
        <f>SUM(OSRRefT22_12x_0)</f>
        <v>0</v>
      </c>
      <c r="U62" s="1"/>
      <c r="V62" s="5">
        <f t="shared" ref="V62:V72" si="59">IF(T$12=0,0,T62/T$12)</f>
        <v>0</v>
      </c>
      <c r="W62" s="1"/>
      <c r="X62" s="1">
        <f t="shared" ref="X62:X72" si="60">+P62-T62</f>
        <v>217.94</v>
      </c>
      <c r="Y62" s="1"/>
      <c r="Z62" s="5">
        <f t="shared" ref="Z62:Z72" si="61">IF(T62=0,0,X62/T62)</f>
        <v>0</v>
      </c>
    </row>
    <row r="63" spans="1:26" s="24" customFormat="1" hidden="1" outlineLevel="2" x14ac:dyDescent="0.3">
      <c r="A63" s="27"/>
      <c r="B63" s="11" t="str">
        <f>CONCATENATE("          ", "6275", " - ", "SUBSCRIPTIONS")</f>
        <v xml:space="preserve">          6275 - SUBSCRIPTIONS</v>
      </c>
      <c r="C63" s="11"/>
      <c r="D63" s="6">
        <v>44.9</v>
      </c>
      <c r="E63" s="2"/>
      <c r="F63" s="7">
        <f t="shared" si="54"/>
        <v>9.7001403603828981E-4</v>
      </c>
      <c r="G63" s="2"/>
      <c r="H63" s="6"/>
      <c r="I63" s="2"/>
      <c r="J63" s="7">
        <f t="shared" si="55"/>
        <v>0</v>
      </c>
      <c r="K63" s="2"/>
      <c r="L63" s="6">
        <f t="shared" si="56"/>
        <v>44.9</v>
      </c>
      <c r="M63" s="2"/>
      <c r="N63" s="7">
        <f t="shared" si="57"/>
        <v>0</v>
      </c>
      <c r="O63" s="11"/>
      <c r="P63" s="6">
        <v>217.94</v>
      </c>
      <c r="Q63" s="2"/>
      <c r="R63" s="7">
        <f t="shared" si="58"/>
        <v>1.0122045563509844E-3</v>
      </c>
      <c r="S63" s="2"/>
      <c r="T63" s="6"/>
      <c r="U63" s="2"/>
      <c r="V63" s="7">
        <f t="shared" si="59"/>
        <v>0</v>
      </c>
      <c r="W63" s="2"/>
      <c r="X63" s="6">
        <f t="shared" si="60"/>
        <v>217.94</v>
      </c>
      <c r="Y63" s="2"/>
      <c r="Z63" s="7">
        <f t="shared" si="61"/>
        <v>0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409.18</v>
      </c>
      <c r="E64" s="1"/>
      <c r="F64" s="5">
        <f t="shared" si="54"/>
        <v>8.8398740148362461E-3</v>
      </c>
      <c r="G64" s="1"/>
      <c r="H64" s="1">
        <f>SUM(OSRRefH22_13x_0)</f>
        <v>72</v>
      </c>
      <c r="I64" s="1"/>
      <c r="J64" s="5">
        <f t="shared" si="55"/>
        <v>0</v>
      </c>
      <c r="K64" s="1"/>
      <c r="L64" s="1">
        <f t="shared" si="56"/>
        <v>337.18</v>
      </c>
      <c r="M64" s="1"/>
      <c r="N64" s="5">
        <f t="shared" si="57"/>
        <v>4.6830555555555557</v>
      </c>
      <c r="O64" s="14"/>
      <c r="P64" s="1">
        <f>SUM(OSRRefP22_13x_0)</f>
        <v>4790.5599999999995</v>
      </c>
      <c r="Q64" s="1"/>
      <c r="R64" s="5">
        <f t="shared" si="58"/>
        <v>2.2249365235719794E-2</v>
      </c>
      <c r="S64" s="1"/>
      <c r="T64" s="1">
        <f>SUM(OSRRefT22_13x_0)</f>
        <v>72</v>
      </c>
      <c r="U64" s="1"/>
      <c r="V64" s="5">
        <f t="shared" si="59"/>
        <v>0</v>
      </c>
      <c r="W64" s="1"/>
      <c r="X64" s="1">
        <f t="shared" si="60"/>
        <v>4718.5599999999995</v>
      </c>
      <c r="Y64" s="1"/>
      <c r="Z64" s="5">
        <f t="shared" si="61"/>
        <v>65.535555555555547</v>
      </c>
    </row>
    <row r="65" spans="1:26" s="24" customFormat="1" hidden="1" outlineLevel="2" x14ac:dyDescent="0.3">
      <c r="A65" s="27"/>
      <c r="B65" s="11" t="str">
        <f>CONCATENATE("          ", "6235", " - ", "COVID-19 EXPENSES")</f>
        <v xml:space="preserve">          6235 - COVID-19 EXPENSES</v>
      </c>
      <c r="C65" s="11"/>
      <c r="D65" s="6"/>
      <c r="E65" s="2"/>
      <c r="F65" s="7">
        <f t="shared" si="54"/>
        <v>0</v>
      </c>
      <c r="G65" s="2"/>
      <c r="H65" s="6"/>
      <c r="I65" s="2"/>
      <c r="J65" s="7">
        <f t="shared" si="55"/>
        <v>0</v>
      </c>
      <c r="K65" s="2"/>
      <c r="L65" s="6">
        <f t="shared" si="56"/>
        <v>0</v>
      </c>
      <c r="M65" s="2"/>
      <c r="N65" s="7">
        <f t="shared" si="57"/>
        <v>0</v>
      </c>
      <c r="O65" s="11"/>
      <c r="P65" s="6">
        <v>193.5</v>
      </c>
      <c r="Q65" s="2"/>
      <c r="R65" s="7">
        <f t="shared" si="58"/>
        <v>8.9869496950498076E-4</v>
      </c>
      <c r="S65" s="2"/>
      <c r="T65" s="6"/>
      <c r="U65" s="2"/>
      <c r="V65" s="7">
        <f t="shared" si="59"/>
        <v>0</v>
      </c>
      <c r="W65" s="2"/>
      <c r="X65" s="6">
        <f t="shared" si="60"/>
        <v>193.5</v>
      </c>
      <c r="Y65" s="2"/>
      <c r="Z65" s="7">
        <f t="shared" si="61"/>
        <v>0</v>
      </c>
    </row>
    <row r="66" spans="1:26" s="24" customFormat="1" hidden="1" outlineLevel="2" x14ac:dyDescent="0.3">
      <c r="A66" s="27"/>
      <c r="B66" s="11" t="str">
        <f>CONCATENATE("          ", "6237", " - ", "JANITORIAL SUPPLIES")</f>
        <v xml:space="preserve">          6237 - JANITORIAL SUPPLIES</v>
      </c>
      <c r="C66" s="11"/>
      <c r="D66" s="6"/>
      <c r="E66" s="2"/>
      <c r="F66" s="7">
        <f t="shared" si="54"/>
        <v>0</v>
      </c>
      <c r="G66" s="2"/>
      <c r="H66" s="6">
        <v>72</v>
      </c>
      <c r="I66" s="2"/>
      <c r="J66" s="7">
        <f t="shared" si="55"/>
        <v>0</v>
      </c>
      <c r="K66" s="2"/>
      <c r="L66" s="6">
        <f t="shared" si="56"/>
        <v>-72</v>
      </c>
      <c r="M66" s="2"/>
      <c r="N66" s="7">
        <f t="shared" si="57"/>
        <v>-1</v>
      </c>
      <c r="O66" s="11"/>
      <c r="P66" s="6">
        <v>48.12</v>
      </c>
      <c r="Q66" s="2"/>
      <c r="R66" s="7">
        <f t="shared" si="58"/>
        <v>2.2348941567224635E-4</v>
      </c>
      <c r="S66" s="2"/>
      <c r="T66" s="6">
        <v>72</v>
      </c>
      <c r="U66" s="2"/>
      <c r="V66" s="7">
        <f t="shared" si="59"/>
        <v>0</v>
      </c>
      <c r="W66" s="2"/>
      <c r="X66" s="6">
        <f t="shared" si="60"/>
        <v>-23.880000000000003</v>
      </c>
      <c r="Y66" s="2"/>
      <c r="Z66" s="7">
        <f t="shared" si="61"/>
        <v>-0.33166666666666672</v>
      </c>
    </row>
    <row r="67" spans="1:26" s="24" customFormat="1" hidden="1" outlineLevel="2" x14ac:dyDescent="0.3">
      <c r="A67" s="27"/>
      <c r="B67" s="11" t="str">
        <f>CONCATENATE("          ", "6239", " - ", "KITCHEN SUPPLIES")</f>
        <v xml:space="preserve">          6239 - KITCHEN SUPPLIES</v>
      </c>
      <c r="C67" s="11"/>
      <c r="D67" s="6">
        <v>105.7</v>
      </c>
      <c r="E67" s="2"/>
      <c r="F67" s="7">
        <f t="shared" si="54"/>
        <v>2.2835297017649719E-3</v>
      </c>
      <c r="G67" s="2"/>
      <c r="H67" s="6"/>
      <c r="I67" s="2"/>
      <c r="J67" s="7">
        <f t="shared" si="55"/>
        <v>0</v>
      </c>
      <c r="K67" s="2"/>
      <c r="L67" s="6">
        <f t="shared" si="56"/>
        <v>105.7</v>
      </c>
      <c r="M67" s="2"/>
      <c r="N67" s="7">
        <f t="shared" si="57"/>
        <v>0</v>
      </c>
      <c r="O67" s="11"/>
      <c r="P67" s="6">
        <v>874.86</v>
      </c>
      <c r="Q67" s="2"/>
      <c r="R67" s="7">
        <f t="shared" si="58"/>
        <v>4.063215922589806E-3</v>
      </c>
      <c r="S67" s="2"/>
      <c r="T67" s="6"/>
      <c r="U67" s="2"/>
      <c r="V67" s="7">
        <f t="shared" si="59"/>
        <v>0</v>
      </c>
      <c r="W67" s="2"/>
      <c r="X67" s="6">
        <f t="shared" si="60"/>
        <v>874.86</v>
      </c>
      <c r="Y67" s="2"/>
      <c r="Z67" s="7">
        <f t="shared" si="61"/>
        <v>0</v>
      </c>
    </row>
    <row r="68" spans="1:26" s="24" customFormat="1" hidden="1" outlineLevel="2" x14ac:dyDescent="0.3">
      <c r="A68" s="27"/>
      <c r="B68" s="11" t="str">
        <f>CONCATENATE("          ", "6241", " - ", "OFFICE EXPENSE")</f>
        <v xml:space="preserve">          6241 - OFFICE EXPENSE</v>
      </c>
      <c r="C68" s="11"/>
      <c r="D68" s="6">
        <v>110.53</v>
      </c>
      <c r="E68" s="2"/>
      <c r="F68" s="7">
        <f t="shared" si="54"/>
        <v>2.3878764232363515E-3</v>
      </c>
      <c r="G68" s="2"/>
      <c r="H68" s="6"/>
      <c r="I68" s="2"/>
      <c r="J68" s="7">
        <f t="shared" si="55"/>
        <v>0</v>
      </c>
      <c r="K68" s="2"/>
      <c r="L68" s="6">
        <f t="shared" si="56"/>
        <v>110.53</v>
      </c>
      <c r="M68" s="2"/>
      <c r="N68" s="7">
        <f t="shared" si="57"/>
        <v>0</v>
      </c>
      <c r="O68" s="11"/>
      <c r="P68" s="6">
        <v>1742.61</v>
      </c>
      <c r="Q68" s="2"/>
      <c r="R68" s="7">
        <f t="shared" si="58"/>
        <v>8.0934100300210556E-3</v>
      </c>
      <c r="S68" s="2"/>
      <c r="T68" s="6"/>
      <c r="U68" s="2"/>
      <c r="V68" s="7">
        <f t="shared" si="59"/>
        <v>0</v>
      </c>
      <c r="W68" s="2"/>
      <c r="X68" s="6">
        <f t="shared" si="60"/>
        <v>1742.61</v>
      </c>
      <c r="Y68" s="2"/>
      <c r="Z68" s="7">
        <f t="shared" si="61"/>
        <v>0</v>
      </c>
    </row>
    <row r="69" spans="1:26" s="24" customFormat="1" hidden="1" outlineLevel="2" x14ac:dyDescent="0.3">
      <c r="A69" s="27"/>
      <c r="B69" s="11" t="str">
        <f>CONCATENATE("          ", "6243", " - ", "PAPER SUPPLIES")</f>
        <v xml:space="preserve">          6243 - PAPER SUPPLIES</v>
      </c>
      <c r="C69" s="11"/>
      <c r="D69" s="6"/>
      <c r="E69" s="2"/>
      <c r="F69" s="7">
        <f t="shared" si="54"/>
        <v>0</v>
      </c>
      <c r="G69" s="2"/>
      <c r="H69" s="6"/>
      <c r="I69" s="2"/>
      <c r="J69" s="7">
        <f t="shared" si="55"/>
        <v>0</v>
      </c>
      <c r="K69" s="2"/>
      <c r="L69" s="6">
        <f t="shared" si="56"/>
        <v>0</v>
      </c>
      <c r="M69" s="2"/>
      <c r="N69" s="7">
        <f t="shared" si="57"/>
        <v>0</v>
      </c>
      <c r="O69" s="11"/>
      <c r="P69" s="6">
        <v>444.91</v>
      </c>
      <c r="Q69" s="2"/>
      <c r="R69" s="7">
        <f t="shared" si="58"/>
        <v>2.0663482112788681E-3</v>
      </c>
      <c r="S69" s="2"/>
      <c r="T69" s="6"/>
      <c r="U69" s="2"/>
      <c r="V69" s="7">
        <f t="shared" si="59"/>
        <v>0</v>
      </c>
      <c r="W69" s="2"/>
      <c r="X69" s="6">
        <f t="shared" si="60"/>
        <v>444.91</v>
      </c>
      <c r="Y69" s="2"/>
      <c r="Z69" s="7">
        <f t="shared" si="61"/>
        <v>0</v>
      </c>
    </row>
    <row r="70" spans="1:26" s="24" customFormat="1" hidden="1" outlineLevel="2" x14ac:dyDescent="0.3">
      <c r="A70" s="27"/>
      <c r="B70" s="11" t="str">
        <f>CONCATENATE("          ", "6245", " - ", "PRINTING")</f>
        <v xml:space="preserve">          6245 - PRINTING</v>
      </c>
      <c r="C70" s="11"/>
      <c r="D70" s="6"/>
      <c r="E70" s="2"/>
      <c r="F70" s="7">
        <f t="shared" si="54"/>
        <v>0</v>
      </c>
      <c r="G70" s="2"/>
      <c r="H70" s="6"/>
      <c r="I70" s="2"/>
      <c r="J70" s="7">
        <f t="shared" si="55"/>
        <v>0</v>
      </c>
      <c r="K70" s="2"/>
      <c r="L70" s="6">
        <f t="shared" si="56"/>
        <v>0</v>
      </c>
      <c r="M70" s="2"/>
      <c r="N70" s="7">
        <f t="shared" si="57"/>
        <v>0</v>
      </c>
      <c r="O70" s="11"/>
      <c r="P70" s="6">
        <v>733</v>
      </c>
      <c r="Q70" s="2"/>
      <c r="R70" s="7">
        <f t="shared" si="58"/>
        <v>3.4043587216907021E-3</v>
      </c>
      <c r="S70" s="2"/>
      <c r="T70" s="6"/>
      <c r="U70" s="2"/>
      <c r="V70" s="7">
        <f t="shared" si="59"/>
        <v>0</v>
      </c>
      <c r="W70" s="2"/>
      <c r="X70" s="6">
        <f t="shared" si="60"/>
        <v>733</v>
      </c>
      <c r="Y70" s="2"/>
      <c r="Z70" s="7">
        <f t="shared" si="61"/>
        <v>0</v>
      </c>
    </row>
    <row r="71" spans="1:26" s="24" customFormat="1" hidden="1" outlineLevel="2" x14ac:dyDescent="0.3">
      <c r="A71" s="27"/>
      <c r="B71" s="11" t="str">
        <f>CONCATENATE("          ", "6247", " - ", "STORE SUPPLIES")</f>
        <v xml:space="preserve">          6247 - STORE SUPPLIES</v>
      </c>
      <c r="C71" s="11"/>
      <c r="D71" s="6">
        <v>-60</v>
      </c>
      <c r="E71" s="2"/>
      <c r="F71" s="7">
        <f t="shared" si="54"/>
        <v>-1.2962325648618574E-3</v>
      </c>
      <c r="G71" s="2"/>
      <c r="H71" s="6"/>
      <c r="I71" s="2"/>
      <c r="J71" s="7">
        <f t="shared" si="55"/>
        <v>0</v>
      </c>
      <c r="K71" s="2"/>
      <c r="L71" s="6">
        <f t="shared" si="56"/>
        <v>-60</v>
      </c>
      <c r="M71" s="2"/>
      <c r="N71" s="7">
        <f t="shared" si="57"/>
        <v>0</v>
      </c>
      <c r="O71" s="11"/>
      <c r="P71" s="6">
        <v>500.61</v>
      </c>
      <c r="Q71" s="2"/>
      <c r="R71" s="7">
        <f t="shared" si="58"/>
        <v>2.3250423187797849E-3</v>
      </c>
      <c r="S71" s="2"/>
      <c r="T71" s="6"/>
      <c r="U71" s="2"/>
      <c r="V71" s="7">
        <f t="shared" si="59"/>
        <v>0</v>
      </c>
      <c r="W71" s="2"/>
      <c r="X71" s="6">
        <f t="shared" si="60"/>
        <v>500.61</v>
      </c>
      <c r="Y71" s="2"/>
      <c r="Z71" s="7">
        <f t="shared" si="61"/>
        <v>0</v>
      </c>
    </row>
    <row r="72" spans="1:26" s="24" customFormat="1" hidden="1" outlineLevel="2" x14ac:dyDescent="0.3">
      <c r="A72" s="27"/>
      <c r="B72" s="11" t="str">
        <f>CONCATENATE("          ", "6248", " - ", "UNIFORMS")</f>
        <v xml:space="preserve">          6248 - UNIFORMS</v>
      </c>
      <c r="C72" s="11"/>
      <c r="D72" s="6">
        <v>252.95</v>
      </c>
      <c r="E72" s="2"/>
      <c r="F72" s="7">
        <f t="shared" si="54"/>
        <v>5.4647004546967796E-3</v>
      </c>
      <c r="G72" s="2"/>
      <c r="H72" s="6"/>
      <c r="I72" s="2"/>
      <c r="J72" s="7">
        <f t="shared" si="55"/>
        <v>0</v>
      </c>
      <c r="K72" s="2"/>
      <c r="L72" s="6">
        <f t="shared" si="56"/>
        <v>252.95</v>
      </c>
      <c r="M72" s="2"/>
      <c r="N72" s="7">
        <f t="shared" si="57"/>
        <v>0</v>
      </c>
      <c r="O72" s="11"/>
      <c r="P72" s="6">
        <v>252.95</v>
      </c>
      <c r="Q72" s="2"/>
      <c r="R72" s="7">
        <f t="shared" si="58"/>
        <v>1.1748056461823508E-3</v>
      </c>
      <c r="S72" s="2"/>
      <c r="T72" s="6"/>
      <c r="U72" s="2"/>
      <c r="V72" s="7">
        <f t="shared" si="59"/>
        <v>0</v>
      </c>
      <c r="W72" s="2"/>
      <c r="X72" s="6">
        <f t="shared" si="60"/>
        <v>252.95</v>
      </c>
      <c r="Y72" s="2"/>
      <c r="Z72" s="7">
        <f t="shared" si="61"/>
        <v>0</v>
      </c>
    </row>
    <row r="73" spans="1:26" s="29" customFormat="1" outlineLevel="1" collapsed="1" x14ac:dyDescent="0.3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75</v>
      </c>
      <c r="E73" s="1"/>
      <c r="F73" s="5">
        <f t="shared" ref="F73:F76" si="62">IF(D$12=0,0,D73/D$12)</f>
        <v>1.6202907060773215E-3</v>
      </c>
      <c r="G73" s="1"/>
      <c r="H73" s="1">
        <f>SUM(OSRRefH22_14x_0)</f>
        <v>0</v>
      </c>
      <c r="I73" s="1"/>
      <c r="J73" s="5">
        <f t="shared" ref="J73:J76" si="63">IF(H$12=0,0,H73/H$12)</f>
        <v>0</v>
      </c>
      <c r="K73" s="1"/>
      <c r="L73" s="1">
        <f t="shared" ref="L73:L76" si="64">+D73-H73</f>
        <v>75</v>
      </c>
      <c r="M73" s="1"/>
      <c r="N73" s="5">
        <f t="shared" ref="N73:N76" si="65">IF(H73=0,0,L73/H73)</f>
        <v>0</v>
      </c>
      <c r="O73" s="14"/>
      <c r="P73" s="1">
        <f>SUM(OSRRefP22_14x_0)</f>
        <v>600</v>
      </c>
      <c r="Q73" s="1"/>
      <c r="R73" s="5">
        <f t="shared" ref="R73:R76" si="66">IF(P$12=0,0,P73/P$12)</f>
        <v>2.7866510682324984E-3</v>
      </c>
      <c r="S73" s="1"/>
      <c r="T73" s="1">
        <f>SUM(OSRRefT22_14x_0)</f>
        <v>77.430000000000007</v>
      </c>
      <c r="U73" s="1"/>
      <c r="V73" s="5">
        <f t="shared" ref="V73:V76" si="67">IF(T$12=0,0,T73/T$12)</f>
        <v>0</v>
      </c>
      <c r="W73" s="1"/>
      <c r="X73" s="1">
        <f t="shared" ref="X73:X76" si="68">+P73-T73</f>
        <v>522.56999999999994</v>
      </c>
      <c r="Y73" s="1"/>
      <c r="Z73" s="5">
        <f t="shared" ref="Z73:Z76" si="69">IF(T73=0,0,X73/T73)</f>
        <v>6.7489345215032923</v>
      </c>
    </row>
    <row r="74" spans="1:26" s="24" customFormat="1" hidden="1" outlineLevel="2" x14ac:dyDescent="0.3">
      <c r="A74" s="27"/>
      <c r="B74" s="11" t="str">
        <f>CONCATENATE("          ", "6309", " - ", "TELEPHONE")</f>
        <v xml:space="preserve">          6309 - TELEPHONE</v>
      </c>
      <c r="C74" s="11"/>
      <c r="D74" s="6">
        <v>75</v>
      </c>
      <c r="E74" s="2"/>
      <c r="F74" s="7">
        <f t="shared" si="62"/>
        <v>1.6202907060773215E-3</v>
      </c>
      <c r="G74" s="2"/>
      <c r="H74" s="6"/>
      <c r="I74" s="2"/>
      <c r="J74" s="7">
        <f t="shared" si="63"/>
        <v>0</v>
      </c>
      <c r="K74" s="2"/>
      <c r="L74" s="6">
        <f t="shared" si="64"/>
        <v>75</v>
      </c>
      <c r="M74" s="2"/>
      <c r="N74" s="7">
        <f t="shared" si="65"/>
        <v>0</v>
      </c>
      <c r="O74" s="11"/>
      <c r="P74" s="6">
        <v>600</v>
      </c>
      <c r="Q74" s="2"/>
      <c r="R74" s="7">
        <f t="shared" si="66"/>
        <v>2.7866510682324984E-3</v>
      </c>
      <c r="S74" s="2"/>
      <c r="T74" s="6">
        <v>77.430000000000007</v>
      </c>
      <c r="U74" s="2"/>
      <c r="V74" s="7">
        <f t="shared" si="67"/>
        <v>0</v>
      </c>
      <c r="W74" s="2"/>
      <c r="X74" s="6">
        <f t="shared" si="68"/>
        <v>522.56999999999994</v>
      </c>
      <c r="Y74" s="2"/>
      <c r="Z74" s="7">
        <f t="shared" si="69"/>
        <v>6.7489345215032923</v>
      </c>
    </row>
    <row r="75" spans="1:26" s="29" customFormat="1" outlineLevel="1" collapsed="1" x14ac:dyDescent="0.3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SUM(OSRRefD22_15x_0)</f>
        <v>200</v>
      </c>
      <c r="E75" s="1"/>
      <c r="F75" s="5">
        <f t="shared" si="62"/>
        <v>4.3207752162061908E-3</v>
      </c>
      <c r="G75" s="1"/>
      <c r="H75" s="1">
        <f>SUM(OSRRefH22_15x_0)</f>
        <v>348</v>
      </c>
      <c r="I75" s="1"/>
      <c r="J75" s="5">
        <f t="shared" si="63"/>
        <v>0</v>
      </c>
      <c r="K75" s="1"/>
      <c r="L75" s="1">
        <f t="shared" si="64"/>
        <v>-148</v>
      </c>
      <c r="M75" s="1"/>
      <c r="N75" s="5">
        <f t="shared" si="65"/>
        <v>-0.42528735632183906</v>
      </c>
      <c r="O75" s="14"/>
      <c r="P75" s="1">
        <f>SUM(OSRRefP22_15x_0)</f>
        <v>1000</v>
      </c>
      <c r="Q75" s="1"/>
      <c r="R75" s="5">
        <f t="shared" si="66"/>
        <v>4.6444184470541636E-3</v>
      </c>
      <c r="S75" s="1"/>
      <c r="T75" s="1">
        <f>SUM(OSRRefT22_15x_0)</f>
        <v>696</v>
      </c>
      <c r="U75" s="1"/>
      <c r="V75" s="5">
        <f t="shared" si="67"/>
        <v>0</v>
      </c>
      <c r="W75" s="1"/>
      <c r="X75" s="1">
        <f t="shared" si="68"/>
        <v>304</v>
      </c>
      <c r="Y75" s="1"/>
      <c r="Z75" s="5">
        <f t="shared" si="69"/>
        <v>0.43678160919540232</v>
      </c>
    </row>
    <row r="76" spans="1:26" s="24" customFormat="1" hidden="1" outlineLevel="2" x14ac:dyDescent="0.3">
      <c r="A76" s="27"/>
      <c r="B76" s="11" t="str">
        <f>CONCATENATE("          ", "6274", " - ", "UTILITIES")</f>
        <v xml:space="preserve">          6274 - UTILITIES</v>
      </c>
      <c r="C76" s="11"/>
      <c r="D76" s="6">
        <v>200</v>
      </c>
      <c r="E76" s="2"/>
      <c r="F76" s="7">
        <f t="shared" si="62"/>
        <v>4.3207752162061908E-3</v>
      </c>
      <c r="G76" s="2"/>
      <c r="H76" s="6">
        <v>348</v>
      </c>
      <c r="I76" s="2"/>
      <c r="J76" s="7">
        <f t="shared" si="63"/>
        <v>0</v>
      </c>
      <c r="K76" s="2"/>
      <c r="L76" s="6">
        <f t="shared" si="64"/>
        <v>-148</v>
      </c>
      <c r="M76" s="2"/>
      <c r="N76" s="7">
        <f t="shared" si="65"/>
        <v>-0.42528735632183906</v>
      </c>
      <c r="O76" s="11"/>
      <c r="P76" s="6">
        <v>1000</v>
      </c>
      <c r="Q76" s="2"/>
      <c r="R76" s="7">
        <f t="shared" si="66"/>
        <v>4.6444184470541636E-3</v>
      </c>
      <c r="S76" s="2"/>
      <c r="T76" s="6">
        <v>696</v>
      </c>
      <c r="U76" s="2"/>
      <c r="V76" s="7">
        <f t="shared" si="67"/>
        <v>0</v>
      </c>
      <c r="W76" s="2"/>
      <c r="X76" s="6">
        <f t="shared" si="68"/>
        <v>304</v>
      </c>
      <c r="Y76" s="2"/>
      <c r="Z76" s="7">
        <f t="shared" si="69"/>
        <v>0.43678160919540232</v>
      </c>
    </row>
    <row r="77" spans="1:26" s="62" customFormat="1" x14ac:dyDescent="0.3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">
      <c r="A78" s="10"/>
      <c r="B78" s="26" t="s">
        <v>292</v>
      </c>
      <c r="C78" s="10"/>
      <c r="D78" s="4">
        <f>SUM(OSRRefD25x_0)</f>
        <v>192</v>
      </c>
      <c r="E78" s="4"/>
      <c r="F78" s="12">
        <f t="shared" ref="F78:F79" si="70">IF(D$12=0,0,D78/D$12)</f>
        <v>4.1479442075579437E-3</v>
      </c>
      <c r="G78" s="4"/>
      <c r="H78" s="4">
        <f>SUM(OSRRefH25x_0)</f>
        <v>0</v>
      </c>
      <c r="I78" s="4"/>
      <c r="J78" s="12">
        <f t="shared" ref="J78:J79" si="71">IF(H$12=0,0,H78/H$12)</f>
        <v>0</v>
      </c>
      <c r="K78" s="4"/>
      <c r="L78" s="4">
        <f t="shared" ref="L78:L79" si="72">+D78-H78</f>
        <v>192</v>
      </c>
      <c r="M78" s="4"/>
      <c r="N78" s="12">
        <f t="shared" ref="N78:N79" si="73">IF(H78=0,0,L78/H78)</f>
        <v>0</v>
      </c>
      <c r="O78" s="10"/>
      <c r="P78" s="4">
        <f>SUM(OSRRefP25x_0)</f>
        <v>192</v>
      </c>
      <c r="Q78" s="4"/>
      <c r="R78" s="12">
        <f t="shared" ref="R78:R79" si="74">IF(P$12=0,0,P78/P$12)</f>
        <v>8.9172834183439949E-4</v>
      </c>
      <c r="S78" s="4"/>
      <c r="T78" s="4">
        <f>SUM(OSRRefT25x_0)</f>
        <v>0</v>
      </c>
      <c r="U78" s="4"/>
      <c r="V78" s="12">
        <f t="shared" ref="V78:V79" si="75">IF(T$12=0,0,T78/T$12)</f>
        <v>0</v>
      </c>
      <c r="W78" s="4"/>
      <c r="X78" s="4">
        <f t="shared" ref="X78:X79" si="76">+P78-T78</f>
        <v>192</v>
      </c>
      <c r="Y78" s="4"/>
      <c r="Z78" s="12">
        <f t="shared" ref="Z78:Z79" si="77">IF(T78=0,0,X78/T78)</f>
        <v>0</v>
      </c>
    </row>
    <row r="79" spans="1:26" s="24" customFormat="1" hidden="1" outlineLevel="1" x14ac:dyDescent="0.3">
      <c r="A79" s="44"/>
      <c r="B79" s="11" t="str">
        <f>CONCATENATE("          ", "9150", " - ", "MISC. INCOME")</f>
        <v xml:space="preserve">          9150 - MISC. INCOME</v>
      </c>
      <c r="C79" s="11"/>
      <c r="D79" s="2">
        <f>--192</f>
        <v>192</v>
      </c>
      <c r="E79" s="2"/>
      <c r="F79" s="19">
        <f t="shared" si="70"/>
        <v>4.1479442075579437E-3</v>
      </c>
      <c r="G79" s="2"/>
      <c r="H79" s="2">
        <f>0</f>
        <v>0</v>
      </c>
      <c r="I79" s="2"/>
      <c r="J79" s="19">
        <f t="shared" si="71"/>
        <v>0</v>
      </c>
      <c r="K79" s="2"/>
      <c r="L79" s="2">
        <f t="shared" si="72"/>
        <v>192</v>
      </c>
      <c r="M79" s="2"/>
      <c r="N79" s="19">
        <f t="shared" si="73"/>
        <v>0</v>
      </c>
      <c r="O79" s="11"/>
      <c r="P79" s="2">
        <f>--192</f>
        <v>192</v>
      </c>
      <c r="Q79" s="2"/>
      <c r="R79" s="19">
        <f t="shared" si="74"/>
        <v>8.9172834183439949E-4</v>
      </c>
      <c r="S79" s="2"/>
      <c r="T79" s="2">
        <f>0</f>
        <v>0</v>
      </c>
      <c r="U79" s="2"/>
      <c r="V79" s="19">
        <f t="shared" si="75"/>
        <v>0</v>
      </c>
      <c r="W79" s="2"/>
      <c r="X79" s="2">
        <f t="shared" si="76"/>
        <v>192</v>
      </c>
      <c r="Y79" s="2"/>
      <c r="Z79" s="19">
        <f t="shared" si="77"/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+D20-D22+D78</f>
        <v>-9356.7599999999911</v>
      </c>
      <c r="E81" s="13"/>
      <c r="F81" s="22">
        <f>IF(D$12=0,0,D81/D$12)</f>
        <v>-0.20214228355994701</v>
      </c>
      <c r="G81" s="13"/>
      <c r="H81" s="21">
        <f>+H20-H22+H78</f>
        <v>-5768.84</v>
      </c>
      <c r="I81" s="13"/>
      <c r="J81" s="22">
        <f>IF(H$12=0,0,H81/H$12)</f>
        <v>0</v>
      </c>
      <c r="K81" s="16"/>
      <c r="L81" s="21">
        <f>+D81-H81</f>
        <v>-3587.919999999991</v>
      </c>
      <c r="M81" s="16"/>
      <c r="N81" s="22">
        <f>IF(H81=0,0,L81/H81)</f>
        <v>0.62194825996213987</v>
      </c>
      <c r="O81" s="26"/>
      <c r="P81" s="21">
        <f>+P20-P22+P78</f>
        <v>-34366.079999999929</v>
      </c>
      <c r="Q81" s="13"/>
      <c r="R81" s="22">
        <f>IF(P$12=0,0,P81/P$12)</f>
        <v>-0.15961045590493883</v>
      </c>
      <c r="S81" s="13"/>
      <c r="T81" s="21">
        <f>+T20-T22+T78</f>
        <v>-33871.68</v>
      </c>
      <c r="U81" s="13"/>
      <c r="V81" s="22">
        <f>IF(T$12=0,0,T81/T$12)</f>
        <v>0</v>
      </c>
      <c r="W81" s="16"/>
      <c r="X81" s="21">
        <f>+P81-T81</f>
        <v>-494.3999999999287</v>
      </c>
      <c r="Y81" s="16"/>
      <c r="Z81" s="22">
        <f>IF(T81=0,0,X81/T81)</f>
        <v>1.4596264489978906E-2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6108.41</v>
      </c>
      <c r="E83" s="4"/>
      <c r="F83" s="12">
        <f>IF(D$12=0,0,D83/D$12)</f>
        <v>0.13196533269213029</v>
      </c>
      <c r="G83" s="4"/>
      <c r="H83" s="4"/>
      <c r="I83" s="4"/>
      <c r="J83" s="12">
        <f>IF(H$12=0,0,H83/H$12)</f>
        <v>0</v>
      </c>
      <c r="K83" s="4"/>
      <c r="L83" s="4">
        <f>+D83-H83</f>
        <v>6108.41</v>
      </c>
      <c r="M83" s="4"/>
      <c r="N83" s="12">
        <f>IF(H83=0,0,L83/H83)</f>
        <v>0</v>
      </c>
      <c r="O83" s="10"/>
      <c r="P83" s="4">
        <v>25646.21</v>
      </c>
      <c r="Q83" s="4"/>
      <c r="R83" s="12">
        <f>IF(P$12=0,0,P83/P$12)</f>
        <v>0.11911173082102497</v>
      </c>
      <c r="S83" s="4"/>
      <c r="T83" s="4"/>
      <c r="U83" s="4"/>
      <c r="V83" s="12">
        <f>IF(T$12=0,0,T83/T$12)</f>
        <v>0</v>
      </c>
      <c r="W83" s="4"/>
      <c r="X83" s="4">
        <f>+P83-T83</f>
        <v>25646.21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5">
        <f>+D81-D83</f>
        <v>-15465.169999999991</v>
      </c>
      <c r="E85" s="13"/>
      <c r="F85" s="31">
        <f>IF(D$12=0,0,D85/D$12)</f>
        <v>-0.3341076162520773</v>
      </c>
      <c r="G85" s="13"/>
      <c r="H85" s="35">
        <f>+H81-H83</f>
        <v>-5768.84</v>
      </c>
      <c r="I85" s="13"/>
      <c r="J85" s="31">
        <f>IF(H$12=0,0,H85/H$12)</f>
        <v>0</v>
      </c>
      <c r="K85" s="16"/>
      <c r="L85" s="35">
        <f>D85-H85</f>
        <v>-9696.3299999999908</v>
      </c>
      <c r="M85" s="16"/>
      <c r="N85" s="31">
        <f>IF(H85=0,0,L85/H85)</f>
        <v>1.6808110469349107</v>
      </c>
      <c r="O85" s="26"/>
      <c r="P85" s="35">
        <f>+P81-P83</f>
        <v>-60012.289999999928</v>
      </c>
      <c r="Q85" s="13"/>
      <c r="R85" s="31">
        <f>IF(P$12=0,0,P85/P$12)</f>
        <v>-0.27872218672596383</v>
      </c>
      <c r="S85" s="13"/>
      <c r="T85" s="35">
        <f>+T81-T83</f>
        <v>-33871.68</v>
      </c>
      <c r="U85" s="13"/>
      <c r="V85" s="31">
        <f>IF(T$12=0,0,T85/T$12)</f>
        <v>0</v>
      </c>
      <c r="W85" s="16"/>
      <c r="X85" s="35">
        <f>P85-T85</f>
        <v>-26140.609999999928</v>
      </c>
      <c r="Y85" s="16"/>
      <c r="Z85" s="31">
        <f>IF(T85=0,0,X85/T85)</f>
        <v>0.77175416158867605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6">
        <f>SUM(D85:D87)</f>
        <v>-15465.169999999991</v>
      </c>
      <c r="E88" s="13"/>
      <c r="F88" s="33">
        <f>IF(D$12=0,0,D88/D$12)</f>
        <v>-0.3341076162520773</v>
      </c>
      <c r="G88" s="13"/>
      <c r="H88" s="36">
        <f>SUM(H85:H87)</f>
        <v>-5768.84</v>
      </c>
      <c r="I88" s="13"/>
      <c r="J88" s="33">
        <f>IF(H$12=0,0,H88/H$12)</f>
        <v>0</v>
      </c>
      <c r="K88" s="16"/>
      <c r="L88" s="36">
        <f>+D88-H88</f>
        <v>-9696.3299999999908</v>
      </c>
      <c r="M88" s="16"/>
      <c r="N88" s="33">
        <f>IF(H88=0,0,L88/H88)</f>
        <v>1.6808110469349107</v>
      </c>
      <c r="O88" s="26"/>
      <c r="P88" s="36">
        <f>SUM(P85:P87)</f>
        <v>-60012.289999999928</v>
      </c>
      <c r="Q88" s="13"/>
      <c r="R88" s="33">
        <f>IF(P$12=0,0,P88/P$12)</f>
        <v>-0.27872218672596383</v>
      </c>
      <c r="S88" s="13"/>
      <c r="T88" s="36">
        <f>SUM(T85:T87)</f>
        <v>-33871.68</v>
      </c>
      <c r="U88" s="13"/>
      <c r="V88" s="33">
        <f>IF(T$12=0,0,T88/T$12)</f>
        <v>0</v>
      </c>
      <c r="W88" s="16"/>
      <c r="X88" s="36">
        <f>+P88-T88</f>
        <v>-26140.609999999928</v>
      </c>
      <c r="Y88" s="16"/>
      <c r="Z88" s="33">
        <f>IF(T88=0,0,X88/T88)</f>
        <v>0.77175416158867605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2">
        <v>44543.765594675926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9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61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","406", " - ", "OPA! Greek")</f>
        <v>Department 406 - OPA! Greek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0</v>
      </c>
      <c r="E18" s="20"/>
      <c r="F18" s="32">
        <f t="shared" ref="F18:F28" si="0">IF(D$12=0,0,D18/D$12)</f>
        <v>0</v>
      </c>
      <c r="G18" s="20"/>
      <c r="H18" s="20">
        <f>SUM(OSRRefH22x_0)</f>
        <v>119.55</v>
      </c>
      <c r="I18" s="20"/>
      <c r="J18" s="32">
        <f t="shared" ref="J18:J28" si="1">IF(H$12=0,0,H18/H$12)</f>
        <v>0</v>
      </c>
      <c r="K18" s="4"/>
      <c r="L18" s="20">
        <f t="shared" ref="L18:L28" si="2">+D18-H18</f>
        <v>-119.55</v>
      </c>
      <c r="M18" s="4"/>
      <c r="N18" s="32">
        <f t="shared" ref="N18:N28" si="3">IF(H18=0,0,L18/H18)</f>
        <v>-1</v>
      </c>
      <c r="O18" s="10"/>
      <c r="P18" s="20">
        <f>SUM(OSRRefP22x_0)</f>
        <v>69.290000000000006</v>
      </c>
      <c r="Q18" s="20"/>
      <c r="R18" s="32">
        <f t="shared" ref="R18:R28" si="4">IF(P$12=0,0,P18/P$12)</f>
        <v>0</v>
      </c>
      <c r="S18" s="20"/>
      <c r="T18" s="20">
        <f>SUM(OSRRefT22x_0)</f>
        <v>1555.66</v>
      </c>
      <c r="U18" s="20"/>
      <c r="V18" s="32">
        <f t="shared" ref="V18:V28" si="5">IF(T$12=0,0,T18/T$12)</f>
        <v>0</v>
      </c>
      <c r="W18" s="4"/>
      <c r="X18" s="20">
        <f t="shared" ref="X18:X28" si="6">+P18-T18</f>
        <v>-1486.3700000000001</v>
      </c>
      <c r="Y18" s="4"/>
      <c r="Z18" s="32">
        <f t="shared" ref="Z18:Z28" si="7">IF(T18=0,0,X18/T18)</f>
        <v>-0.95545941915328547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660.8</v>
      </c>
      <c r="U19" s="1"/>
      <c r="V19" s="5">
        <f t="shared" si="5"/>
        <v>0</v>
      </c>
      <c r="W19" s="1"/>
      <c r="X19" s="1">
        <f t="shared" si="6"/>
        <v>-660.8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660.8</v>
      </c>
      <c r="U20" s="2"/>
      <c r="V20" s="7">
        <f t="shared" si="5"/>
        <v>0</v>
      </c>
      <c r="W20" s="2"/>
      <c r="X20" s="6">
        <f t="shared" si="6"/>
        <v>-660.8</v>
      </c>
      <c r="Y20" s="2"/>
      <c r="Z20" s="7">
        <f t="shared" si="7"/>
        <v>-1</v>
      </c>
    </row>
    <row r="21" spans="1:26" s="29" customFormat="1" outlineLevel="1" collapsed="1" x14ac:dyDescent="0.3">
      <c r="A21" s="28"/>
      <c r="B21" s="14" t="str">
        <f>CONCATENATE("     ","Depreciation                                      ")</f>
        <v xml:space="preserve">     Depreciation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119.55</v>
      </c>
      <c r="I21" s="1"/>
      <c r="J21" s="5">
        <f t="shared" si="1"/>
        <v>0</v>
      </c>
      <c r="K21" s="1"/>
      <c r="L21" s="1">
        <f t="shared" si="2"/>
        <v>-119.55</v>
      </c>
      <c r="M21" s="1"/>
      <c r="N21" s="5">
        <f t="shared" si="3"/>
        <v>-1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597.75</v>
      </c>
      <c r="U21" s="1"/>
      <c r="V21" s="5">
        <f t="shared" si="5"/>
        <v>0</v>
      </c>
      <c r="W21" s="1"/>
      <c r="X21" s="1">
        <f t="shared" si="6"/>
        <v>-597.75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"6322", " - ", "EQUIPMENT DEPRECIATION EXPENSE")</f>
        <v xml:space="preserve">          6322 - EQUIPMENT DEPRECIATION EXPENSE</v>
      </c>
      <c r="C22" s="11"/>
      <c r="D22" s="6"/>
      <c r="E22" s="2"/>
      <c r="F22" s="7">
        <f t="shared" si="0"/>
        <v>0</v>
      </c>
      <c r="G22" s="2"/>
      <c r="H22" s="6">
        <v>119.55</v>
      </c>
      <c r="I22" s="2"/>
      <c r="J22" s="7">
        <f t="shared" si="1"/>
        <v>0</v>
      </c>
      <c r="K22" s="2"/>
      <c r="L22" s="6">
        <f t="shared" si="2"/>
        <v>-119.55</v>
      </c>
      <c r="M22" s="2"/>
      <c r="N22" s="7">
        <f t="shared" si="3"/>
        <v>-1</v>
      </c>
      <c r="O22" s="11"/>
      <c r="P22" s="6"/>
      <c r="Q22" s="2"/>
      <c r="R22" s="7">
        <f t="shared" si="4"/>
        <v>0</v>
      </c>
      <c r="S22" s="2"/>
      <c r="T22" s="6">
        <v>597.75</v>
      </c>
      <c r="U22" s="2"/>
      <c r="V22" s="7">
        <f t="shared" si="5"/>
        <v>0</v>
      </c>
      <c r="W22" s="2"/>
      <c r="X22" s="6">
        <f t="shared" si="6"/>
        <v>-597.75</v>
      </c>
      <c r="Y22" s="2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","Equipment Rental                                  ")</f>
        <v xml:space="preserve">     Equipment Rental      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64.02</v>
      </c>
      <c r="U23" s="1"/>
      <c r="V23" s="5">
        <f t="shared" si="5"/>
        <v>0</v>
      </c>
      <c r="W23" s="1"/>
      <c r="X23" s="1">
        <f t="shared" si="6"/>
        <v>-64.02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"6351", " - ", "EQUIPMENT RENTAL")</f>
        <v xml:space="preserve">          6351 - EQUIPMENT RENTAL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64.02</v>
      </c>
      <c r="U24" s="2"/>
      <c r="V24" s="7">
        <f t="shared" si="5"/>
        <v>0</v>
      </c>
      <c r="W24" s="2"/>
      <c r="X24" s="6">
        <f t="shared" si="6"/>
        <v>-64.02</v>
      </c>
      <c r="Y24" s="2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","Repair and Maintenance                            ")</f>
        <v xml:space="preserve">     Repair and Maintenance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69.290000000000006</v>
      </c>
      <c r="Q25" s="1"/>
      <c r="R25" s="5">
        <f t="shared" si="4"/>
        <v>0</v>
      </c>
      <c r="S25" s="1"/>
      <c r="T25" s="1">
        <f>SUM(OSRRefT22_3x_0)</f>
        <v>147.88999999999999</v>
      </c>
      <c r="U25" s="1"/>
      <c r="V25" s="5">
        <f t="shared" si="5"/>
        <v>0</v>
      </c>
      <c r="W25" s="1"/>
      <c r="X25" s="1">
        <f t="shared" si="6"/>
        <v>-78.59999999999998</v>
      </c>
      <c r="Y25" s="1"/>
      <c r="Z25" s="5">
        <f t="shared" si="7"/>
        <v>-0.5314760970991953</v>
      </c>
    </row>
    <row r="26" spans="1:26" s="24" customFormat="1" hidden="1" outlineLevel="2" x14ac:dyDescent="0.3">
      <c r="A26" s="27"/>
      <c r="B26" s="11" t="str">
        <f>CONCATENATE("          ", "6373", " - ", "MAINTENANCE CONTRACTS")</f>
        <v xml:space="preserve">          6373 - MAINTENANCE CONTRACTS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>
        <v>69.290000000000006</v>
      </c>
      <c r="Q26" s="2"/>
      <c r="R26" s="7">
        <f t="shared" si="4"/>
        <v>0</v>
      </c>
      <c r="S26" s="2"/>
      <c r="T26" s="6">
        <v>147.88999999999999</v>
      </c>
      <c r="U26" s="2"/>
      <c r="V26" s="7">
        <f t="shared" si="5"/>
        <v>0</v>
      </c>
      <c r="W26" s="2"/>
      <c r="X26" s="6">
        <f t="shared" si="6"/>
        <v>-78.59999999999998</v>
      </c>
      <c r="Y26" s="2"/>
      <c r="Z26" s="7">
        <f t="shared" si="7"/>
        <v>-0.5314760970991953</v>
      </c>
    </row>
    <row r="27" spans="1:26" s="29" customFormat="1" outlineLevel="1" collapsed="1" x14ac:dyDescent="0.3">
      <c r="A27" s="28"/>
      <c r="B27" s="14" t="str">
        <f>CONCATENATE("     ","Telephone/Data Lines                              ")</f>
        <v xml:space="preserve">     Telephone/Data Lines                              </v>
      </c>
      <c r="C27" s="14"/>
      <c r="D27" s="1">
        <f>SUM(OSRRefD22_4x_0)</f>
        <v>0</v>
      </c>
      <c r="E27" s="1"/>
      <c r="F27" s="5">
        <f t="shared" si="0"/>
        <v>0</v>
      </c>
      <c r="G27" s="1"/>
      <c r="H27" s="1">
        <f>SUM(OSRRefH22_4x_0)</f>
        <v>0</v>
      </c>
      <c r="I27" s="1"/>
      <c r="J27" s="5">
        <f t="shared" si="1"/>
        <v>0</v>
      </c>
      <c r="K27" s="1"/>
      <c r="L27" s="1">
        <f t="shared" si="2"/>
        <v>0</v>
      </c>
      <c r="M27" s="1"/>
      <c r="N27" s="5">
        <f t="shared" si="3"/>
        <v>0</v>
      </c>
      <c r="O27" s="14"/>
      <c r="P27" s="1">
        <f>SUM(OSRRefP22_4x_0)</f>
        <v>0</v>
      </c>
      <c r="Q27" s="1"/>
      <c r="R27" s="5">
        <f t="shared" si="4"/>
        <v>0</v>
      </c>
      <c r="S27" s="1"/>
      <c r="T27" s="1">
        <f>SUM(OSRRefT22_4x_0)</f>
        <v>85.2</v>
      </c>
      <c r="U27" s="1"/>
      <c r="V27" s="5">
        <f t="shared" si="5"/>
        <v>0</v>
      </c>
      <c r="W27" s="1"/>
      <c r="X27" s="1">
        <f t="shared" si="6"/>
        <v>-85.2</v>
      </c>
      <c r="Y27" s="1"/>
      <c r="Z27" s="5">
        <f t="shared" si="7"/>
        <v>-1</v>
      </c>
    </row>
    <row r="28" spans="1:26" s="24" customFormat="1" hidden="1" outlineLevel="2" x14ac:dyDescent="0.3">
      <c r="A28" s="27"/>
      <c r="B28" s="11" t="str">
        <f>CONCATENATE("          ", "6309", " - ", "TELEPHONE")</f>
        <v xml:space="preserve">          6309 - TELEPHONE</v>
      </c>
      <c r="C28" s="11"/>
      <c r="D28" s="6"/>
      <c r="E28" s="2"/>
      <c r="F28" s="7">
        <f t="shared" si="0"/>
        <v>0</v>
      </c>
      <c r="G28" s="2"/>
      <c r="H28" s="6"/>
      <c r="I28" s="2"/>
      <c r="J28" s="7">
        <f t="shared" si="1"/>
        <v>0</v>
      </c>
      <c r="K28" s="2"/>
      <c r="L28" s="6">
        <f t="shared" si="2"/>
        <v>0</v>
      </c>
      <c r="M28" s="2"/>
      <c r="N28" s="7">
        <f t="shared" si="3"/>
        <v>0</v>
      </c>
      <c r="O28" s="11"/>
      <c r="P28" s="6"/>
      <c r="Q28" s="2"/>
      <c r="R28" s="7">
        <f t="shared" si="4"/>
        <v>0</v>
      </c>
      <c r="S28" s="2"/>
      <c r="T28" s="6">
        <v>85.2</v>
      </c>
      <c r="U28" s="2"/>
      <c r="V28" s="7">
        <f t="shared" si="5"/>
        <v>0</v>
      </c>
      <c r="W28" s="2"/>
      <c r="X28" s="6">
        <f t="shared" si="6"/>
        <v>-85.2</v>
      </c>
      <c r="Y28" s="2"/>
      <c r="Z28" s="7">
        <f t="shared" si="7"/>
        <v>-1</v>
      </c>
    </row>
    <row r="29" spans="1:26" s="62" customFormat="1" x14ac:dyDescent="0.3">
      <c r="A29" s="37"/>
      <c r="B29" s="37"/>
      <c r="C29" s="37"/>
      <c r="D29" s="1"/>
      <c r="E29" s="1"/>
      <c r="F29" s="5"/>
      <c r="G29" s="1"/>
      <c r="H29" s="1"/>
      <c r="I29" s="1"/>
      <c r="J29" s="5"/>
      <c r="K29" s="1"/>
      <c r="L29" s="1"/>
      <c r="M29" s="1"/>
      <c r="N29" s="5"/>
      <c r="O29" s="37"/>
      <c r="P29" s="1"/>
      <c r="Q29" s="1"/>
      <c r="R29" s="5"/>
      <c r="S29" s="1"/>
      <c r="T29" s="1"/>
      <c r="U29" s="1"/>
      <c r="V29" s="5"/>
      <c r="W29" s="1"/>
      <c r="X29" s="1"/>
      <c r="Y29" s="1"/>
      <c r="Z29" s="5"/>
    </row>
    <row r="30" spans="1:26" s="23" customFormat="1" x14ac:dyDescent="0.3">
      <c r="A30" s="10"/>
      <c r="B30" s="26" t="s">
        <v>292</v>
      </c>
      <c r="C30" s="10"/>
      <c r="D30" s="4">
        <f>SUM(0)</f>
        <v>0</v>
      </c>
      <c r="E30" s="4"/>
      <c r="F30" s="12">
        <f>IF(D$12=0,0,D30/D$12)</f>
        <v>0</v>
      </c>
      <c r="G30" s="4"/>
      <c r="H30" s="4">
        <f>SUM(0)</f>
        <v>0</v>
      </c>
      <c r="I30" s="4"/>
      <c r="J30" s="12">
        <f>IF(H$12=0,0,H30/H$12)</f>
        <v>0</v>
      </c>
      <c r="K30" s="4"/>
      <c r="L30" s="4">
        <f>+D30-H30</f>
        <v>0</v>
      </c>
      <c r="M30" s="4"/>
      <c r="N30" s="12">
        <f>IF(H30=0,0,L30/H30)</f>
        <v>0</v>
      </c>
      <c r="O30" s="10"/>
      <c r="P30" s="4">
        <f>SUM(0)</f>
        <v>0</v>
      </c>
      <c r="Q30" s="4"/>
      <c r="R30" s="12">
        <f>IF(P$12=0,0,P30/P$12)</f>
        <v>0</v>
      </c>
      <c r="S30" s="4"/>
      <c r="T30" s="4">
        <f>SUM(0)</f>
        <v>0</v>
      </c>
      <c r="U30" s="4"/>
      <c r="V30" s="12">
        <f>IF(T$12=0,0,T30/T$12)</f>
        <v>0</v>
      </c>
      <c r="W30" s="4"/>
      <c r="X30" s="4">
        <f>+P30-T30</f>
        <v>0</v>
      </c>
      <c r="Y30" s="4"/>
      <c r="Z30" s="12">
        <f>IF(T30=0,0,X30/T30)</f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5" t="s">
        <v>276</v>
      </c>
      <c r="C32" s="25"/>
      <c r="D32" s="21">
        <f>+D16-D18+D30</f>
        <v>0</v>
      </c>
      <c r="E32" s="13"/>
      <c r="F32" s="22">
        <f>IF(D$12=0,0,D32/D$12)</f>
        <v>0</v>
      </c>
      <c r="G32" s="13"/>
      <c r="H32" s="21">
        <f>+H16-H18+H30</f>
        <v>-119.55</v>
      </c>
      <c r="I32" s="13"/>
      <c r="J32" s="22">
        <f>IF(H$12=0,0,H32/H$12)</f>
        <v>0</v>
      </c>
      <c r="K32" s="16"/>
      <c r="L32" s="21">
        <f>+D32-H32</f>
        <v>119.55</v>
      </c>
      <c r="M32" s="16"/>
      <c r="N32" s="22">
        <f>IF(H32=0,0,L32/H32)</f>
        <v>-1</v>
      </c>
      <c r="O32" s="26"/>
      <c r="P32" s="21">
        <f>+P16-P18+P30</f>
        <v>-69.290000000000006</v>
      </c>
      <c r="Q32" s="13"/>
      <c r="R32" s="22">
        <f>IF(P$12=0,0,P32/P$12)</f>
        <v>0</v>
      </c>
      <c r="S32" s="13"/>
      <c r="T32" s="21">
        <f>+T16-T18+T30</f>
        <v>-1555.66</v>
      </c>
      <c r="U32" s="13"/>
      <c r="V32" s="22">
        <f>IF(T$12=0,0,T32/T$12)</f>
        <v>0</v>
      </c>
      <c r="W32" s="16"/>
      <c r="X32" s="21">
        <f>+P32-T32</f>
        <v>1486.3700000000001</v>
      </c>
      <c r="Y32" s="16"/>
      <c r="Z32" s="22">
        <f>IF(T32=0,0,X32/T32)</f>
        <v>-0.95545941915328547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125</v>
      </c>
      <c r="C36" s="25"/>
      <c r="D36" s="35">
        <f>+D32-D34</f>
        <v>0</v>
      </c>
      <c r="E36" s="13"/>
      <c r="F36" s="31">
        <f>IF(D$12=0,0,D36/D$12)</f>
        <v>0</v>
      </c>
      <c r="G36" s="13"/>
      <c r="H36" s="35">
        <f>+H32-H34</f>
        <v>-119.55</v>
      </c>
      <c r="I36" s="13"/>
      <c r="J36" s="31">
        <f>IF(H$12=0,0,H36/H$12)</f>
        <v>0</v>
      </c>
      <c r="K36" s="16"/>
      <c r="L36" s="35">
        <f>D36-H36</f>
        <v>119.55</v>
      </c>
      <c r="M36" s="16"/>
      <c r="N36" s="31">
        <f>IF(H36=0,0,L36/H36)</f>
        <v>-1</v>
      </c>
      <c r="O36" s="26"/>
      <c r="P36" s="35">
        <f>+P32-P34</f>
        <v>-69.290000000000006</v>
      </c>
      <c r="Q36" s="13"/>
      <c r="R36" s="31">
        <f>IF(P$12=0,0,P36/P$12)</f>
        <v>0</v>
      </c>
      <c r="S36" s="13"/>
      <c r="T36" s="35">
        <f>+T32-T34</f>
        <v>-1555.66</v>
      </c>
      <c r="U36" s="13"/>
      <c r="V36" s="31">
        <f>IF(T$12=0,0,T36/T$12)</f>
        <v>0</v>
      </c>
      <c r="W36" s="16"/>
      <c r="X36" s="35">
        <f>P36-T36</f>
        <v>1486.3700000000001</v>
      </c>
      <c r="Y36" s="16"/>
      <c r="Z36" s="31">
        <f>IF(T36=0,0,X36/T36)</f>
        <v>-0.95545941915328547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5" t="s">
        <v>293</v>
      </c>
      <c r="C39" s="25"/>
      <c r="D39" s="36">
        <f>SUM(D36:D38)</f>
        <v>0</v>
      </c>
      <c r="E39" s="13"/>
      <c r="F39" s="33">
        <f>IF(D$12=0,0,D39/D$12)</f>
        <v>0</v>
      </c>
      <c r="G39" s="13"/>
      <c r="H39" s="36">
        <f>SUM(H36:H38)</f>
        <v>-119.55</v>
      </c>
      <c r="I39" s="13"/>
      <c r="J39" s="33">
        <f>IF(H$12=0,0,H39/H$12)</f>
        <v>0</v>
      </c>
      <c r="K39" s="16"/>
      <c r="L39" s="36">
        <f>+D39-H39</f>
        <v>119.55</v>
      </c>
      <c r="M39" s="16"/>
      <c r="N39" s="33">
        <f>IF(H39=0,0,L39/H39)</f>
        <v>-1</v>
      </c>
      <c r="O39" s="26"/>
      <c r="P39" s="36">
        <f>SUM(P36:P38)</f>
        <v>-69.290000000000006</v>
      </c>
      <c r="Q39" s="13"/>
      <c r="R39" s="33">
        <f>IF(P$12=0,0,P39/P$12)</f>
        <v>0</v>
      </c>
      <c r="S39" s="13"/>
      <c r="T39" s="36">
        <f>SUM(T36:T38)</f>
        <v>-1555.66</v>
      </c>
      <c r="U39" s="13"/>
      <c r="V39" s="33">
        <f>IF(T$12=0,0,T39/T$12)</f>
        <v>0</v>
      </c>
      <c r="W39" s="16"/>
      <c r="X39" s="36">
        <f>+P39-T39</f>
        <v>1486.3700000000001</v>
      </c>
      <c r="Y39" s="16"/>
      <c r="Z39" s="33">
        <f>IF(T39=0,0,X39/T39)</f>
        <v>-0.95545941915328547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2">
        <v>44543.765594675926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9" t="s">
        <v>56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61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92D050"/>
    <outlinePr summaryBelow="0" summaryRight="0"/>
  </sheetPr>
  <dimension ref="A2:Z8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","411", " - ", "University Dining")</f>
        <v>Department 411 - University Dining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43690.45</v>
      </c>
      <c r="E18" s="20"/>
      <c r="F18" s="32">
        <f t="shared" ref="F18:F27" si="0">IF(D$12=0,0,D18/D$12)</f>
        <v>0</v>
      </c>
      <c r="G18" s="20"/>
      <c r="H18" s="20">
        <f>SUM(OSRRefH22x_0)</f>
        <v>35067.669999999991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8622.7800000000061</v>
      </c>
      <c r="M18" s="4"/>
      <c r="N18" s="32">
        <f t="shared" ref="N18:N27" si="3">IF(H18=0,0,L18/H18)</f>
        <v>0.2458897326226695</v>
      </c>
      <c r="O18" s="10"/>
      <c r="P18" s="20">
        <f>SUM(OSRRefP22x_0)</f>
        <v>249884.56000000003</v>
      </c>
      <c r="Q18" s="20"/>
      <c r="R18" s="32">
        <f t="shared" ref="R18:R27" si="4">IF(P$12=0,0,P18/P$12)</f>
        <v>0</v>
      </c>
      <c r="S18" s="20"/>
      <c r="T18" s="20">
        <f>SUM(OSRRefT22x_0)</f>
        <v>119199.39000000001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130685.17000000001</v>
      </c>
      <c r="Y18" s="4"/>
      <c r="Z18" s="32">
        <f t="shared" ref="Z18:Z27" si="7">IF(T18=0,0,X18/T18)</f>
        <v>1.0963577078708204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9629.68</v>
      </c>
      <c r="E19" s="1"/>
      <c r="F19" s="5">
        <f t="shared" si="0"/>
        <v>0</v>
      </c>
      <c r="G19" s="1"/>
      <c r="H19" s="1">
        <f>SUM(OSRRefH22_0x_0)</f>
        <v>6583.2099999999991</v>
      </c>
      <c r="I19" s="1"/>
      <c r="J19" s="5">
        <f t="shared" si="1"/>
        <v>0</v>
      </c>
      <c r="K19" s="1"/>
      <c r="L19" s="1">
        <f t="shared" si="2"/>
        <v>3046.4700000000012</v>
      </c>
      <c r="M19" s="1"/>
      <c r="N19" s="5">
        <f t="shared" si="3"/>
        <v>0.46276360620426837</v>
      </c>
      <c r="O19" s="14"/>
      <c r="P19" s="1">
        <f>SUM(OSRRefP22_0x_0)</f>
        <v>49473.04</v>
      </c>
      <c r="Q19" s="1"/>
      <c r="R19" s="5">
        <f t="shared" si="4"/>
        <v>0</v>
      </c>
      <c r="S19" s="1"/>
      <c r="T19" s="1">
        <f>SUM(OSRRefT22_0x_0)</f>
        <v>31194.9</v>
      </c>
      <c r="U19" s="1"/>
      <c r="V19" s="5">
        <f t="shared" si="5"/>
        <v>0</v>
      </c>
      <c r="W19" s="1"/>
      <c r="X19" s="1">
        <f t="shared" si="6"/>
        <v>18278.14</v>
      </c>
      <c r="Y19" s="1"/>
      <c r="Z19" s="5">
        <f t="shared" si="7"/>
        <v>0.58593359812020551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1391.08</v>
      </c>
      <c r="E20" s="2"/>
      <c r="F20" s="7">
        <f t="shared" si="0"/>
        <v>0</v>
      </c>
      <c r="G20" s="2"/>
      <c r="H20" s="6">
        <v>277.02999999999997</v>
      </c>
      <c r="I20" s="2"/>
      <c r="J20" s="7">
        <f t="shared" si="1"/>
        <v>0</v>
      </c>
      <c r="K20" s="2"/>
      <c r="L20" s="6">
        <f t="shared" si="2"/>
        <v>1114.05</v>
      </c>
      <c r="M20" s="2"/>
      <c r="N20" s="7">
        <f t="shared" si="3"/>
        <v>4.0214056239396454</v>
      </c>
      <c r="O20" s="11"/>
      <c r="P20" s="6">
        <v>7558.46</v>
      </c>
      <c r="Q20" s="2"/>
      <c r="R20" s="7">
        <f t="shared" si="4"/>
        <v>0</v>
      </c>
      <c r="S20" s="2"/>
      <c r="T20" s="6">
        <v>5175.59</v>
      </c>
      <c r="U20" s="2"/>
      <c r="V20" s="7">
        <f t="shared" si="5"/>
        <v>0</v>
      </c>
      <c r="W20" s="2"/>
      <c r="X20" s="6">
        <f t="shared" si="6"/>
        <v>2382.87</v>
      </c>
      <c r="Y20" s="2"/>
      <c r="Z20" s="7">
        <f t="shared" si="7"/>
        <v>0.46040548034137169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232.92</v>
      </c>
      <c r="E21" s="2"/>
      <c r="F21" s="7">
        <f t="shared" si="0"/>
        <v>0</v>
      </c>
      <c r="G21" s="2"/>
      <c r="H21" s="6">
        <v>94.86</v>
      </c>
      <c r="I21" s="2"/>
      <c r="J21" s="7">
        <f t="shared" si="1"/>
        <v>0</v>
      </c>
      <c r="K21" s="2"/>
      <c r="L21" s="6">
        <f t="shared" si="2"/>
        <v>138.06</v>
      </c>
      <c r="M21" s="2"/>
      <c r="N21" s="7">
        <f t="shared" si="3"/>
        <v>1.4554079696394686</v>
      </c>
      <c r="O21" s="11"/>
      <c r="P21" s="6">
        <v>1240.0999999999999</v>
      </c>
      <c r="Q21" s="2"/>
      <c r="R21" s="7">
        <f t="shared" si="4"/>
        <v>0</v>
      </c>
      <c r="S21" s="2"/>
      <c r="T21" s="6">
        <v>330.21</v>
      </c>
      <c r="U21" s="2"/>
      <c r="V21" s="7">
        <f t="shared" si="5"/>
        <v>0</v>
      </c>
      <c r="W21" s="2"/>
      <c r="X21" s="6">
        <f t="shared" si="6"/>
        <v>909.88999999999987</v>
      </c>
      <c r="Y21" s="2"/>
      <c r="Z21" s="7">
        <f t="shared" si="7"/>
        <v>2.755488931286151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3318.36</v>
      </c>
      <c r="E22" s="2"/>
      <c r="F22" s="7">
        <f t="shared" si="0"/>
        <v>0</v>
      </c>
      <c r="G22" s="2"/>
      <c r="H22" s="6">
        <v>1950.75</v>
      </c>
      <c r="I22" s="2"/>
      <c r="J22" s="7">
        <f t="shared" si="1"/>
        <v>0</v>
      </c>
      <c r="K22" s="2"/>
      <c r="L22" s="6">
        <f t="shared" si="2"/>
        <v>1367.6100000000001</v>
      </c>
      <c r="M22" s="2"/>
      <c r="N22" s="7">
        <f t="shared" si="3"/>
        <v>0.70106881968473667</v>
      </c>
      <c r="O22" s="11"/>
      <c r="P22" s="6">
        <v>16610.55</v>
      </c>
      <c r="Q22" s="2"/>
      <c r="R22" s="7">
        <f t="shared" si="4"/>
        <v>0</v>
      </c>
      <c r="S22" s="2"/>
      <c r="T22" s="6">
        <v>8619.7199999999993</v>
      </c>
      <c r="U22" s="2"/>
      <c r="V22" s="7">
        <f t="shared" si="5"/>
        <v>0</v>
      </c>
      <c r="W22" s="2"/>
      <c r="X22" s="6">
        <f t="shared" si="6"/>
        <v>7990.83</v>
      </c>
      <c r="Y22" s="2"/>
      <c r="Z22" s="7">
        <f t="shared" si="7"/>
        <v>0.9270405535214602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46.94</v>
      </c>
      <c r="E23" s="2"/>
      <c r="F23" s="7">
        <f t="shared" si="0"/>
        <v>0</v>
      </c>
      <c r="G23" s="2"/>
      <c r="H23" s="6">
        <v>74.739999999999995</v>
      </c>
      <c r="I23" s="2"/>
      <c r="J23" s="7">
        <f t="shared" si="1"/>
        <v>0</v>
      </c>
      <c r="K23" s="2"/>
      <c r="L23" s="6">
        <f t="shared" si="2"/>
        <v>-27.799999999999997</v>
      </c>
      <c r="M23" s="2"/>
      <c r="N23" s="7">
        <f t="shared" si="3"/>
        <v>-0.37195611453037192</v>
      </c>
      <c r="O23" s="11"/>
      <c r="P23" s="6">
        <v>249.93</v>
      </c>
      <c r="Q23" s="2"/>
      <c r="R23" s="7">
        <f t="shared" si="4"/>
        <v>0</v>
      </c>
      <c r="S23" s="2"/>
      <c r="T23" s="6">
        <v>195.27</v>
      </c>
      <c r="U23" s="2"/>
      <c r="V23" s="7">
        <f t="shared" si="5"/>
        <v>0</v>
      </c>
      <c r="W23" s="2"/>
      <c r="X23" s="6">
        <f t="shared" si="6"/>
        <v>54.66</v>
      </c>
      <c r="Y23" s="2"/>
      <c r="Z23" s="7">
        <f t="shared" si="7"/>
        <v>0.27992011061607003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1948.13</v>
      </c>
      <c r="E24" s="2"/>
      <c r="F24" s="7">
        <f t="shared" si="0"/>
        <v>0</v>
      </c>
      <c r="G24" s="2"/>
      <c r="H24" s="6">
        <v>2560.39</v>
      </c>
      <c r="I24" s="2"/>
      <c r="J24" s="7">
        <f t="shared" si="1"/>
        <v>0</v>
      </c>
      <c r="K24" s="2"/>
      <c r="L24" s="6">
        <f t="shared" si="2"/>
        <v>-612.25999999999976</v>
      </c>
      <c r="M24" s="2"/>
      <c r="N24" s="7">
        <f t="shared" si="3"/>
        <v>-0.23912763289967537</v>
      </c>
      <c r="O24" s="11"/>
      <c r="P24" s="6">
        <v>10377.57</v>
      </c>
      <c r="Q24" s="2"/>
      <c r="R24" s="7">
        <f t="shared" si="4"/>
        <v>0</v>
      </c>
      <c r="S24" s="2"/>
      <c r="T24" s="6">
        <v>7766.16</v>
      </c>
      <c r="U24" s="2"/>
      <c r="V24" s="7">
        <f t="shared" si="5"/>
        <v>0</v>
      </c>
      <c r="W24" s="2"/>
      <c r="X24" s="6">
        <f t="shared" si="6"/>
        <v>2611.41</v>
      </c>
      <c r="Y24" s="2"/>
      <c r="Z24" s="7">
        <f t="shared" si="7"/>
        <v>0.33625498315769953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>
        <v>1579.7</v>
      </c>
      <c r="E25" s="2"/>
      <c r="F25" s="7">
        <f t="shared" si="0"/>
        <v>0</v>
      </c>
      <c r="G25" s="2"/>
      <c r="H25" s="6">
        <v>1022.52</v>
      </c>
      <c r="I25" s="2"/>
      <c r="J25" s="7">
        <f t="shared" si="1"/>
        <v>0</v>
      </c>
      <c r="K25" s="2"/>
      <c r="L25" s="6">
        <f t="shared" si="2"/>
        <v>557.18000000000006</v>
      </c>
      <c r="M25" s="2"/>
      <c r="N25" s="7">
        <f t="shared" si="3"/>
        <v>0.54490865704338309</v>
      </c>
      <c r="O25" s="11"/>
      <c r="P25" s="6">
        <v>8414.93</v>
      </c>
      <c r="Q25" s="2"/>
      <c r="R25" s="7">
        <f t="shared" si="4"/>
        <v>0</v>
      </c>
      <c r="S25" s="2"/>
      <c r="T25" s="6">
        <v>5816</v>
      </c>
      <c r="U25" s="2"/>
      <c r="V25" s="7">
        <f t="shared" si="5"/>
        <v>0</v>
      </c>
      <c r="W25" s="2"/>
      <c r="X25" s="6">
        <f t="shared" si="6"/>
        <v>2598.9300000000003</v>
      </c>
      <c r="Y25" s="2"/>
      <c r="Z25" s="7">
        <f t="shared" si="7"/>
        <v>0.44685866574965616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>
        <v>825.9</v>
      </c>
      <c r="E26" s="2"/>
      <c r="F26" s="7">
        <f t="shared" si="0"/>
        <v>0</v>
      </c>
      <c r="G26" s="2"/>
      <c r="H26" s="6">
        <v>510.58</v>
      </c>
      <c r="I26" s="2"/>
      <c r="J26" s="7">
        <f t="shared" si="1"/>
        <v>0</v>
      </c>
      <c r="K26" s="2"/>
      <c r="L26" s="6">
        <f t="shared" si="2"/>
        <v>315.32</v>
      </c>
      <c r="M26" s="2"/>
      <c r="N26" s="7">
        <f t="shared" si="3"/>
        <v>0.61757217282306398</v>
      </c>
      <c r="O26" s="11"/>
      <c r="P26" s="6">
        <v>3548.85</v>
      </c>
      <c r="Q26" s="2"/>
      <c r="R26" s="7">
        <f t="shared" si="4"/>
        <v>0</v>
      </c>
      <c r="S26" s="2"/>
      <c r="T26" s="6">
        <v>2904.13</v>
      </c>
      <c r="U26" s="2"/>
      <c r="V26" s="7">
        <f t="shared" si="5"/>
        <v>0</v>
      </c>
      <c r="W26" s="2"/>
      <c r="X26" s="6">
        <f t="shared" si="6"/>
        <v>644.7199999999998</v>
      </c>
      <c r="Y26" s="2"/>
      <c r="Z26" s="7">
        <f t="shared" si="7"/>
        <v>0.22200108121881587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6">
        <v>286.64999999999998</v>
      </c>
      <c r="E27" s="2"/>
      <c r="F27" s="7">
        <f t="shared" si="0"/>
        <v>0</v>
      </c>
      <c r="G27" s="2"/>
      <c r="H27" s="6">
        <v>92.34</v>
      </c>
      <c r="I27" s="2"/>
      <c r="J27" s="7">
        <f t="shared" si="1"/>
        <v>0</v>
      </c>
      <c r="K27" s="2"/>
      <c r="L27" s="6">
        <f t="shared" si="2"/>
        <v>194.30999999999997</v>
      </c>
      <c r="M27" s="2"/>
      <c r="N27" s="7">
        <f t="shared" si="3"/>
        <v>2.104288499025341</v>
      </c>
      <c r="O27" s="11"/>
      <c r="P27" s="6">
        <v>1472.65</v>
      </c>
      <c r="Q27" s="2"/>
      <c r="R27" s="7">
        <f t="shared" si="4"/>
        <v>0</v>
      </c>
      <c r="S27" s="2"/>
      <c r="T27" s="6">
        <v>387.82</v>
      </c>
      <c r="U27" s="2"/>
      <c r="V27" s="7">
        <f t="shared" si="5"/>
        <v>0</v>
      </c>
      <c r="W27" s="2"/>
      <c r="X27" s="6">
        <f t="shared" si="6"/>
        <v>1084.8300000000002</v>
      </c>
      <c r="Y27" s="2"/>
      <c r="Z27" s="7">
        <f t="shared" si="7"/>
        <v>2.7972513021504826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15092.41</v>
      </c>
      <c r="E28" s="1"/>
      <c r="F28" s="5">
        <f t="shared" ref="F28:F33" si="8">IF(D$12=0,0,D28/D$12)</f>
        <v>0</v>
      </c>
      <c r="G28" s="1"/>
      <c r="H28" s="1">
        <f>SUM(OSRRefH22_1x_0)</f>
        <v>10267.35</v>
      </c>
      <c r="I28" s="1"/>
      <c r="J28" s="5">
        <f t="shared" ref="J28:J33" si="9">IF(H$12=0,0,H28/H$12)</f>
        <v>0</v>
      </c>
      <c r="K28" s="1"/>
      <c r="L28" s="1">
        <f t="shared" ref="L28:L33" si="10">+D28-H28</f>
        <v>4825.0599999999995</v>
      </c>
      <c r="M28" s="1"/>
      <c r="N28" s="5">
        <f t="shared" ref="N28:N33" si="11">IF(H28=0,0,L28/H28)</f>
        <v>0.46994209800971032</v>
      </c>
      <c r="O28" s="14"/>
      <c r="P28" s="1">
        <f>SUM(OSRRefP22_1x_0)</f>
        <v>88101.26</v>
      </c>
      <c r="Q28" s="1"/>
      <c r="R28" s="5">
        <f t="shared" ref="R28:R33" si="12">IF(P$12=0,0,P28/P$12)</f>
        <v>0</v>
      </c>
      <c r="S28" s="1"/>
      <c r="T28" s="1">
        <f>SUM(OSRRefT22_1x_0)</f>
        <v>56209.38</v>
      </c>
      <c r="U28" s="1"/>
      <c r="V28" s="5">
        <f t="shared" ref="V28:V33" si="13">IF(T$12=0,0,T28/T$12)</f>
        <v>0</v>
      </c>
      <c r="W28" s="1"/>
      <c r="X28" s="1">
        <f t="shared" ref="X28:X33" si="14">+P28-T28</f>
        <v>31891.879999999997</v>
      </c>
      <c r="Y28" s="1"/>
      <c r="Z28" s="5">
        <f t="shared" ref="Z28:Z33" si="15">IF(T28=0,0,X28/T28)</f>
        <v>0.56737647702216243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9209.65</v>
      </c>
      <c r="E29" s="2"/>
      <c r="F29" s="7">
        <f t="shared" si="8"/>
        <v>0</v>
      </c>
      <c r="G29" s="2"/>
      <c r="H29" s="6">
        <v>9962.35</v>
      </c>
      <c r="I29" s="2"/>
      <c r="J29" s="7">
        <f t="shared" si="9"/>
        <v>0</v>
      </c>
      <c r="K29" s="2"/>
      <c r="L29" s="6">
        <f t="shared" si="10"/>
        <v>-752.70000000000073</v>
      </c>
      <c r="M29" s="2"/>
      <c r="N29" s="7">
        <f t="shared" si="11"/>
        <v>-7.5554462551506496E-2</v>
      </c>
      <c r="O29" s="11"/>
      <c r="P29" s="6">
        <v>52933.31</v>
      </c>
      <c r="Q29" s="2"/>
      <c r="R29" s="7">
        <f t="shared" si="12"/>
        <v>0</v>
      </c>
      <c r="S29" s="2"/>
      <c r="T29" s="6">
        <v>53824.38</v>
      </c>
      <c r="U29" s="2"/>
      <c r="V29" s="7">
        <f t="shared" si="13"/>
        <v>0</v>
      </c>
      <c r="W29" s="2"/>
      <c r="X29" s="6">
        <f t="shared" si="14"/>
        <v>-891.06999999999971</v>
      </c>
      <c r="Y29" s="2"/>
      <c r="Z29" s="7">
        <f t="shared" si="15"/>
        <v>-1.655513728165563E-2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>
        <v>5754.22</v>
      </c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5754.22</v>
      </c>
      <c r="M30" s="2"/>
      <c r="N30" s="7">
        <f t="shared" si="11"/>
        <v>0</v>
      </c>
      <c r="O30" s="11"/>
      <c r="P30" s="6">
        <v>32496.63</v>
      </c>
      <c r="Q30" s="2"/>
      <c r="R30" s="7">
        <f t="shared" si="12"/>
        <v>0</v>
      </c>
      <c r="S30" s="2"/>
      <c r="T30" s="6">
        <v>2080</v>
      </c>
      <c r="U30" s="2"/>
      <c r="V30" s="7">
        <f t="shared" si="13"/>
        <v>0</v>
      </c>
      <c r="W30" s="2"/>
      <c r="X30" s="6">
        <f t="shared" si="14"/>
        <v>30416.63</v>
      </c>
      <c r="Y30" s="2"/>
      <c r="Z30" s="7">
        <f t="shared" si="15"/>
        <v>14.623379807692308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6">
        <v>128.54</v>
      </c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128.54</v>
      </c>
      <c r="M31" s="2"/>
      <c r="N31" s="7">
        <f t="shared" si="11"/>
        <v>0</v>
      </c>
      <c r="O31" s="11"/>
      <c r="P31" s="6">
        <v>1044.8399999999999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1044.8399999999999</v>
      </c>
      <c r="Y31" s="2"/>
      <c r="Z31" s="7">
        <f t="shared" si="15"/>
        <v>0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8"/>
        <v>0</v>
      </c>
      <c r="G32" s="2"/>
      <c r="H32" s="6">
        <v>305</v>
      </c>
      <c r="I32" s="2"/>
      <c r="J32" s="7">
        <f t="shared" si="9"/>
        <v>0</v>
      </c>
      <c r="K32" s="2"/>
      <c r="L32" s="6">
        <f t="shared" si="10"/>
        <v>-305</v>
      </c>
      <c r="M32" s="2"/>
      <c r="N32" s="7">
        <f t="shared" si="11"/>
        <v>-1</v>
      </c>
      <c r="O32" s="11"/>
      <c r="P32" s="6">
        <v>1626.48</v>
      </c>
      <c r="Q32" s="2"/>
      <c r="R32" s="7">
        <f t="shared" si="12"/>
        <v>0</v>
      </c>
      <c r="S32" s="2"/>
      <c r="T32" s="6">
        <v>305</v>
      </c>
      <c r="U32" s="2"/>
      <c r="V32" s="7">
        <f t="shared" si="13"/>
        <v>0</v>
      </c>
      <c r="W32" s="2"/>
      <c r="X32" s="6">
        <f t="shared" si="14"/>
        <v>1321.48</v>
      </c>
      <c r="Y32" s="2"/>
      <c r="Z32" s="7">
        <f t="shared" si="15"/>
        <v>4.3327213114754102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0</v>
      </c>
      <c r="Q33" s="2"/>
      <c r="R33" s="7">
        <f t="shared" si="12"/>
        <v>0</v>
      </c>
      <c r="S33" s="2"/>
      <c r="T33" s="6"/>
      <c r="U33" s="2"/>
      <c r="V33" s="7">
        <f t="shared" si="13"/>
        <v>0</v>
      </c>
      <c r="W33" s="2"/>
      <c r="X33" s="6">
        <f t="shared" si="14"/>
        <v>0</v>
      </c>
      <c r="Y33" s="2"/>
      <c r="Z33" s="7">
        <f t="shared" si="15"/>
        <v>0</v>
      </c>
    </row>
    <row r="34" spans="1:26" s="29" customFormat="1" outlineLevel="1" collapsed="1" x14ac:dyDescent="0.3">
      <c r="A34" s="28"/>
      <c r="B34" s="14" t="str">
        <f>CONCATENATE("     ","Bank/card Fees                                    ")</f>
        <v xml:space="preserve">     Bank/card Fees                                    </v>
      </c>
      <c r="C34" s="14"/>
      <c r="D34" s="1">
        <f>SUM(OSRRefD22_2x_0)</f>
        <v>167.96</v>
      </c>
      <c r="E34" s="1"/>
      <c r="F34" s="5">
        <f t="shared" ref="F34:F38" si="16">IF(D$12=0,0,D34/D$12)</f>
        <v>0</v>
      </c>
      <c r="G34" s="1"/>
      <c r="H34" s="1">
        <f>SUM(OSRRefH22_2x_0)</f>
        <v>399.29</v>
      </c>
      <c r="I34" s="1"/>
      <c r="J34" s="5">
        <f t="shared" ref="J34:J38" si="17">IF(H$12=0,0,H34/H$12)</f>
        <v>0</v>
      </c>
      <c r="K34" s="1"/>
      <c r="L34" s="1">
        <f t="shared" ref="L34:L38" si="18">+D34-H34</f>
        <v>-231.33</v>
      </c>
      <c r="M34" s="1"/>
      <c r="N34" s="5">
        <f t="shared" ref="N34:N38" si="19">IF(H34=0,0,L34/H34)</f>
        <v>-0.57935335220015527</v>
      </c>
      <c r="O34" s="14"/>
      <c r="P34" s="1">
        <f>SUM(OSRRefP22_2x_0)</f>
        <v>1139.3900000000001</v>
      </c>
      <c r="Q34" s="1"/>
      <c r="R34" s="5">
        <f t="shared" ref="R34:R38" si="20">IF(P$12=0,0,P34/P$12)</f>
        <v>0</v>
      </c>
      <c r="S34" s="1"/>
      <c r="T34" s="1">
        <f>SUM(OSRRefT22_2x_0)</f>
        <v>1825.95</v>
      </c>
      <c r="U34" s="1"/>
      <c r="V34" s="5">
        <f t="shared" ref="V34:V38" si="21">IF(T$12=0,0,T34/T$12)</f>
        <v>0</v>
      </c>
      <c r="W34" s="1"/>
      <c r="X34" s="1">
        <f t="shared" ref="X34:X38" si="22">+P34-T34</f>
        <v>-686.56</v>
      </c>
      <c r="Y34" s="1"/>
      <c r="Z34" s="5">
        <f t="shared" ref="Z34:Z38" si="23">IF(T34=0,0,X34/T34)</f>
        <v>-0.37600153344834192</v>
      </c>
    </row>
    <row r="35" spans="1:26" s="24" customFormat="1" hidden="1" outlineLevel="2" x14ac:dyDescent="0.3">
      <c r="A35" s="27"/>
      <c r="B35" s="11" t="str">
        <f>CONCATENATE("          ", "6381", " - ", "BANK/CREDIT CARD FEES")</f>
        <v xml:space="preserve">          6381 - BANK/CREDIT CARD FEES</v>
      </c>
      <c r="C35" s="11"/>
      <c r="D35" s="6">
        <v>167.96</v>
      </c>
      <c r="E35" s="2"/>
      <c r="F35" s="7">
        <f t="shared" si="16"/>
        <v>0</v>
      </c>
      <c r="G35" s="2"/>
      <c r="H35" s="6">
        <v>399.29</v>
      </c>
      <c r="I35" s="2"/>
      <c r="J35" s="7">
        <f t="shared" si="17"/>
        <v>0</v>
      </c>
      <c r="K35" s="2"/>
      <c r="L35" s="6">
        <f t="shared" si="18"/>
        <v>-231.33</v>
      </c>
      <c r="M35" s="2"/>
      <c r="N35" s="7">
        <f t="shared" si="19"/>
        <v>-0.57935335220015527</v>
      </c>
      <c r="O35" s="11"/>
      <c r="P35" s="6">
        <v>1139.3900000000001</v>
      </c>
      <c r="Q35" s="2"/>
      <c r="R35" s="7">
        <f t="shared" si="20"/>
        <v>0</v>
      </c>
      <c r="S35" s="2"/>
      <c r="T35" s="6">
        <v>1825.95</v>
      </c>
      <c r="U35" s="2"/>
      <c r="V35" s="7">
        <f t="shared" si="21"/>
        <v>0</v>
      </c>
      <c r="W35" s="2"/>
      <c r="X35" s="6">
        <f t="shared" si="22"/>
        <v>-686.56</v>
      </c>
      <c r="Y35" s="2"/>
      <c r="Z35" s="7">
        <f t="shared" si="23"/>
        <v>-0.37600153344834192</v>
      </c>
    </row>
    <row r="36" spans="1:26" s="29" customFormat="1" outlineLevel="1" collapsed="1" x14ac:dyDescent="0.3">
      <c r="A36" s="28"/>
      <c r="B36" s="14" t="str">
        <f>CONCATENATE("     ","Depreciation                                      ")</f>
        <v xml:space="preserve">     Depreciation                                      </v>
      </c>
      <c r="C36" s="14"/>
      <c r="D36" s="1">
        <f>SUM(OSRRefD22_3x_0)</f>
        <v>5331.53</v>
      </c>
      <c r="E36" s="1"/>
      <c r="F36" s="5">
        <f t="shared" si="16"/>
        <v>0</v>
      </c>
      <c r="G36" s="1"/>
      <c r="H36" s="1">
        <f>SUM(OSRRefH22_3x_0)</f>
        <v>6779.8600000000006</v>
      </c>
      <c r="I36" s="1"/>
      <c r="J36" s="5">
        <f t="shared" si="17"/>
        <v>0</v>
      </c>
      <c r="K36" s="1"/>
      <c r="L36" s="1">
        <f t="shared" si="18"/>
        <v>-1448.3300000000008</v>
      </c>
      <c r="M36" s="1"/>
      <c r="N36" s="5">
        <f t="shared" si="19"/>
        <v>-0.21362240518240799</v>
      </c>
      <c r="O36" s="14"/>
      <c r="P36" s="1">
        <f>SUM(OSRRefP22_3x_0)</f>
        <v>26657.65</v>
      </c>
      <c r="Q36" s="1"/>
      <c r="R36" s="5">
        <f t="shared" si="20"/>
        <v>0</v>
      </c>
      <c r="S36" s="1"/>
      <c r="T36" s="1">
        <f>SUM(OSRRefT22_3x_0)</f>
        <v>34683.490000000005</v>
      </c>
      <c r="U36" s="1"/>
      <c r="V36" s="5">
        <f t="shared" si="21"/>
        <v>0</v>
      </c>
      <c r="W36" s="1"/>
      <c r="X36" s="1">
        <f t="shared" si="22"/>
        <v>-8025.8400000000038</v>
      </c>
      <c r="Y36" s="1"/>
      <c r="Z36" s="5">
        <f t="shared" si="23"/>
        <v>-0.23140231850946957</v>
      </c>
    </row>
    <row r="37" spans="1:26" s="24" customFormat="1" hidden="1" outlineLevel="2" x14ac:dyDescent="0.3">
      <c r="A37" s="27"/>
      <c r="B37" s="11" t="str">
        <f>CONCATENATE("          ", "6321", " - ", "BUILDING DEPRECIATION")</f>
        <v xml:space="preserve">          6321 - BUILDING DEPRECIATION</v>
      </c>
      <c r="C37" s="11"/>
      <c r="D37" s="6">
        <v>1822.68</v>
      </c>
      <c r="E37" s="2"/>
      <c r="F37" s="7">
        <f t="shared" si="16"/>
        <v>0</v>
      </c>
      <c r="G37" s="2"/>
      <c r="H37" s="6">
        <v>1822.68</v>
      </c>
      <c r="I37" s="2"/>
      <c r="J37" s="7">
        <f t="shared" si="17"/>
        <v>0</v>
      </c>
      <c r="K37" s="2"/>
      <c r="L37" s="6">
        <f t="shared" si="18"/>
        <v>0</v>
      </c>
      <c r="M37" s="2"/>
      <c r="N37" s="7">
        <f t="shared" si="19"/>
        <v>0</v>
      </c>
      <c r="O37" s="11"/>
      <c r="P37" s="6">
        <v>9113.4</v>
      </c>
      <c r="Q37" s="2"/>
      <c r="R37" s="7">
        <f t="shared" si="20"/>
        <v>0</v>
      </c>
      <c r="S37" s="2"/>
      <c r="T37" s="6">
        <v>9897.59</v>
      </c>
      <c r="U37" s="2"/>
      <c r="V37" s="7">
        <f t="shared" si="21"/>
        <v>0</v>
      </c>
      <c r="W37" s="2"/>
      <c r="X37" s="6">
        <f t="shared" si="22"/>
        <v>-784.19000000000051</v>
      </c>
      <c r="Y37" s="2"/>
      <c r="Z37" s="7">
        <f t="shared" si="23"/>
        <v>-7.9230398511152766E-2</v>
      </c>
    </row>
    <row r="38" spans="1:26" s="24" customFormat="1" hidden="1" outlineLevel="2" x14ac:dyDescent="0.3">
      <c r="A38" s="27"/>
      <c r="B38" s="11" t="str">
        <f>CONCATENATE("          ", "6322", " - ", "EQUIPMENT DEPRECIATION EXPENSE")</f>
        <v xml:space="preserve">          6322 - EQUIPMENT DEPRECIATION EXPENSE</v>
      </c>
      <c r="C38" s="11"/>
      <c r="D38" s="6">
        <v>3508.85</v>
      </c>
      <c r="E38" s="2"/>
      <c r="F38" s="7">
        <f t="shared" si="16"/>
        <v>0</v>
      </c>
      <c r="G38" s="2"/>
      <c r="H38" s="6">
        <v>4957.18</v>
      </c>
      <c r="I38" s="2"/>
      <c r="J38" s="7">
        <f t="shared" si="17"/>
        <v>0</v>
      </c>
      <c r="K38" s="2"/>
      <c r="L38" s="6">
        <f t="shared" si="18"/>
        <v>-1448.3300000000004</v>
      </c>
      <c r="M38" s="2"/>
      <c r="N38" s="7">
        <f t="shared" si="19"/>
        <v>-0.29216812784688073</v>
      </c>
      <c r="O38" s="11"/>
      <c r="P38" s="6">
        <v>17544.25</v>
      </c>
      <c r="Q38" s="2"/>
      <c r="R38" s="7">
        <f t="shared" si="20"/>
        <v>0</v>
      </c>
      <c r="S38" s="2"/>
      <c r="T38" s="6">
        <v>24785.9</v>
      </c>
      <c r="U38" s="2"/>
      <c r="V38" s="7">
        <f t="shared" si="21"/>
        <v>0</v>
      </c>
      <c r="W38" s="2"/>
      <c r="X38" s="6">
        <f t="shared" si="22"/>
        <v>-7241.6500000000015</v>
      </c>
      <c r="Y38" s="2"/>
      <c r="Z38" s="7">
        <f t="shared" si="23"/>
        <v>-0.29216812784688073</v>
      </c>
    </row>
    <row r="39" spans="1:26" s="29" customFormat="1" outlineLevel="1" collapsed="1" x14ac:dyDescent="0.3">
      <c r="A39" s="28"/>
      <c r="B39" s="14" t="str">
        <f>CONCATENATE("     ","Employees' Appreciation                           ")</f>
        <v xml:space="preserve">     Employees' Appreciation                           </v>
      </c>
      <c r="C39" s="14"/>
      <c r="D39" s="1">
        <f>SUM(OSRRefD22_4x_0)</f>
        <v>0</v>
      </c>
      <c r="E39" s="1"/>
      <c r="F39" s="5">
        <f t="shared" ref="F39:F52" si="24">IF(D$12=0,0,D39/D$12)</f>
        <v>0</v>
      </c>
      <c r="G39" s="1"/>
      <c r="H39" s="1">
        <f>SUM(OSRRefH22_4x_0)</f>
        <v>0</v>
      </c>
      <c r="I39" s="1"/>
      <c r="J39" s="5">
        <f t="shared" ref="J39:J52" si="25">IF(H$12=0,0,H39/H$12)</f>
        <v>0</v>
      </c>
      <c r="K39" s="1"/>
      <c r="L39" s="1">
        <f t="shared" ref="L39:L52" si="26">+D39-H39</f>
        <v>0</v>
      </c>
      <c r="M39" s="1"/>
      <c r="N39" s="5">
        <f t="shared" ref="N39:N52" si="27">IF(H39=0,0,L39/H39)</f>
        <v>0</v>
      </c>
      <c r="O39" s="14"/>
      <c r="P39" s="1">
        <f>SUM(OSRRefP22_4x_0)</f>
        <v>18</v>
      </c>
      <c r="Q39" s="1"/>
      <c r="R39" s="5">
        <f t="shared" ref="R39:R52" si="28">IF(P$12=0,0,P39/P$12)</f>
        <v>0</v>
      </c>
      <c r="S39" s="1"/>
      <c r="T39" s="1">
        <f>SUM(OSRRefT22_4x_0)</f>
        <v>0</v>
      </c>
      <c r="U39" s="1"/>
      <c r="V39" s="5">
        <f t="shared" ref="V39:V52" si="29">IF(T$12=0,0,T39/T$12)</f>
        <v>0</v>
      </c>
      <c r="W39" s="1"/>
      <c r="X39" s="1">
        <f t="shared" ref="X39:X52" si="30">+P39-T39</f>
        <v>18</v>
      </c>
      <c r="Y39" s="1"/>
      <c r="Z39" s="5">
        <f t="shared" ref="Z39:Z52" si="31">IF(T39=0,0,X39/T39)</f>
        <v>0</v>
      </c>
    </row>
    <row r="40" spans="1:26" s="24" customFormat="1" hidden="1" outlineLevel="2" x14ac:dyDescent="0.3">
      <c r="A40" s="27"/>
      <c r="B40" s="11" t="str">
        <f>CONCATENATE("          ", "6277", " - ", "EMPLOYEE APPRECIATION")</f>
        <v xml:space="preserve">          6277 - EMPLOYEE APPRECIATION</v>
      </c>
      <c r="C40" s="11"/>
      <c r="D40" s="6"/>
      <c r="E40" s="2"/>
      <c r="F40" s="7">
        <f t="shared" si="24"/>
        <v>0</v>
      </c>
      <c r="G40" s="2"/>
      <c r="H40" s="6"/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18</v>
      </c>
      <c r="Q40" s="2"/>
      <c r="R40" s="7">
        <f t="shared" si="28"/>
        <v>0</v>
      </c>
      <c r="S40" s="2"/>
      <c r="T40" s="6"/>
      <c r="U40" s="2"/>
      <c r="V40" s="7">
        <f t="shared" si="29"/>
        <v>0</v>
      </c>
      <c r="W40" s="2"/>
      <c r="X40" s="6">
        <f t="shared" si="30"/>
        <v>18</v>
      </c>
      <c r="Y40" s="2"/>
      <c r="Z40" s="7">
        <f t="shared" si="31"/>
        <v>0</v>
      </c>
    </row>
    <row r="41" spans="1:26" s="29" customFormat="1" outlineLevel="1" collapsed="1" x14ac:dyDescent="0.3">
      <c r="A41" s="28"/>
      <c r="B41" s="14" t="str">
        <f>CONCATENATE("     ","Equipment Rental                                  ")</f>
        <v xml:space="preserve">     Equipment Rental                                  </v>
      </c>
      <c r="C41" s="14"/>
      <c r="D41" s="1">
        <f>SUM(OSRRefD22_5x_0)</f>
        <v>91.26</v>
      </c>
      <c r="E41" s="1"/>
      <c r="F41" s="5">
        <f t="shared" si="24"/>
        <v>0</v>
      </c>
      <c r="G41" s="1"/>
      <c r="H41" s="1">
        <f>SUM(OSRRefH22_5x_0)</f>
        <v>567</v>
      </c>
      <c r="I41" s="1"/>
      <c r="J41" s="5">
        <f t="shared" si="25"/>
        <v>0</v>
      </c>
      <c r="K41" s="1"/>
      <c r="L41" s="1">
        <f t="shared" si="26"/>
        <v>-475.74</v>
      </c>
      <c r="M41" s="1"/>
      <c r="N41" s="5">
        <f t="shared" si="27"/>
        <v>-0.83904761904761904</v>
      </c>
      <c r="O41" s="14"/>
      <c r="P41" s="1">
        <f>SUM(OSRRefP22_5x_0)</f>
        <v>456.3</v>
      </c>
      <c r="Q41" s="1"/>
      <c r="R41" s="5">
        <f t="shared" si="28"/>
        <v>0</v>
      </c>
      <c r="S41" s="1"/>
      <c r="T41" s="1">
        <f>SUM(OSRRefT22_5x_0)</f>
        <v>2745.71</v>
      </c>
      <c r="U41" s="1"/>
      <c r="V41" s="5">
        <f t="shared" si="29"/>
        <v>0</v>
      </c>
      <c r="W41" s="1"/>
      <c r="X41" s="1">
        <f t="shared" si="30"/>
        <v>-2289.41</v>
      </c>
      <c r="Y41" s="1"/>
      <c r="Z41" s="5">
        <f t="shared" si="31"/>
        <v>-0.83381347629574853</v>
      </c>
    </row>
    <row r="42" spans="1:26" s="24" customFormat="1" hidden="1" outlineLevel="2" x14ac:dyDescent="0.3">
      <c r="A42" s="27"/>
      <c r="B42" s="11" t="str">
        <f>CONCATENATE("          ", "6351", " - ", "EQUIPMENT RENTAL")</f>
        <v xml:space="preserve">          6351 - EQUIPMENT RENTAL</v>
      </c>
      <c r="C42" s="11"/>
      <c r="D42" s="6">
        <v>91.26</v>
      </c>
      <c r="E42" s="2"/>
      <c r="F42" s="7">
        <f t="shared" si="24"/>
        <v>0</v>
      </c>
      <c r="G42" s="2"/>
      <c r="H42" s="6">
        <v>567</v>
      </c>
      <c r="I42" s="2"/>
      <c r="J42" s="7">
        <f t="shared" si="25"/>
        <v>0</v>
      </c>
      <c r="K42" s="2"/>
      <c r="L42" s="6">
        <f t="shared" si="26"/>
        <v>-475.74</v>
      </c>
      <c r="M42" s="2"/>
      <c r="N42" s="7">
        <f t="shared" si="27"/>
        <v>-0.83904761904761904</v>
      </c>
      <c r="O42" s="11"/>
      <c r="P42" s="6">
        <v>456.3</v>
      </c>
      <c r="Q42" s="2"/>
      <c r="R42" s="7">
        <f t="shared" si="28"/>
        <v>0</v>
      </c>
      <c r="S42" s="2"/>
      <c r="T42" s="6">
        <v>2745.71</v>
      </c>
      <c r="U42" s="2"/>
      <c r="V42" s="7">
        <f t="shared" si="29"/>
        <v>0</v>
      </c>
      <c r="W42" s="2"/>
      <c r="X42" s="6">
        <f t="shared" si="30"/>
        <v>-2289.41</v>
      </c>
      <c r="Y42" s="2"/>
      <c r="Z42" s="7">
        <f t="shared" si="31"/>
        <v>-0.83381347629574853</v>
      </c>
    </row>
    <row r="43" spans="1:26" s="29" customFormat="1" outlineLevel="1" collapsed="1" x14ac:dyDescent="0.3">
      <c r="A43" s="28"/>
      <c r="B43" s="14" t="str">
        <f>CONCATENATE("     ","Freight out/Postage                               ")</f>
        <v xml:space="preserve">     Freight out/Postage                               </v>
      </c>
      <c r="C43" s="14"/>
      <c r="D43" s="1">
        <f>SUM(OSRRefD22_6x_0)</f>
        <v>0</v>
      </c>
      <c r="E43" s="1"/>
      <c r="F43" s="5">
        <f t="shared" si="24"/>
        <v>0</v>
      </c>
      <c r="G43" s="1"/>
      <c r="H43" s="1">
        <f>SUM(OSRRefH22_6x_0)</f>
        <v>0</v>
      </c>
      <c r="I43" s="1"/>
      <c r="J43" s="5">
        <f t="shared" si="25"/>
        <v>0</v>
      </c>
      <c r="K43" s="1"/>
      <c r="L43" s="1">
        <f t="shared" si="26"/>
        <v>0</v>
      </c>
      <c r="M43" s="1"/>
      <c r="N43" s="5">
        <f t="shared" si="27"/>
        <v>0</v>
      </c>
      <c r="O43" s="14"/>
      <c r="P43" s="1">
        <f>SUM(OSRRefP22_6x_0)</f>
        <v>0</v>
      </c>
      <c r="Q43" s="1"/>
      <c r="R43" s="5">
        <f t="shared" si="28"/>
        <v>0</v>
      </c>
      <c r="S43" s="1"/>
      <c r="T43" s="1">
        <f>SUM(OSRRefT22_6x_0)</f>
        <v>-5.41</v>
      </c>
      <c r="U43" s="1"/>
      <c r="V43" s="5">
        <f t="shared" si="29"/>
        <v>0</v>
      </c>
      <c r="W43" s="1"/>
      <c r="X43" s="1">
        <f t="shared" si="30"/>
        <v>5.41</v>
      </c>
      <c r="Y43" s="1"/>
      <c r="Z43" s="5">
        <f t="shared" si="31"/>
        <v>-1</v>
      </c>
    </row>
    <row r="44" spans="1:26" s="24" customFormat="1" hidden="1" outlineLevel="2" x14ac:dyDescent="0.3">
      <c r="A44" s="27"/>
      <c r="B44" s="11" t="str">
        <f>CONCATENATE("          ", "6307", " - ", "POSTAGE")</f>
        <v xml:space="preserve">          6307 - POSTAGE</v>
      </c>
      <c r="C44" s="11"/>
      <c r="D44" s="6"/>
      <c r="E44" s="2"/>
      <c r="F44" s="7">
        <f t="shared" si="24"/>
        <v>0</v>
      </c>
      <c r="G44" s="2"/>
      <c r="H44" s="6"/>
      <c r="I44" s="2"/>
      <c r="J44" s="7">
        <f t="shared" si="25"/>
        <v>0</v>
      </c>
      <c r="K44" s="2"/>
      <c r="L44" s="6">
        <f t="shared" si="26"/>
        <v>0</v>
      </c>
      <c r="M44" s="2"/>
      <c r="N44" s="7">
        <f t="shared" si="27"/>
        <v>0</v>
      </c>
      <c r="O44" s="11"/>
      <c r="P44" s="6"/>
      <c r="Q44" s="2"/>
      <c r="R44" s="7">
        <f t="shared" si="28"/>
        <v>0</v>
      </c>
      <c r="S44" s="2"/>
      <c r="T44" s="6">
        <v>-5.41</v>
      </c>
      <c r="U44" s="2"/>
      <c r="V44" s="7">
        <f t="shared" si="29"/>
        <v>0</v>
      </c>
      <c r="W44" s="2"/>
      <c r="X44" s="6">
        <f t="shared" si="30"/>
        <v>5.41</v>
      </c>
      <c r="Y44" s="2"/>
      <c r="Z44" s="7">
        <f t="shared" si="31"/>
        <v>-1</v>
      </c>
    </row>
    <row r="45" spans="1:26" s="29" customFormat="1" outlineLevel="1" collapsed="1" x14ac:dyDescent="0.3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24"/>
        <v>0</v>
      </c>
      <c r="G45" s="1"/>
      <c r="H45" s="1">
        <f>SUM(OSRRefH22_7x_0)</f>
        <v>0</v>
      </c>
      <c r="I45" s="1"/>
      <c r="J45" s="5">
        <f t="shared" si="25"/>
        <v>0</v>
      </c>
      <c r="K45" s="1"/>
      <c r="L45" s="1">
        <f t="shared" si="26"/>
        <v>0</v>
      </c>
      <c r="M45" s="1"/>
      <c r="N45" s="5">
        <f t="shared" si="27"/>
        <v>0</v>
      </c>
      <c r="O45" s="14"/>
      <c r="P45" s="1">
        <f>SUM(OSRRefP22_7x_0)</f>
        <v>122.51</v>
      </c>
      <c r="Q45" s="1"/>
      <c r="R45" s="5">
        <f t="shared" si="28"/>
        <v>0</v>
      </c>
      <c r="S45" s="1"/>
      <c r="T45" s="1">
        <f>SUM(OSRRefT22_7x_0)</f>
        <v>0</v>
      </c>
      <c r="U45" s="1"/>
      <c r="V45" s="5">
        <f t="shared" si="29"/>
        <v>0</v>
      </c>
      <c r="W45" s="1"/>
      <c r="X45" s="1">
        <f t="shared" si="30"/>
        <v>122.51</v>
      </c>
      <c r="Y45" s="1"/>
      <c r="Z45" s="5">
        <f t="shared" si="31"/>
        <v>0</v>
      </c>
    </row>
    <row r="46" spans="1:26" s="24" customFormat="1" hidden="1" outlineLevel="2" x14ac:dyDescent="0.3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24"/>
        <v>0</v>
      </c>
      <c r="G46" s="2"/>
      <c r="H46" s="6"/>
      <c r="I46" s="2"/>
      <c r="J46" s="7">
        <f t="shared" si="25"/>
        <v>0</v>
      </c>
      <c r="K46" s="2"/>
      <c r="L46" s="6">
        <f t="shared" si="26"/>
        <v>0</v>
      </c>
      <c r="M46" s="2"/>
      <c r="N46" s="7">
        <f t="shared" si="27"/>
        <v>0</v>
      </c>
      <c r="O46" s="11"/>
      <c r="P46" s="6">
        <v>122.51</v>
      </c>
      <c r="Q46" s="2"/>
      <c r="R46" s="7">
        <f t="shared" si="28"/>
        <v>0</v>
      </c>
      <c r="S46" s="2"/>
      <c r="T46" s="6"/>
      <c r="U46" s="2"/>
      <c r="V46" s="7">
        <f t="shared" si="29"/>
        <v>0</v>
      </c>
      <c r="W46" s="2"/>
      <c r="X46" s="6">
        <f t="shared" si="30"/>
        <v>122.51</v>
      </c>
      <c r="Y46" s="2"/>
      <c r="Z46" s="7">
        <f t="shared" si="31"/>
        <v>0</v>
      </c>
    </row>
    <row r="47" spans="1:26" s="29" customFormat="1" outlineLevel="1" collapsed="1" x14ac:dyDescent="0.3">
      <c r="A47" s="28"/>
      <c r="B47" s="14" t="str">
        <f>CONCATENATE("     ","Insurance                                         ")</f>
        <v xml:space="preserve">     Insurance                                         </v>
      </c>
      <c r="C47" s="14"/>
      <c r="D47" s="1">
        <f>SUM(OSRRefD22_8x_0)</f>
        <v>4884.6000000000004</v>
      </c>
      <c r="E47" s="1"/>
      <c r="F47" s="5">
        <f t="shared" si="24"/>
        <v>0</v>
      </c>
      <c r="G47" s="1"/>
      <c r="H47" s="1">
        <f>SUM(OSRRefH22_8x_0)</f>
        <v>3598.85</v>
      </c>
      <c r="I47" s="1"/>
      <c r="J47" s="5">
        <f t="shared" si="25"/>
        <v>0</v>
      </c>
      <c r="K47" s="1"/>
      <c r="L47" s="1">
        <f t="shared" si="26"/>
        <v>1285.7500000000005</v>
      </c>
      <c r="M47" s="1"/>
      <c r="N47" s="5">
        <f t="shared" si="27"/>
        <v>0.35726690470567002</v>
      </c>
      <c r="O47" s="14"/>
      <c r="P47" s="1">
        <f>SUM(OSRRefP22_8x_0)</f>
        <v>31306</v>
      </c>
      <c r="Q47" s="1"/>
      <c r="R47" s="5">
        <f t="shared" si="28"/>
        <v>0</v>
      </c>
      <c r="S47" s="1"/>
      <c r="T47" s="1">
        <f>SUM(OSRRefT22_8x_0)</f>
        <v>24106.25</v>
      </c>
      <c r="U47" s="1"/>
      <c r="V47" s="5">
        <f t="shared" si="29"/>
        <v>0</v>
      </c>
      <c r="W47" s="1"/>
      <c r="X47" s="1">
        <f t="shared" si="30"/>
        <v>7199.75</v>
      </c>
      <c r="Y47" s="1"/>
      <c r="Z47" s="5">
        <f t="shared" si="31"/>
        <v>0.29866735805029815</v>
      </c>
    </row>
    <row r="48" spans="1:26" s="24" customFormat="1" hidden="1" outlineLevel="2" x14ac:dyDescent="0.3">
      <c r="A48" s="27"/>
      <c r="B48" s="11" t="str">
        <f>CONCATENATE("          ", "6314", " - ", "LIABILITY INSURANCE")</f>
        <v xml:space="preserve">          6314 - LIABILITY INSURANCE</v>
      </c>
      <c r="C48" s="11"/>
      <c r="D48" s="6">
        <v>4884.6000000000004</v>
      </c>
      <c r="E48" s="2"/>
      <c r="F48" s="7">
        <f t="shared" si="24"/>
        <v>0</v>
      </c>
      <c r="G48" s="2"/>
      <c r="H48" s="6">
        <v>3598.85</v>
      </c>
      <c r="I48" s="2"/>
      <c r="J48" s="7">
        <f t="shared" si="25"/>
        <v>0</v>
      </c>
      <c r="K48" s="2"/>
      <c r="L48" s="6">
        <f t="shared" si="26"/>
        <v>1285.7500000000005</v>
      </c>
      <c r="M48" s="2"/>
      <c r="N48" s="7">
        <f t="shared" si="27"/>
        <v>0.35726690470567002</v>
      </c>
      <c r="O48" s="11"/>
      <c r="P48" s="6">
        <v>31306</v>
      </c>
      <c r="Q48" s="2"/>
      <c r="R48" s="7">
        <f t="shared" si="28"/>
        <v>0</v>
      </c>
      <c r="S48" s="2"/>
      <c r="T48" s="6">
        <v>24106.25</v>
      </c>
      <c r="U48" s="2"/>
      <c r="V48" s="7">
        <f t="shared" si="29"/>
        <v>0</v>
      </c>
      <c r="W48" s="2"/>
      <c r="X48" s="6">
        <f t="shared" si="30"/>
        <v>7199.75</v>
      </c>
      <c r="Y48" s="2"/>
      <c r="Z48" s="7">
        <f t="shared" si="31"/>
        <v>0.29866735805029815</v>
      </c>
    </row>
    <row r="49" spans="1:26" s="29" customFormat="1" outlineLevel="1" collapsed="1" x14ac:dyDescent="0.3">
      <c r="A49" s="28"/>
      <c r="B49" s="14" t="str">
        <f>CONCATENATE("     ","Repair and Maintenance                            ")</f>
        <v xml:space="preserve">     Repair and Maintenance                            </v>
      </c>
      <c r="C49" s="14"/>
      <c r="D49" s="1">
        <f>SUM(OSRRefD22_9x_0)</f>
        <v>2067.02</v>
      </c>
      <c r="E49" s="1"/>
      <c r="F49" s="5">
        <f t="shared" si="24"/>
        <v>0</v>
      </c>
      <c r="G49" s="1"/>
      <c r="H49" s="1">
        <f>SUM(OSRRefH22_9x_0)</f>
        <v>1475.01</v>
      </c>
      <c r="I49" s="1"/>
      <c r="J49" s="5">
        <f t="shared" si="25"/>
        <v>0</v>
      </c>
      <c r="K49" s="1"/>
      <c r="L49" s="1">
        <f t="shared" si="26"/>
        <v>592.01</v>
      </c>
      <c r="M49" s="1"/>
      <c r="N49" s="5">
        <f t="shared" si="27"/>
        <v>0.40135999077972351</v>
      </c>
      <c r="O49" s="14"/>
      <c r="P49" s="1">
        <f>SUM(OSRRefP22_9x_0)</f>
        <v>16529.230000000003</v>
      </c>
      <c r="Q49" s="1"/>
      <c r="R49" s="5">
        <f t="shared" si="28"/>
        <v>0</v>
      </c>
      <c r="S49" s="1"/>
      <c r="T49" s="1">
        <f>SUM(OSRRefT22_9x_0)</f>
        <v>2304.36</v>
      </c>
      <c r="U49" s="1"/>
      <c r="V49" s="5">
        <f t="shared" si="29"/>
        <v>0</v>
      </c>
      <c r="W49" s="1"/>
      <c r="X49" s="1">
        <f t="shared" si="30"/>
        <v>14224.870000000003</v>
      </c>
      <c r="Y49" s="1"/>
      <c r="Z49" s="5">
        <f t="shared" si="31"/>
        <v>6.1730241802496142</v>
      </c>
    </row>
    <row r="50" spans="1:26" s="24" customFormat="1" hidden="1" outlineLevel="2" x14ac:dyDescent="0.3">
      <c r="A50" s="27"/>
      <c r="B50" s="11" t="str">
        <f>CONCATENATE("          ", "6371", " - ", "COMPUTER SOFTWARE MAINTENANCE")</f>
        <v xml:space="preserve">          6371 - COMPUTER SOFTWARE MAINTENANCE</v>
      </c>
      <c r="C50" s="11"/>
      <c r="D50" s="6">
        <v>380.32</v>
      </c>
      <c r="E50" s="2"/>
      <c r="F50" s="7">
        <f t="shared" si="24"/>
        <v>0</v>
      </c>
      <c r="G50" s="2"/>
      <c r="H50" s="6"/>
      <c r="I50" s="2"/>
      <c r="J50" s="7">
        <f t="shared" si="25"/>
        <v>0</v>
      </c>
      <c r="K50" s="2"/>
      <c r="L50" s="6">
        <f t="shared" si="26"/>
        <v>380.32</v>
      </c>
      <c r="M50" s="2"/>
      <c r="N50" s="7">
        <f t="shared" si="27"/>
        <v>0</v>
      </c>
      <c r="O50" s="11"/>
      <c r="P50" s="6">
        <v>5717.72</v>
      </c>
      <c r="Q50" s="2"/>
      <c r="R50" s="7">
        <f t="shared" si="28"/>
        <v>0</v>
      </c>
      <c r="S50" s="2"/>
      <c r="T50" s="6"/>
      <c r="U50" s="2"/>
      <c r="V50" s="7">
        <f t="shared" si="29"/>
        <v>0</v>
      </c>
      <c r="W50" s="2"/>
      <c r="X50" s="6">
        <f t="shared" si="30"/>
        <v>5717.72</v>
      </c>
      <c r="Y50" s="2"/>
      <c r="Z50" s="7">
        <f t="shared" si="31"/>
        <v>0</v>
      </c>
    </row>
    <row r="51" spans="1:26" s="24" customFormat="1" hidden="1" outlineLevel="2" x14ac:dyDescent="0.3">
      <c r="A51" s="27"/>
      <c r="B51" s="11" t="str">
        <f>CONCATENATE("          ", "6373", " - ", "MAINTENANCE CONTRACTS")</f>
        <v xml:space="preserve">          6373 - MAINTENANCE CONTRACTS</v>
      </c>
      <c r="C51" s="11"/>
      <c r="D51" s="6">
        <v>1241.7</v>
      </c>
      <c r="E51" s="2"/>
      <c r="F51" s="7">
        <f t="shared" si="24"/>
        <v>0</v>
      </c>
      <c r="G51" s="2"/>
      <c r="H51" s="6">
        <v>900.01</v>
      </c>
      <c r="I51" s="2"/>
      <c r="J51" s="7">
        <f t="shared" si="25"/>
        <v>0</v>
      </c>
      <c r="K51" s="2"/>
      <c r="L51" s="6">
        <f t="shared" si="26"/>
        <v>341.69000000000005</v>
      </c>
      <c r="M51" s="2"/>
      <c r="N51" s="7">
        <f t="shared" si="27"/>
        <v>0.37965133720736444</v>
      </c>
      <c r="O51" s="11"/>
      <c r="P51" s="6">
        <v>2609.25</v>
      </c>
      <c r="Q51" s="2"/>
      <c r="R51" s="7">
        <f t="shared" si="28"/>
        <v>0</v>
      </c>
      <c r="S51" s="2"/>
      <c r="T51" s="6">
        <v>1691.9</v>
      </c>
      <c r="U51" s="2"/>
      <c r="V51" s="7">
        <f t="shared" si="29"/>
        <v>0</v>
      </c>
      <c r="W51" s="2"/>
      <c r="X51" s="6">
        <f t="shared" si="30"/>
        <v>917.34999999999991</v>
      </c>
      <c r="Y51" s="2"/>
      <c r="Z51" s="7">
        <f t="shared" si="31"/>
        <v>0.54220107571369458</v>
      </c>
    </row>
    <row r="52" spans="1:26" s="24" customFormat="1" hidden="1" outlineLevel="2" x14ac:dyDescent="0.3">
      <c r="A52" s="27"/>
      <c r="B52" s="11" t="str">
        <f>CONCATENATE("          ", "6375", " - ", "OUTSIDE REPAIRS &amp; MAINTENANCE")</f>
        <v xml:space="preserve">          6375 - OUTSIDE REPAIRS &amp; MAINTENANCE</v>
      </c>
      <c r="C52" s="11"/>
      <c r="D52" s="6">
        <v>445</v>
      </c>
      <c r="E52" s="2"/>
      <c r="F52" s="7">
        <f t="shared" si="24"/>
        <v>0</v>
      </c>
      <c r="G52" s="2"/>
      <c r="H52" s="6">
        <v>575</v>
      </c>
      <c r="I52" s="2"/>
      <c r="J52" s="7">
        <f t="shared" si="25"/>
        <v>0</v>
      </c>
      <c r="K52" s="2"/>
      <c r="L52" s="6">
        <f t="shared" si="26"/>
        <v>-130</v>
      </c>
      <c r="M52" s="2"/>
      <c r="N52" s="7">
        <f t="shared" si="27"/>
        <v>-0.22608695652173913</v>
      </c>
      <c r="O52" s="11"/>
      <c r="P52" s="6">
        <v>8202.26</v>
      </c>
      <c r="Q52" s="2"/>
      <c r="R52" s="7">
        <f t="shared" si="28"/>
        <v>0</v>
      </c>
      <c r="S52" s="2"/>
      <c r="T52" s="6">
        <v>612.46</v>
      </c>
      <c r="U52" s="2"/>
      <c r="V52" s="7">
        <f t="shared" si="29"/>
        <v>0</v>
      </c>
      <c r="W52" s="2"/>
      <c r="X52" s="6">
        <f t="shared" si="30"/>
        <v>7589.8</v>
      </c>
      <c r="Y52" s="2"/>
      <c r="Z52" s="7">
        <f t="shared" si="31"/>
        <v>12.392319498416223</v>
      </c>
    </row>
    <row r="53" spans="1:26" s="29" customFormat="1" outlineLevel="1" collapsed="1" x14ac:dyDescent="0.3">
      <c r="A53" s="28"/>
      <c r="B53" s="14" t="str">
        <f>CONCATENATE("     ","Services                                          ")</f>
        <v xml:space="preserve">     Services                                          </v>
      </c>
      <c r="C53" s="14"/>
      <c r="D53" s="1">
        <f>SUM(OSRRefD22_10x_0)</f>
        <v>670.1</v>
      </c>
      <c r="E53" s="1"/>
      <c r="F53" s="5">
        <f t="shared" ref="F53:F56" si="32">IF(D$12=0,0,D53/D$12)</f>
        <v>0</v>
      </c>
      <c r="G53" s="1"/>
      <c r="H53" s="1">
        <f>SUM(OSRRefH22_10x_0)</f>
        <v>4254</v>
      </c>
      <c r="I53" s="1"/>
      <c r="J53" s="5">
        <f t="shared" ref="J53:J56" si="33">IF(H$12=0,0,H53/H$12)</f>
        <v>0</v>
      </c>
      <c r="K53" s="1"/>
      <c r="L53" s="1">
        <f t="shared" ref="L53:L56" si="34">+D53-H53</f>
        <v>-3583.9</v>
      </c>
      <c r="M53" s="1"/>
      <c r="N53" s="5">
        <f t="shared" ref="N53:N56" si="35">IF(H53=0,0,L53/H53)</f>
        <v>-0.84247766807710389</v>
      </c>
      <c r="O53" s="14"/>
      <c r="P53" s="1">
        <f>SUM(OSRRefP22_10x_0)</f>
        <v>7024.82</v>
      </c>
      <c r="Q53" s="1"/>
      <c r="R53" s="5">
        <f t="shared" ref="R53:R56" si="36">IF(P$12=0,0,P53/P$12)</f>
        <v>0</v>
      </c>
      <c r="S53" s="1"/>
      <c r="T53" s="1">
        <f>SUM(OSRRefT22_10x_0)</f>
        <v>8508</v>
      </c>
      <c r="U53" s="1"/>
      <c r="V53" s="5">
        <f t="shared" ref="V53:V56" si="37">IF(T$12=0,0,T53/T$12)</f>
        <v>0</v>
      </c>
      <c r="W53" s="1"/>
      <c r="X53" s="1">
        <f t="shared" ref="X53:X56" si="38">+P53-T53</f>
        <v>-1483.1800000000003</v>
      </c>
      <c r="Y53" s="1"/>
      <c r="Z53" s="5">
        <f t="shared" ref="Z53:Z56" si="39">IF(T53=0,0,X53/T53)</f>
        <v>-0.17432769158439121</v>
      </c>
    </row>
    <row r="54" spans="1:26" s="24" customFormat="1" hidden="1" outlineLevel="2" x14ac:dyDescent="0.3">
      <c r="A54" s="27"/>
      <c r="B54" s="11" t="str">
        <f>CONCATENATE("          ", "6282", " - ", "JANITORIAL/EXTERMINATOR EXPENS")</f>
        <v xml:space="preserve">          6282 - JANITORIAL/EXTERMINATOR EXPENS</v>
      </c>
      <c r="C54" s="11"/>
      <c r="D54" s="6">
        <v>670.1</v>
      </c>
      <c r="E54" s="2"/>
      <c r="F54" s="7">
        <f t="shared" si="32"/>
        <v>0</v>
      </c>
      <c r="G54" s="2"/>
      <c r="H54" s="6"/>
      <c r="I54" s="2"/>
      <c r="J54" s="7">
        <f t="shared" si="33"/>
        <v>0</v>
      </c>
      <c r="K54" s="2"/>
      <c r="L54" s="6">
        <f t="shared" si="34"/>
        <v>670.1</v>
      </c>
      <c r="M54" s="2"/>
      <c r="N54" s="7">
        <f t="shared" si="35"/>
        <v>0</v>
      </c>
      <c r="O54" s="11"/>
      <c r="P54" s="6">
        <v>3350.5</v>
      </c>
      <c r="Q54" s="2"/>
      <c r="R54" s="7">
        <f t="shared" si="36"/>
        <v>0</v>
      </c>
      <c r="S54" s="2"/>
      <c r="T54" s="6"/>
      <c r="U54" s="2"/>
      <c r="V54" s="7">
        <f t="shared" si="37"/>
        <v>0</v>
      </c>
      <c r="W54" s="2"/>
      <c r="X54" s="6">
        <f t="shared" si="38"/>
        <v>3350.5</v>
      </c>
      <c r="Y54" s="2"/>
      <c r="Z54" s="7">
        <f t="shared" si="39"/>
        <v>0</v>
      </c>
    </row>
    <row r="55" spans="1:26" s="24" customFormat="1" hidden="1" outlineLevel="2" x14ac:dyDescent="0.3">
      <c r="A55" s="27"/>
      <c r="B55" s="11" t="str">
        <f>CONCATENATE("          ", "6284", " - ", "TRASH REMOVAL EXPENSE")</f>
        <v xml:space="preserve">          6284 - TRASH REMOVAL EXPENSE</v>
      </c>
      <c r="C55" s="11"/>
      <c r="D55" s="6"/>
      <c r="E55" s="2"/>
      <c r="F55" s="7">
        <f t="shared" si="32"/>
        <v>0</v>
      </c>
      <c r="G55" s="2"/>
      <c r="H55" s="6">
        <v>4254</v>
      </c>
      <c r="I55" s="2"/>
      <c r="J55" s="7">
        <f t="shared" si="33"/>
        <v>0</v>
      </c>
      <c r="K55" s="2"/>
      <c r="L55" s="6">
        <f t="shared" si="34"/>
        <v>-4254</v>
      </c>
      <c r="M55" s="2"/>
      <c r="N55" s="7">
        <f t="shared" si="35"/>
        <v>-1</v>
      </c>
      <c r="O55" s="11"/>
      <c r="P55" s="6"/>
      <c r="Q55" s="2"/>
      <c r="R55" s="7">
        <f t="shared" si="36"/>
        <v>0</v>
      </c>
      <c r="S55" s="2"/>
      <c r="T55" s="6">
        <v>8508</v>
      </c>
      <c r="U55" s="2"/>
      <c r="V55" s="7">
        <f t="shared" si="37"/>
        <v>0</v>
      </c>
      <c r="W55" s="2"/>
      <c r="X55" s="6">
        <f t="shared" si="38"/>
        <v>-8508</v>
      </c>
      <c r="Y55" s="2"/>
      <c r="Z55" s="7">
        <f t="shared" si="39"/>
        <v>-1</v>
      </c>
    </row>
    <row r="56" spans="1:26" s="24" customFormat="1" hidden="1" outlineLevel="2" x14ac:dyDescent="0.3">
      <c r="A56" s="27"/>
      <c r="B56" s="11" t="str">
        <f>CONCATENATE("          ", "6285", " - ", "JANITORIAL SERVICES")</f>
        <v xml:space="preserve">          6285 - JANITORIAL SERVICES</v>
      </c>
      <c r="C56" s="11"/>
      <c r="D56" s="6"/>
      <c r="E56" s="2"/>
      <c r="F56" s="7">
        <f t="shared" si="32"/>
        <v>0</v>
      </c>
      <c r="G56" s="2"/>
      <c r="H56" s="6"/>
      <c r="I56" s="2"/>
      <c r="J56" s="7">
        <f t="shared" si="33"/>
        <v>0</v>
      </c>
      <c r="K56" s="2"/>
      <c r="L56" s="6">
        <f t="shared" si="34"/>
        <v>0</v>
      </c>
      <c r="M56" s="2"/>
      <c r="N56" s="7">
        <f t="shared" si="35"/>
        <v>0</v>
      </c>
      <c r="O56" s="11"/>
      <c r="P56" s="6">
        <v>3674.32</v>
      </c>
      <c r="Q56" s="2"/>
      <c r="R56" s="7">
        <f t="shared" si="36"/>
        <v>0</v>
      </c>
      <c r="S56" s="2"/>
      <c r="T56" s="6"/>
      <c r="U56" s="2"/>
      <c r="V56" s="7">
        <f t="shared" si="37"/>
        <v>0</v>
      </c>
      <c r="W56" s="2"/>
      <c r="X56" s="6">
        <f t="shared" si="38"/>
        <v>3674.32</v>
      </c>
      <c r="Y56" s="2"/>
      <c r="Z56" s="7">
        <f t="shared" si="39"/>
        <v>0</v>
      </c>
    </row>
    <row r="57" spans="1:26" s="29" customFormat="1" outlineLevel="1" collapsed="1" x14ac:dyDescent="0.3">
      <c r="A57" s="28"/>
      <c r="B57" s="14" t="str">
        <f>CONCATENATE("     ","Supplies                                          ")</f>
        <v xml:space="preserve">     Supplies                                          </v>
      </c>
      <c r="C57" s="14"/>
      <c r="D57" s="1">
        <f>SUM(OSRRefD22_11x_0)</f>
        <v>0</v>
      </c>
      <c r="E57" s="1"/>
      <c r="F57" s="5">
        <f t="shared" ref="F57:F59" si="40">IF(D$12=0,0,D57/D$12)</f>
        <v>0</v>
      </c>
      <c r="G57" s="1"/>
      <c r="H57" s="1">
        <f>SUM(OSRRefH22_11x_0)</f>
        <v>0</v>
      </c>
      <c r="I57" s="1"/>
      <c r="J57" s="5">
        <f t="shared" ref="J57:J59" si="41">IF(H$12=0,0,H57/H$12)</f>
        <v>0</v>
      </c>
      <c r="K57" s="1"/>
      <c r="L57" s="1">
        <f t="shared" ref="L57:L59" si="42">+D57-H57</f>
        <v>0</v>
      </c>
      <c r="M57" s="1"/>
      <c r="N57" s="5">
        <f t="shared" ref="N57:N59" si="43">IF(H57=0,0,L57/H57)</f>
        <v>0</v>
      </c>
      <c r="O57" s="14"/>
      <c r="P57" s="1">
        <f>SUM(OSRRefP22_11x_0)</f>
        <v>160.16</v>
      </c>
      <c r="Q57" s="1"/>
      <c r="R57" s="5">
        <f t="shared" ref="R57:R59" si="44">IF(P$12=0,0,P57/P$12)</f>
        <v>0</v>
      </c>
      <c r="S57" s="1"/>
      <c r="T57" s="1">
        <f>SUM(OSRRefT22_11x_0)</f>
        <v>-29072.880000000001</v>
      </c>
      <c r="U57" s="1"/>
      <c r="V57" s="5">
        <f t="shared" ref="V57:V59" si="45">IF(T$12=0,0,T57/T$12)</f>
        <v>0</v>
      </c>
      <c r="W57" s="1"/>
      <c r="X57" s="1">
        <f t="shared" ref="X57:X59" si="46">+P57-T57</f>
        <v>29233.040000000001</v>
      </c>
      <c r="Y57" s="1"/>
      <c r="Z57" s="5">
        <f t="shared" ref="Z57:Z59" si="47">IF(T57=0,0,X57/T57)</f>
        <v>-1.0055089141495441</v>
      </c>
    </row>
    <row r="58" spans="1:26" s="24" customFormat="1" hidden="1" outlineLevel="2" x14ac:dyDescent="0.3">
      <c r="A58" s="27"/>
      <c r="B58" s="11" t="str">
        <f>CONCATENATE("          ", "6235", " - ", "COVID-19 EXPENSES")</f>
        <v xml:space="preserve">          6235 - COVID-19 EXPENSES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/>
      <c r="Q58" s="2"/>
      <c r="R58" s="7">
        <f t="shared" si="44"/>
        <v>0</v>
      </c>
      <c r="S58" s="2"/>
      <c r="T58" s="6">
        <v>127.89</v>
      </c>
      <c r="U58" s="2"/>
      <c r="V58" s="7">
        <f t="shared" si="45"/>
        <v>0</v>
      </c>
      <c r="W58" s="2"/>
      <c r="X58" s="6">
        <f t="shared" si="46"/>
        <v>-127.89</v>
      </c>
      <c r="Y58" s="2"/>
      <c r="Z58" s="7">
        <f t="shared" si="47"/>
        <v>-1</v>
      </c>
    </row>
    <row r="59" spans="1:26" s="24" customFormat="1" hidden="1" outlineLevel="2" x14ac:dyDescent="0.3">
      <c r="A59" s="27"/>
      <c r="B59" s="11" t="str">
        <f>CONCATENATE("          ", "6241", " - ", "OFFICE EXPENSE")</f>
        <v xml:space="preserve">          6241 - OFFICE EXPENSE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160.16</v>
      </c>
      <c r="Q59" s="2"/>
      <c r="R59" s="7">
        <f t="shared" si="44"/>
        <v>0</v>
      </c>
      <c r="S59" s="2"/>
      <c r="T59" s="6">
        <v>-29200.77</v>
      </c>
      <c r="U59" s="2"/>
      <c r="V59" s="7">
        <f t="shared" si="45"/>
        <v>0</v>
      </c>
      <c r="W59" s="2"/>
      <c r="X59" s="6">
        <f t="shared" si="46"/>
        <v>29360.93</v>
      </c>
      <c r="Y59" s="2"/>
      <c r="Z59" s="7">
        <f t="shared" si="47"/>
        <v>-1.0054847868737709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187.3</v>
      </c>
      <c r="E60" s="1"/>
      <c r="F60" s="5">
        <f t="shared" ref="F60:F64" si="48">IF(D$12=0,0,D60/D$12)</f>
        <v>0</v>
      </c>
      <c r="G60" s="1"/>
      <c r="H60" s="1">
        <f>SUM(OSRRefH22_12x_0)</f>
        <v>143.1</v>
      </c>
      <c r="I60" s="1"/>
      <c r="J60" s="5">
        <f t="shared" ref="J60:J64" si="49">IF(H$12=0,0,H60/H$12)</f>
        <v>0</v>
      </c>
      <c r="K60" s="1"/>
      <c r="L60" s="1">
        <f t="shared" ref="L60:L64" si="50">+D60-H60</f>
        <v>44.200000000000017</v>
      </c>
      <c r="M60" s="1"/>
      <c r="N60" s="5">
        <f t="shared" ref="N60:N64" si="51">IF(H60=0,0,L60/H60)</f>
        <v>0.3088749126484977</v>
      </c>
      <c r="O60" s="14"/>
      <c r="P60" s="1">
        <f>SUM(OSRRefP22_12x_0)</f>
        <v>1127.6099999999999</v>
      </c>
      <c r="Q60" s="1"/>
      <c r="R60" s="5">
        <f t="shared" ref="R60:R64" si="52">IF(P$12=0,0,P60/P$12)</f>
        <v>0</v>
      </c>
      <c r="S60" s="1"/>
      <c r="T60" s="1">
        <f>SUM(OSRRefT22_12x_0)</f>
        <v>1243.43</v>
      </c>
      <c r="U60" s="1"/>
      <c r="V60" s="5">
        <f t="shared" ref="V60:V64" si="53">IF(T$12=0,0,T60/T$12)</f>
        <v>0</v>
      </c>
      <c r="W60" s="1"/>
      <c r="X60" s="1">
        <f t="shared" ref="X60:X64" si="54">+P60-T60</f>
        <v>-115.82000000000016</v>
      </c>
      <c r="Y60" s="1"/>
      <c r="Z60" s="5">
        <f t="shared" ref="Z60:Z64" si="55">IF(T60=0,0,X60/T60)</f>
        <v>-9.3145573132383933E-2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6">
        <v>187.3</v>
      </c>
      <c r="E61" s="2"/>
      <c r="F61" s="7">
        <f t="shared" si="48"/>
        <v>0</v>
      </c>
      <c r="G61" s="2"/>
      <c r="H61" s="6">
        <v>143.1</v>
      </c>
      <c r="I61" s="2"/>
      <c r="J61" s="7">
        <f t="shared" si="49"/>
        <v>0</v>
      </c>
      <c r="K61" s="2"/>
      <c r="L61" s="6">
        <f t="shared" si="50"/>
        <v>44.200000000000017</v>
      </c>
      <c r="M61" s="2"/>
      <c r="N61" s="7">
        <f t="shared" si="51"/>
        <v>0.3088749126484977</v>
      </c>
      <c r="O61" s="11"/>
      <c r="P61" s="6">
        <v>1127.6099999999999</v>
      </c>
      <c r="Q61" s="2"/>
      <c r="R61" s="7">
        <f t="shared" si="52"/>
        <v>0</v>
      </c>
      <c r="S61" s="2"/>
      <c r="T61" s="6">
        <v>1243.43</v>
      </c>
      <c r="U61" s="2"/>
      <c r="V61" s="7">
        <f t="shared" si="53"/>
        <v>0</v>
      </c>
      <c r="W61" s="2"/>
      <c r="X61" s="6">
        <f t="shared" si="54"/>
        <v>-115.82000000000016</v>
      </c>
      <c r="Y61" s="2"/>
      <c r="Z61" s="7">
        <f t="shared" si="55"/>
        <v>-9.3145573132383933E-2</v>
      </c>
    </row>
    <row r="62" spans="1:26" s="29" customFormat="1" outlineLevel="1" collapsed="1" x14ac:dyDescent="0.3">
      <c r="A62" s="28"/>
      <c r="B62" s="14" t="str">
        <f>CONCATENATE("     ","Travel                                            ")</f>
        <v xml:space="preserve">     Travel                                            </v>
      </c>
      <c r="C62" s="14"/>
      <c r="D62" s="1">
        <f>SUM(OSRRefD22_13x_0)</f>
        <v>18.59</v>
      </c>
      <c r="E62" s="1"/>
      <c r="F62" s="5">
        <f t="shared" si="48"/>
        <v>0</v>
      </c>
      <c r="G62" s="1"/>
      <c r="H62" s="1">
        <f>SUM(OSRRefH22_13x_0)</f>
        <v>0</v>
      </c>
      <c r="I62" s="1"/>
      <c r="J62" s="5">
        <f t="shared" si="49"/>
        <v>0</v>
      </c>
      <c r="K62" s="1"/>
      <c r="L62" s="1">
        <f t="shared" si="50"/>
        <v>18.59</v>
      </c>
      <c r="M62" s="1"/>
      <c r="N62" s="5">
        <f t="shared" si="51"/>
        <v>0</v>
      </c>
      <c r="O62" s="14"/>
      <c r="P62" s="1">
        <f>SUM(OSRRefP22_13x_0)</f>
        <v>18.59</v>
      </c>
      <c r="Q62" s="1"/>
      <c r="R62" s="5">
        <f t="shared" si="52"/>
        <v>0</v>
      </c>
      <c r="S62" s="1"/>
      <c r="T62" s="1">
        <f>SUM(OSRRefT22_13x_0)</f>
        <v>332.21</v>
      </c>
      <c r="U62" s="1"/>
      <c r="V62" s="5">
        <f t="shared" si="53"/>
        <v>0</v>
      </c>
      <c r="W62" s="1"/>
      <c r="X62" s="1">
        <f t="shared" si="54"/>
        <v>-313.62</v>
      </c>
      <c r="Y62" s="1"/>
      <c r="Z62" s="5">
        <f t="shared" si="55"/>
        <v>-0.94404141958399812</v>
      </c>
    </row>
    <row r="63" spans="1:26" s="24" customFormat="1" hidden="1" outlineLevel="2" x14ac:dyDescent="0.3">
      <c r="A63" s="27"/>
      <c r="B63" s="11" t="str">
        <f>CONCATENATE("          ", "6292", " - ", "TRAVEL/CONFERENCE")</f>
        <v xml:space="preserve">          6292 - TRAVEL/CONFERENCE</v>
      </c>
      <c r="C63" s="11"/>
      <c r="D63" s="6">
        <v>18.59</v>
      </c>
      <c r="E63" s="2"/>
      <c r="F63" s="7">
        <f t="shared" si="48"/>
        <v>0</v>
      </c>
      <c r="G63" s="2"/>
      <c r="H63" s="6"/>
      <c r="I63" s="2"/>
      <c r="J63" s="7">
        <f t="shared" si="49"/>
        <v>0</v>
      </c>
      <c r="K63" s="2"/>
      <c r="L63" s="6">
        <f t="shared" si="50"/>
        <v>18.59</v>
      </c>
      <c r="M63" s="2"/>
      <c r="N63" s="7">
        <f t="shared" si="51"/>
        <v>0</v>
      </c>
      <c r="O63" s="11"/>
      <c r="P63" s="6">
        <v>18.59</v>
      </c>
      <c r="Q63" s="2"/>
      <c r="R63" s="7">
        <f t="shared" si="52"/>
        <v>0</v>
      </c>
      <c r="S63" s="2"/>
      <c r="T63" s="6"/>
      <c r="U63" s="2"/>
      <c r="V63" s="7">
        <f t="shared" si="53"/>
        <v>0</v>
      </c>
      <c r="W63" s="2"/>
      <c r="X63" s="6">
        <f t="shared" si="54"/>
        <v>18.59</v>
      </c>
      <c r="Y63" s="2"/>
      <c r="Z63" s="7">
        <f t="shared" si="55"/>
        <v>0</v>
      </c>
    </row>
    <row r="64" spans="1:26" s="24" customFormat="1" hidden="1" outlineLevel="2" x14ac:dyDescent="0.3">
      <c r="A64" s="27"/>
      <c r="B64" s="11" t="str">
        <f>CONCATENATE("          ", "6298", " - ", "VEHICLE MILEAGE")</f>
        <v xml:space="preserve">          6298 - VEHICLE MILEAGE</v>
      </c>
      <c r="C64" s="11"/>
      <c r="D64" s="6"/>
      <c r="E64" s="2"/>
      <c r="F64" s="7">
        <f t="shared" si="48"/>
        <v>0</v>
      </c>
      <c r="G64" s="2"/>
      <c r="H64" s="6"/>
      <c r="I64" s="2"/>
      <c r="J64" s="7">
        <f t="shared" si="49"/>
        <v>0</v>
      </c>
      <c r="K64" s="2"/>
      <c r="L64" s="6">
        <f t="shared" si="50"/>
        <v>0</v>
      </c>
      <c r="M64" s="2"/>
      <c r="N64" s="7">
        <f t="shared" si="51"/>
        <v>0</v>
      </c>
      <c r="O64" s="11"/>
      <c r="P64" s="6"/>
      <c r="Q64" s="2"/>
      <c r="R64" s="7">
        <f t="shared" si="52"/>
        <v>0</v>
      </c>
      <c r="S64" s="2"/>
      <c r="T64" s="6">
        <v>332.21</v>
      </c>
      <c r="U64" s="2"/>
      <c r="V64" s="7">
        <f t="shared" si="53"/>
        <v>0</v>
      </c>
      <c r="W64" s="2"/>
      <c r="X64" s="6">
        <f t="shared" si="54"/>
        <v>-332.21</v>
      </c>
      <c r="Y64" s="2"/>
      <c r="Z64" s="7">
        <f t="shared" si="55"/>
        <v>-1</v>
      </c>
    </row>
    <row r="65" spans="1:26" s="29" customFormat="1" outlineLevel="1" collapsed="1" x14ac:dyDescent="0.3">
      <c r="A65" s="28"/>
      <c r="B65" s="14" t="str">
        <f>CONCATENATE("     ","Utilities                                         ")</f>
        <v xml:space="preserve">     Utilities                                         </v>
      </c>
      <c r="C65" s="14"/>
      <c r="D65" s="1">
        <f>SUM(OSRRefD22_14x_0)</f>
        <v>5550</v>
      </c>
      <c r="E65" s="1"/>
      <c r="F65" s="5">
        <f t="shared" ref="F65:F66" si="56">IF(D$12=0,0,D65/D$12)</f>
        <v>0</v>
      </c>
      <c r="G65" s="1"/>
      <c r="H65" s="1">
        <f>SUM(OSRRefH22_14x_0)</f>
        <v>1000</v>
      </c>
      <c r="I65" s="1"/>
      <c r="J65" s="5">
        <f t="shared" ref="J65:J66" si="57">IF(H$12=0,0,H65/H$12)</f>
        <v>0</v>
      </c>
      <c r="K65" s="1"/>
      <c r="L65" s="1">
        <f t="shared" ref="L65:L66" si="58">+D65-H65</f>
        <v>4550</v>
      </c>
      <c r="M65" s="1"/>
      <c r="N65" s="5">
        <f t="shared" ref="N65:N66" si="59">IF(H65=0,0,L65/H65)</f>
        <v>4.55</v>
      </c>
      <c r="O65" s="14"/>
      <c r="P65" s="1">
        <f>SUM(OSRRefP22_14x_0)</f>
        <v>27750</v>
      </c>
      <c r="Q65" s="1"/>
      <c r="R65" s="5">
        <f t="shared" ref="R65:R66" si="60">IF(P$12=0,0,P65/P$12)</f>
        <v>0</v>
      </c>
      <c r="S65" s="1"/>
      <c r="T65" s="1">
        <f>SUM(OSRRefT22_14x_0)</f>
        <v>-14876</v>
      </c>
      <c r="U65" s="1"/>
      <c r="V65" s="5">
        <f t="shared" ref="V65:V66" si="61">IF(T$12=0,0,T65/T$12)</f>
        <v>0</v>
      </c>
      <c r="W65" s="1"/>
      <c r="X65" s="1">
        <f t="shared" ref="X65:X66" si="62">+P65-T65</f>
        <v>42626</v>
      </c>
      <c r="Y65" s="1"/>
      <c r="Z65" s="5">
        <f t="shared" ref="Z65:Z66" si="63">IF(T65=0,0,X65/T65)</f>
        <v>-2.8654208120462492</v>
      </c>
    </row>
    <row r="66" spans="1:26" s="24" customFormat="1" hidden="1" outlineLevel="2" x14ac:dyDescent="0.3">
      <c r="A66" s="27"/>
      <c r="B66" s="11" t="str">
        <f>CONCATENATE("          ", "6274", " - ", "UTILITIES")</f>
        <v xml:space="preserve">          6274 - UTILITIES</v>
      </c>
      <c r="C66" s="11"/>
      <c r="D66" s="6">
        <v>5550</v>
      </c>
      <c r="E66" s="2"/>
      <c r="F66" s="7">
        <f t="shared" si="56"/>
        <v>0</v>
      </c>
      <c r="G66" s="2"/>
      <c r="H66" s="6">
        <v>1000</v>
      </c>
      <c r="I66" s="2"/>
      <c r="J66" s="7">
        <f t="shared" si="57"/>
        <v>0</v>
      </c>
      <c r="K66" s="2"/>
      <c r="L66" s="6">
        <f t="shared" si="58"/>
        <v>4550</v>
      </c>
      <c r="M66" s="2"/>
      <c r="N66" s="7">
        <f t="shared" si="59"/>
        <v>4.55</v>
      </c>
      <c r="O66" s="11"/>
      <c r="P66" s="6">
        <v>27750</v>
      </c>
      <c r="Q66" s="2"/>
      <c r="R66" s="7">
        <f t="shared" si="60"/>
        <v>0</v>
      </c>
      <c r="S66" s="2"/>
      <c r="T66" s="6">
        <v>-14876</v>
      </c>
      <c r="U66" s="2"/>
      <c r="V66" s="7">
        <f t="shared" si="61"/>
        <v>0</v>
      </c>
      <c r="W66" s="2"/>
      <c r="X66" s="6">
        <f t="shared" si="62"/>
        <v>42626</v>
      </c>
      <c r="Y66" s="2"/>
      <c r="Z66" s="7">
        <f t="shared" si="63"/>
        <v>-2.8654208120462492</v>
      </c>
    </row>
    <row r="67" spans="1:26" s="62" customFormat="1" x14ac:dyDescent="0.3">
      <c r="A67" s="37"/>
      <c r="B67" s="37"/>
      <c r="C67" s="37"/>
      <c r="D67" s="1"/>
      <c r="E67" s="1"/>
      <c r="F67" s="5"/>
      <c r="G67" s="1"/>
      <c r="H67" s="1"/>
      <c r="I67" s="1"/>
      <c r="J67" s="5"/>
      <c r="K67" s="1"/>
      <c r="L67" s="1"/>
      <c r="M67" s="1"/>
      <c r="N67" s="5"/>
      <c r="O67" s="37"/>
      <c r="P67" s="1"/>
      <c r="Q67" s="1"/>
      <c r="R67" s="5"/>
      <c r="S67" s="1"/>
      <c r="T67" s="1"/>
      <c r="U67" s="1"/>
      <c r="V67" s="5"/>
      <c r="W67" s="1"/>
      <c r="X67" s="1"/>
      <c r="Y67" s="1"/>
      <c r="Z67" s="5"/>
    </row>
    <row r="68" spans="1:26" s="23" customFormat="1" collapsed="1" x14ac:dyDescent="0.3">
      <c r="A68" s="10"/>
      <c r="B68" s="26" t="s">
        <v>292</v>
      </c>
      <c r="C68" s="10"/>
      <c r="D68" s="4">
        <f>SUM(OSRRefD25x_0)</f>
        <v>0</v>
      </c>
      <c r="E68" s="4"/>
      <c r="F68" s="12">
        <f t="shared" ref="F68:F70" si="64">IF(D$12=0,0,D68/D$12)</f>
        <v>0</v>
      </c>
      <c r="G68" s="4"/>
      <c r="H68" s="4">
        <f>SUM(OSRRefH25x_0)</f>
        <v>0</v>
      </c>
      <c r="I68" s="4"/>
      <c r="J68" s="12">
        <f t="shared" ref="J68:J70" si="65">IF(H$12=0,0,H68/H$12)</f>
        <v>0</v>
      </c>
      <c r="K68" s="4"/>
      <c r="L68" s="4">
        <f t="shared" ref="L68:L70" si="66">+D68-H68</f>
        <v>0</v>
      </c>
      <c r="M68" s="4"/>
      <c r="N68" s="12">
        <f t="shared" ref="N68:N70" si="67">IF(H68=0,0,L68/H68)</f>
        <v>0</v>
      </c>
      <c r="O68" s="10"/>
      <c r="P68" s="4">
        <f>SUM(OSRRefP25x_0)</f>
        <v>3545.95</v>
      </c>
      <c r="Q68" s="4"/>
      <c r="R68" s="12">
        <f t="shared" ref="R68:R70" si="68">IF(P$12=0,0,P68/P$12)</f>
        <v>0</v>
      </c>
      <c r="S68" s="4"/>
      <c r="T68" s="4">
        <f>SUM(OSRRefT25x_0)</f>
        <v>1438.78</v>
      </c>
      <c r="U68" s="4"/>
      <c r="V68" s="12">
        <f t="shared" ref="V68:V70" si="69">IF(T$12=0,0,T68/T$12)</f>
        <v>0</v>
      </c>
      <c r="W68" s="4"/>
      <c r="X68" s="4">
        <f t="shared" ref="X68:X70" si="70">+P68-T68</f>
        <v>2107.17</v>
      </c>
      <c r="Y68" s="4"/>
      <c r="Z68" s="12">
        <f t="shared" ref="Z68:Z70" si="71">IF(T68=0,0,X68/T68)</f>
        <v>1.4645533021031709</v>
      </c>
    </row>
    <row r="69" spans="1:26" s="24" customFormat="1" hidden="1" outlineLevel="1" x14ac:dyDescent="0.3">
      <c r="A69" s="44"/>
      <c r="B69" s="11" t="str">
        <f>CONCATENATE("          ", "9150", " - ", "MISC. INCOME")</f>
        <v xml:space="preserve">          9150 - MISC. INCOME</v>
      </c>
      <c r="C69" s="11"/>
      <c r="D69" s="2">
        <f t="shared" ref="D69:D70" si="72">0</f>
        <v>0</v>
      </c>
      <c r="E69" s="2"/>
      <c r="F69" s="19">
        <f t="shared" si="64"/>
        <v>0</v>
      </c>
      <c r="G69" s="2"/>
      <c r="H69" s="2">
        <f t="shared" ref="H69:H70" si="73">0</f>
        <v>0</v>
      </c>
      <c r="I69" s="2"/>
      <c r="J69" s="19">
        <f t="shared" si="65"/>
        <v>0</v>
      </c>
      <c r="K69" s="2"/>
      <c r="L69" s="2">
        <f t="shared" si="66"/>
        <v>0</v>
      </c>
      <c r="M69" s="2"/>
      <c r="N69" s="19">
        <f t="shared" si="67"/>
        <v>0</v>
      </c>
      <c r="O69" s="11"/>
      <c r="P69" s="2">
        <f>--3545.95</f>
        <v>3545.95</v>
      </c>
      <c r="Q69" s="2"/>
      <c r="R69" s="19">
        <f t="shared" si="68"/>
        <v>0</v>
      </c>
      <c r="S69" s="2"/>
      <c r="T69" s="2">
        <f>--812.35</f>
        <v>812.35</v>
      </c>
      <c r="U69" s="2"/>
      <c r="V69" s="19">
        <f t="shared" si="69"/>
        <v>0</v>
      </c>
      <c r="W69" s="2"/>
      <c r="X69" s="2">
        <f t="shared" si="70"/>
        <v>2733.6</v>
      </c>
      <c r="Y69" s="2"/>
      <c r="Z69" s="19">
        <f t="shared" si="71"/>
        <v>3.3650520096017726</v>
      </c>
    </row>
    <row r="70" spans="1:26" s="24" customFormat="1" hidden="1" outlineLevel="1" x14ac:dyDescent="0.3">
      <c r="A70" s="44"/>
      <c r="B70" s="11" t="str">
        <f>CONCATENATE("          ", "9160", " - ", "MISC. INCOME")</f>
        <v xml:space="preserve">          9160 - MISC. INCOME</v>
      </c>
      <c r="C70" s="11"/>
      <c r="D70" s="2">
        <f t="shared" si="72"/>
        <v>0</v>
      </c>
      <c r="E70" s="2"/>
      <c r="F70" s="19">
        <f t="shared" si="64"/>
        <v>0</v>
      </c>
      <c r="G70" s="2"/>
      <c r="H70" s="2">
        <f t="shared" si="73"/>
        <v>0</v>
      </c>
      <c r="I70" s="2"/>
      <c r="J70" s="19">
        <f t="shared" si="65"/>
        <v>0</v>
      </c>
      <c r="K70" s="2"/>
      <c r="L70" s="2">
        <f t="shared" si="66"/>
        <v>0</v>
      </c>
      <c r="M70" s="2"/>
      <c r="N70" s="19">
        <f t="shared" si="67"/>
        <v>0</v>
      </c>
      <c r="O70" s="11"/>
      <c r="P70" s="2">
        <f>0</f>
        <v>0</v>
      </c>
      <c r="Q70" s="2"/>
      <c r="R70" s="19">
        <f t="shared" si="68"/>
        <v>0</v>
      </c>
      <c r="S70" s="2"/>
      <c r="T70" s="2">
        <f>--626.43</f>
        <v>626.42999999999995</v>
      </c>
      <c r="U70" s="2"/>
      <c r="V70" s="19">
        <f t="shared" si="69"/>
        <v>0</v>
      </c>
      <c r="W70" s="2"/>
      <c r="X70" s="2">
        <f t="shared" si="70"/>
        <v>-626.42999999999995</v>
      </c>
      <c r="Y70" s="2"/>
      <c r="Z70" s="19">
        <f t="shared" si="71"/>
        <v>-1</v>
      </c>
    </row>
    <row r="71" spans="1:26" x14ac:dyDescent="0.3">
      <c r="A71" s="9"/>
      <c r="B71" s="10"/>
      <c r="C71" s="10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O71" s="10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s="23" customFormat="1" x14ac:dyDescent="0.3">
      <c r="A72" s="10"/>
      <c r="B72" s="25" t="s">
        <v>276</v>
      </c>
      <c r="C72" s="25"/>
      <c r="D72" s="21">
        <f>+D16-D18+D68</f>
        <v>-43690.45</v>
      </c>
      <c r="E72" s="13"/>
      <c r="F72" s="22">
        <f>IF(D$12=0,0,D72/D$12)</f>
        <v>0</v>
      </c>
      <c r="G72" s="13"/>
      <c r="H72" s="21">
        <f>+H16-H18+H68</f>
        <v>-35067.669999999991</v>
      </c>
      <c r="I72" s="13"/>
      <c r="J72" s="22">
        <f>IF(H$12=0,0,H72/H$12)</f>
        <v>0</v>
      </c>
      <c r="K72" s="16"/>
      <c r="L72" s="21">
        <f>+D72-H72</f>
        <v>-8622.7800000000061</v>
      </c>
      <c r="M72" s="16"/>
      <c r="N72" s="22">
        <f>IF(H72=0,0,L72/H72)</f>
        <v>0.2458897326226695</v>
      </c>
      <c r="O72" s="26"/>
      <c r="P72" s="21">
        <f>+P16-P18+P68</f>
        <v>-246338.61000000002</v>
      </c>
      <c r="Q72" s="13"/>
      <c r="R72" s="22">
        <f>IF(P$12=0,0,P72/P$12)</f>
        <v>0</v>
      </c>
      <c r="S72" s="13"/>
      <c r="T72" s="21">
        <f>+T16-T18+T68</f>
        <v>-117760.61000000002</v>
      </c>
      <c r="U72" s="13"/>
      <c r="V72" s="22">
        <f>IF(T$12=0,0,T72/T$12)</f>
        <v>0</v>
      </c>
      <c r="W72" s="16"/>
      <c r="X72" s="21">
        <f>+P72-T72</f>
        <v>-128578</v>
      </c>
      <c r="Y72" s="16"/>
      <c r="Z72" s="22">
        <f>IF(T72=0,0,X72/T72)</f>
        <v>1.0918591539225211</v>
      </c>
    </row>
    <row r="73" spans="1:26" x14ac:dyDescent="0.3">
      <c r="A73" s="9"/>
      <c r="B73" s="10"/>
      <c r="C73" s="9"/>
      <c r="D73" s="3"/>
      <c r="E73" s="3"/>
      <c r="F73" s="8"/>
      <c r="G73" s="3"/>
      <c r="H73" s="3"/>
      <c r="I73" s="3"/>
      <c r="J73" s="8"/>
      <c r="K73" s="3"/>
      <c r="L73" s="3"/>
      <c r="M73" s="3"/>
      <c r="N73" s="8"/>
      <c r="P73" s="3"/>
      <c r="Q73" s="3"/>
      <c r="R73" s="8"/>
      <c r="S73" s="3"/>
      <c r="T73" s="3"/>
      <c r="U73" s="3"/>
      <c r="V73" s="8"/>
      <c r="W73" s="3"/>
      <c r="X73" s="3"/>
      <c r="Y73" s="3"/>
      <c r="Z73" s="8"/>
    </row>
    <row r="74" spans="1:26" s="23" customFormat="1" x14ac:dyDescent="0.3">
      <c r="A74" s="51"/>
      <c r="B74" s="10" t="s">
        <v>127</v>
      </c>
      <c r="C74" s="10"/>
      <c r="D74" s="4"/>
      <c r="E74" s="4"/>
      <c r="F74" s="12">
        <f>IF(D$12=0,0,D74/D$12)</f>
        <v>0</v>
      </c>
      <c r="G74" s="4"/>
      <c r="H74" s="4"/>
      <c r="I74" s="4"/>
      <c r="J74" s="12">
        <f>IF(H$12=0,0,H74/H$12)</f>
        <v>0</v>
      </c>
      <c r="K74" s="4"/>
      <c r="L74" s="4">
        <f>+D74-H74</f>
        <v>0</v>
      </c>
      <c r="M74" s="4"/>
      <c r="N74" s="12">
        <f>IF(H74=0,0,L74/H74)</f>
        <v>0</v>
      </c>
      <c r="O74" s="10"/>
      <c r="P74" s="4"/>
      <c r="Q74" s="4"/>
      <c r="R74" s="12">
        <f>IF(P$12=0,0,P74/P$12)</f>
        <v>0</v>
      </c>
      <c r="S74" s="4"/>
      <c r="T74" s="4"/>
      <c r="U74" s="4"/>
      <c r="V74" s="12">
        <f>IF(T$12=0,0,T74/T$12)</f>
        <v>0</v>
      </c>
      <c r="W74" s="4"/>
      <c r="X74" s="4">
        <f>+P74-T74</f>
        <v>0</v>
      </c>
      <c r="Y74" s="4"/>
      <c r="Z74" s="12">
        <f>IF(T74=0,0,X74/T74)</f>
        <v>0</v>
      </c>
    </row>
    <row r="75" spans="1:26" x14ac:dyDescent="0.3">
      <c r="A75" s="9"/>
      <c r="B75" s="10"/>
      <c r="C75" s="10"/>
      <c r="D75" s="3"/>
      <c r="E75" s="3"/>
      <c r="F75" s="8"/>
      <c r="G75" s="3"/>
      <c r="H75" s="3"/>
      <c r="I75" s="3"/>
      <c r="J75" s="8"/>
      <c r="K75" s="3"/>
      <c r="L75" s="3"/>
      <c r="M75" s="3"/>
      <c r="N75" s="8"/>
      <c r="O75" s="10"/>
      <c r="P75" s="3"/>
      <c r="Q75" s="3"/>
      <c r="R75" s="8"/>
      <c r="S75" s="3"/>
      <c r="T75" s="3"/>
      <c r="U75" s="3"/>
      <c r="V75" s="8"/>
      <c r="W75" s="3"/>
      <c r="X75" s="3"/>
      <c r="Y75" s="3"/>
      <c r="Z75" s="8"/>
    </row>
    <row r="76" spans="1:26" s="23" customFormat="1" ht="15" thickBot="1" x14ac:dyDescent="0.35">
      <c r="A76" s="10"/>
      <c r="B76" s="25" t="s">
        <v>125</v>
      </c>
      <c r="C76" s="25"/>
      <c r="D76" s="35">
        <f>+D72-D74</f>
        <v>-43690.45</v>
      </c>
      <c r="E76" s="13"/>
      <c r="F76" s="31">
        <f>IF(D$12=0,0,D76/D$12)</f>
        <v>0</v>
      </c>
      <c r="G76" s="13"/>
      <c r="H76" s="35">
        <f>+H72-H74</f>
        <v>-35067.669999999991</v>
      </c>
      <c r="I76" s="13"/>
      <c r="J76" s="31">
        <f>IF(H$12=0,0,H76/H$12)</f>
        <v>0</v>
      </c>
      <c r="K76" s="16"/>
      <c r="L76" s="35">
        <f>D76-H76</f>
        <v>-8622.7800000000061</v>
      </c>
      <c r="M76" s="16"/>
      <c r="N76" s="31">
        <f>IF(H76=0,0,L76/H76)</f>
        <v>0.2458897326226695</v>
      </c>
      <c r="O76" s="26"/>
      <c r="P76" s="35">
        <f>+P72-P74</f>
        <v>-246338.61000000002</v>
      </c>
      <c r="Q76" s="13"/>
      <c r="R76" s="31">
        <f>IF(P$12=0,0,P76/P$12)</f>
        <v>0</v>
      </c>
      <c r="S76" s="13"/>
      <c r="T76" s="35">
        <f>+T72-T74</f>
        <v>-117760.61000000002</v>
      </c>
      <c r="U76" s="13"/>
      <c r="V76" s="31">
        <f>IF(T$12=0,0,T76/T$12)</f>
        <v>0</v>
      </c>
      <c r="W76" s="16"/>
      <c r="X76" s="35">
        <f>P76-T76</f>
        <v>-128578</v>
      </c>
      <c r="Y76" s="16"/>
      <c r="Z76" s="31">
        <f>IF(T76=0,0,X76/T76)</f>
        <v>1.0918591539225211</v>
      </c>
    </row>
    <row r="77" spans="1:26" ht="15" thickTop="1" x14ac:dyDescent="0.3">
      <c r="A77" s="9"/>
      <c r="B77" s="9"/>
      <c r="C77" s="9"/>
      <c r="D77" s="3"/>
      <c r="E77" s="3"/>
      <c r="F77" s="8"/>
      <c r="G77" s="3"/>
      <c r="H77" s="3"/>
      <c r="I77" s="3"/>
      <c r="J77" s="8"/>
      <c r="K77" s="3"/>
      <c r="L77" s="3"/>
      <c r="M77" s="3"/>
      <c r="N77" s="8"/>
      <c r="P77" s="3"/>
      <c r="Q77" s="3"/>
      <c r="R77" s="8"/>
      <c r="S77" s="3"/>
      <c r="T77" s="3"/>
      <c r="U77" s="3"/>
      <c r="V77" s="8"/>
      <c r="W77" s="3"/>
      <c r="X77" s="3"/>
      <c r="Y77" s="3"/>
      <c r="Z77" s="8"/>
    </row>
    <row r="78" spans="1:26" x14ac:dyDescent="0.3">
      <c r="A78" s="9"/>
      <c r="B78" s="9"/>
      <c r="C78" s="9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ht="15" thickBot="1" x14ac:dyDescent="0.35">
      <c r="A79" s="10"/>
      <c r="B79" s="25" t="s">
        <v>293</v>
      </c>
      <c r="C79" s="25"/>
      <c r="D79" s="36">
        <f>SUM(D76:D78)</f>
        <v>-43690.45</v>
      </c>
      <c r="E79" s="13"/>
      <c r="F79" s="33">
        <f>IF(D$12=0,0,D79/D$12)</f>
        <v>0</v>
      </c>
      <c r="G79" s="13"/>
      <c r="H79" s="36">
        <f>SUM(H76:H78)</f>
        <v>-35067.669999999991</v>
      </c>
      <c r="I79" s="13"/>
      <c r="J79" s="33">
        <f>IF(H$12=0,0,H79/H$12)</f>
        <v>0</v>
      </c>
      <c r="K79" s="16"/>
      <c r="L79" s="36">
        <f>+D79-H79</f>
        <v>-8622.7800000000061</v>
      </c>
      <c r="M79" s="16"/>
      <c r="N79" s="33">
        <f>IF(H79=0,0,L79/H79)</f>
        <v>0.2458897326226695</v>
      </c>
      <c r="O79" s="26"/>
      <c r="P79" s="36">
        <f>SUM(P76:P78)</f>
        <v>-246338.61000000002</v>
      </c>
      <c r="Q79" s="13"/>
      <c r="R79" s="33">
        <f>IF(P$12=0,0,P79/P$12)</f>
        <v>0</v>
      </c>
      <c r="S79" s="13"/>
      <c r="T79" s="36">
        <f>SUM(T76:T78)</f>
        <v>-117760.61000000002</v>
      </c>
      <c r="U79" s="13"/>
      <c r="V79" s="33">
        <f>IF(T$12=0,0,T79/T$12)</f>
        <v>0</v>
      </c>
      <c r="W79" s="16"/>
      <c r="X79" s="36">
        <f>+P79-T79</f>
        <v>-128578</v>
      </c>
      <c r="Y79" s="16"/>
      <c r="Z79" s="33">
        <f>IF(T79=0,0,X79/T79)</f>
        <v>1.0918591539225211</v>
      </c>
    </row>
    <row r="80" spans="1:26" ht="15" thickTop="1" x14ac:dyDescent="0.3">
      <c r="A80" s="9"/>
      <c r="C80" s="9"/>
      <c r="D80" s="17"/>
      <c r="E80" s="17"/>
      <c r="G80" s="17"/>
      <c r="H80" s="17"/>
      <c r="I80" s="17"/>
      <c r="J80" s="42"/>
      <c r="K80" s="17"/>
      <c r="L80" s="17"/>
      <c r="M80" s="17"/>
      <c r="P80" s="17"/>
      <c r="Q80" s="17"/>
      <c r="R80" s="42"/>
      <c r="S80" s="17"/>
      <c r="T80" s="17"/>
      <c r="U80" s="17"/>
      <c r="V80" s="42"/>
      <c r="W80" s="17"/>
      <c r="X80" s="17"/>
    </row>
    <row r="81" spans="1:24" x14ac:dyDescent="0.3">
      <c r="A81" s="9"/>
      <c r="B81" s="52">
        <v>44543.765594675926</v>
      </c>
      <c r="D81" s="17"/>
      <c r="E81" s="17"/>
      <c r="G81" s="17"/>
      <c r="H81" s="17"/>
      <c r="I81" s="17"/>
      <c r="J81" s="42"/>
      <c r="K81" s="17"/>
      <c r="L81" s="17"/>
      <c r="M81" s="17"/>
      <c r="P81" s="17"/>
      <c r="Q81" s="17"/>
      <c r="R81" s="42"/>
      <c r="S81" s="17"/>
      <c r="T81" s="17"/>
      <c r="U81" s="17"/>
      <c r="V81" s="42"/>
      <c r="W81" s="17"/>
      <c r="X81" s="17"/>
    </row>
    <row r="82" spans="1:24" x14ac:dyDescent="0.3">
      <c r="A82" s="9"/>
      <c r="B82" s="59" t="s">
        <v>56</v>
      </c>
      <c r="D82" s="17"/>
      <c r="E82" s="17"/>
      <c r="G82" s="17"/>
      <c r="H82" s="17"/>
      <c r="I82" s="17"/>
      <c r="J82" s="42"/>
      <c r="K82" s="17"/>
      <c r="L82" s="17"/>
      <c r="M82" s="17"/>
      <c r="P82" s="17"/>
      <c r="Q82" s="17"/>
      <c r="R82" s="42"/>
      <c r="S82" s="17"/>
      <c r="T82" s="17"/>
      <c r="U82" s="17"/>
      <c r="V82" s="42"/>
      <c r="W82" s="17"/>
      <c r="X82" s="17"/>
    </row>
    <row r="83" spans="1:24" x14ac:dyDescent="0.3">
      <c r="A83" s="9"/>
      <c r="B83" s="61"/>
      <c r="D83" s="17"/>
      <c r="E83" s="17"/>
      <c r="G83" s="17"/>
      <c r="H83" s="17"/>
      <c r="I83" s="17"/>
      <c r="J83" s="42"/>
      <c r="K83" s="17"/>
      <c r="L83" s="17"/>
      <c r="M83" s="17"/>
      <c r="P83" s="17"/>
      <c r="Q83" s="17"/>
      <c r="R83" s="42"/>
      <c r="S83" s="17"/>
      <c r="T83" s="17"/>
      <c r="U83" s="17"/>
      <c r="V83" s="42"/>
      <c r="W83" s="17"/>
      <c r="X83" s="17"/>
    </row>
    <row r="84" spans="1:24" x14ac:dyDescent="0.3">
      <c r="D84" s="17"/>
      <c r="E84" s="17"/>
      <c r="G84" s="17"/>
      <c r="H84" s="17"/>
      <c r="I84" s="17"/>
      <c r="J84" s="42"/>
      <c r="K84" s="17"/>
      <c r="L84" s="17"/>
      <c r="M84" s="17"/>
      <c r="P84" s="17"/>
      <c r="Q84" s="17"/>
      <c r="R84" s="42"/>
      <c r="S84" s="17"/>
      <c r="T84" s="17"/>
      <c r="U84" s="17"/>
      <c r="V84" s="42"/>
      <c r="W84" s="17"/>
      <c r="X84" s="17"/>
    </row>
  </sheetData>
  <pageMargins left="0.25" right="0.25" top="0.75" bottom="0.75" header="0.3" footer="0.3"/>
  <pageSetup scale="55" fitToWidth="2" orientation="landscape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92D050"/>
    <outlinePr summaryBelow="0" summaryRight="0"/>
  </sheetPr>
  <dimension ref="A2:Z45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","412", " - ", "Chartroom")</f>
        <v>Department 412 - Chartroom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577.36</v>
      </c>
      <c r="E18" s="20"/>
      <c r="F18" s="32">
        <f t="shared" ref="F18:F25" si="0">IF(D$12=0,0,D18/D$12)</f>
        <v>0</v>
      </c>
      <c r="G18" s="20"/>
      <c r="H18" s="20">
        <f>SUM(OSRRefH22x_0)</f>
        <v>1951.4900000000002</v>
      </c>
      <c r="I18" s="20"/>
      <c r="J18" s="32">
        <f t="shared" ref="J18:J25" si="1">IF(H$12=0,0,H18/H$12)</f>
        <v>0</v>
      </c>
      <c r="K18" s="4"/>
      <c r="L18" s="20">
        <f t="shared" ref="L18:L25" si="2">+D18-H18</f>
        <v>-1374.13</v>
      </c>
      <c r="M18" s="4"/>
      <c r="N18" s="32">
        <f t="shared" ref="N18:N25" si="3">IF(H18=0,0,L18/H18)</f>
        <v>-0.70414401303619278</v>
      </c>
      <c r="O18" s="10"/>
      <c r="P18" s="20">
        <f>SUM(OSRRefP22x_0)</f>
        <v>3082.83</v>
      </c>
      <c r="Q18" s="20"/>
      <c r="R18" s="32">
        <f t="shared" ref="R18:R25" si="4">IF(P$12=0,0,P18/P$12)</f>
        <v>0</v>
      </c>
      <c r="S18" s="20"/>
      <c r="T18" s="20">
        <f>SUM(OSRRefT22x_0)</f>
        <v>5375.57</v>
      </c>
      <c r="U18" s="20"/>
      <c r="V18" s="32">
        <f t="shared" ref="V18:V25" si="5">IF(T$12=0,0,T18/T$12)</f>
        <v>0</v>
      </c>
      <c r="W18" s="4"/>
      <c r="X18" s="20">
        <f t="shared" ref="X18:X25" si="6">+P18-T18</f>
        <v>-2292.7399999999998</v>
      </c>
      <c r="Y18" s="4"/>
      <c r="Z18" s="32">
        <f t="shared" ref="Z18:Z25" si="7">IF(T18=0,0,X18/T18)</f>
        <v>-0.42651104906084375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577.36</v>
      </c>
      <c r="E19" s="1"/>
      <c r="F19" s="5">
        <f t="shared" si="0"/>
        <v>0</v>
      </c>
      <c r="G19" s="1"/>
      <c r="H19" s="1">
        <f>SUM(OSRRefH22_0x_0)</f>
        <v>577.36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2886.8</v>
      </c>
      <c r="Q19" s="1"/>
      <c r="R19" s="5">
        <f t="shared" si="4"/>
        <v>0</v>
      </c>
      <c r="S19" s="1"/>
      <c r="T19" s="1">
        <f>SUM(OSRRefT22_0x_0)</f>
        <v>3225.79</v>
      </c>
      <c r="U19" s="1"/>
      <c r="V19" s="5">
        <f t="shared" si="5"/>
        <v>0</v>
      </c>
      <c r="W19" s="1"/>
      <c r="X19" s="1">
        <f t="shared" si="6"/>
        <v>-338.98999999999978</v>
      </c>
      <c r="Y19" s="1"/>
      <c r="Z19" s="5">
        <f t="shared" si="7"/>
        <v>-0.10508743594592326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577.36</v>
      </c>
      <c r="E20" s="2"/>
      <c r="F20" s="7">
        <f t="shared" si="0"/>
        <v>0</v>
      </c>
      <c r="G20" s="2"/>
      <c r="H20" s="6">
        <v>577.36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2886.8</v>
      </c>
      <c r="Q20" s="2"/>
      <c r="R20" s="7">
        <f t="shared" si="4"/>
        <v>0</v>
      </c>
      <c r="S20" s="2"/>
      <c r="T20" s="6">
        <v>3225.79</v>
      </c>
      <c r="U20" s="2"/>
      <c r="V20" s="7">
        <f t="shared" si="5"/>
        <v>0</v>
      </c>
      <c r="W20" s="2"/>
      <c r="X20" s="6">
        <f t="shared" si="6"/>
        <v>-338.98999999999978</v>
      </c>
      <c r="Y20" s="2"/>
      <c r="Z20" s="7">
        <f t="shared" si="7"/>
        <v>-0.10508743594592326</v>
      </c>
    </row>
    <row r="21" spans="1:26" s="29" customFormat="1" outlineLevel="1" collapsed="1" x14ac:dyDescent="0.3">
      <c r="A21" s="28"/>
      <c r="B21" s="14" t="str">
        <f>CONCATENATE("     ","Equipment Rental                                  ")</f>
        <v xml:space="preserve">     Equipment Rental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16.239999999999998</v>
      </c>
      <c r="U21" s="1"/>
      <c r="V21" s="5">
        <f t="shared" si="5"/>
        <v>0</v>
      </c>
      <c r="W21" s="1"/>
      <c r="X21" s="1">
        <f t="shared" si="6"/>
        <v>-16.239999999999998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"6351", " - ", "EQUIPMENT RENTAL")</f>
        <v xml:space="preserve">          6351 - EQUIPMENT RENTAL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16.239999999999998</v>
      </c>
      <c r="U22" s="2"/>
      <c r="V22" s="7">
        <f t="shared" si="5"/>
        <v>0</v>
      </c>
      <c r="W22" s="2"/>
      <c r="X22" s="6">
        <f t="shared" si="6"/>
        <v>-16.239999999999998</v>
      </c>
      <c r="Y22" s="2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1338.13</v>
      </c>
      <c r="I23" s="1"/>
      <c r="J23" s="5">
        <f t="shared" si="1"/>
        <v>0</v>
      </c>
      <c r="K23" s="1"/>
      <c r="L23" s="1">
        <f t="shared" si="2"/>
        <v>-1338.13</v>
      </c>
      <c r="M23" s="1"/>
      <c r="N23" s="5">
        <f t="shared" si="3"/>
        <v>-1</v>
      </c>
      <c r="O23" s="14"/>
      <c r="P23" s="1">
        <f>SUM(OSRRefP22_2x_0)</f>
        <v>60.43</v>
      </c>
      <c r="Q23" s="1"/>
      <c r="R23" s="5">
        <f t="shared" si="4"/>
        <v>0</v>
      </c>
      <c r="S23" s="1"/>
      <c r="T23" s="1">
        <f>SUM(OSRRefT22_2x_0)</f>
        <v>1555.93</v>
      </c>
      <c r="U23" s="1"/>
      <c r="V23" s="5">
        <f t="shared" si="5"/>
        <v>0</v>
      </c>
      <c r="W23" s="1"/>
      <c r="X23" s="1">
        <f t="shared" si="6"/>
        <v>-1495.5</v>
      </c>
      <c r="Y23" s="1"/>
      <c r="Z23" s="5">
        <f t="shared" si="7"/>
        <v>-0.9611614918408925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>
        <v>60.43</v>
      </c>
      <c r="Q24" s="2"/>
      <c r="R24" s="7">
        <f t="shared" si="4"/>
        <v>0</v>
      </c>
      <c r="S24" s="2"/>
      <c r="T24" s="6">
        <v>217.8</v>
      </c>
      <c r="U24" s="2"/>
      <c r="V24" s="7">
        <f t="shared" si="5"/>
        <v>0</v>
      </c>
      <c r="W24" s="2"/>
      <c r="X24" s="6">
        <f t="shared" si="6"/>
        <v>-157.37</v>
      </c>
      <c r="Y24" s="2"/>
      <c r="Z24" s="7">
        <f t="shared" si="7"/>
        <v>-0.72254361799816347</v>
      </c>
    </row>
    <row r="25" spans="1:26" s="24" customFormat="1" hidden="1" outlineLevel="2" x14ac:dyDescent="0.3">
      <c r="A25" s="27"/>
      <c r="B25" s="11" t="str">
        <f>CONCATENATE("          ", "6375", " - ", "OUTSIDE REPAIRS &amp; MAINTENANCE")</f>
        <v xml:space="preserve">          6375 - OUTSIDE REPAIRS &amp; MAINTENANCE</v>
      </c>
      <c r="C25" s="11"/>
      <c r="D25" s="6"/>
      <c r="E25" s="2"/>
      <c r="F25" s="7">
        <f t="shared" si="0"/>
        <v>0</v>
      </c>
      <c r="G25" s="2"/>
      <c r="H25" s="6">
        <v>1338.13</v>
      </c>
      <c r="I25" s="2"/>
      <c r="J25" s="7">
        <f t="shared" si="1"/>
        <v>0</v>
      </c>
      <c r="K25" s="2"/>
      <c r="L25" s="6">
        <f t="shared" si="2"/>
        <v>-1338.13</v>
      </c>
      <c r="M25" s="2"/>
      <c r="N25" s="7">
        <f t="shared" si="3"/>
        <v>-1</v>
      </c>
      <c r="O25" s="11"/>
      <c r="P25" s="6"/>
      <c r="Q25" s="2"/>
      <c r="R25" s="7">
        <f t="shared" si="4"/>
        <v>0</v>
      </c>
      <c r="S25" s="2"/>
      <c r="T25" s="6">
        <v>1338.13</v>
      </c>
      <c r="U25" s="2"/>
      <c r="V25" s="7">
        <f t="shared" si="5"/>
        <v>0</v>
      </c>
      <c r="W25" s="2"/>
      <c r="X25" s="6">
        <f t="shared" si="6"/>
        <v>-1338.13</v>
      </c>
      <c r="Y25" s="2"/>
      <c r="Z25" s="7">
        <f t="shared" si="7"/>
        <v>-1</v>
      </c>
    </row>
    <row r="26" spans="1:26" s="29" customFormat="1" outlineLevel="1" collapsed="1" x14ac:dyDescent="0.3">
      <c r="A26" s="28"/>
      <c r="B26" s="14" t="str">
        <f>CONCATENATE("     ","Services                                          ")</f>
        <v xml:space="preserve">     Services                                          </v>
      </c>
      <c r="C26" s="14"/>
      <c r="D26" s="1">
        <f>SUM(OSRRefD22_3x_0)</f>
        <v>0</v>
      </c>
      <c r="E26" s="1"/>
      <c r="F26" s="5">
        <f t="shared" ref="F26:F29" si="8">IF(D$12=0,0,D26/D$12)</f>
        <v>0</v>
      </c>
      <c r="G26" s="1"/>
      <c r="H26" s="1">
        <f>SUM(OSRRefH22_3x_0)</f>
        <v>0</v>
      </c>
      <c r="I26" s="1"/>
      <c r="J26" s="5">
        <f t="shared" ref="J26:J29" si="9">IF(H$12=0,0,H26/H$12)</f>
        <v>0</v>
      </c>
      <c r="K26" s="1"/>
      <c r="L26" s="1">
        <f t="shared" ref="L26:L29" si="10">+D26-H26</f>
        <v>0</v>
      </c>
      <c r="M26" s="1"/>
      <c r="N26" s="5">
        <f t="shared" ref="N26:N29" si="11">IF(H26=0,0,L26/H26)</f>
        <v>0</v>
      </c>
      <c r="O26" s="14"/>
      <c r="P26" s="1">
        <f>SUM(OSRRefP22_3x_0)</f>
        <v>0</v>
      </c>
      <c r="Q26" s="1"/>
      <c r="R26" s="5">
        <f t="shared" ref="R26:R29" si="12">IF(P$12=0,0,P26/P$12)</f>
        <v>0</v>
      </c>
      <c r="S26" s="1"/>
      <c r="T26" s="1">
        <f>SUM(OSRRefT22_3x_0)</f>
        <v>320.58</v>
      </c>
      <c r="U26" s="1"/>
      <c r="V26" s="5">
        <f t="shared" ref="V26:V29" si="13">IF(T$12=0,0,T26/T$12)</f>
        <v>0</v>
      </c>
      <c r="W26" s="1"/>
      <c r="X26" s="1">
        <f t="shared" ref="X26:X29" si="14">+P26-T26</f>
        <v>-320.58</v>
      </c>
      <c r="Y26" s="1"/>
      <c r="Z26" s="5">
        <f t="shared" ref="Z26:Z29" si="15">IF(T26=0,0,X26/T26)</f>
        <v>-1</v>
      </c>
    </row>
    <row r="27" spans="1:26" s="24" customFormat="1" hidden="1" outlineLevel="2" x14ac:dyDescent="0.3">
      <c r="A27" s="27"/>
      <c r="B27" s="11" t="str">
        <f>CONCATENATE("          ", "6286", " - ", "LAUNDRY EXPENSE")</f>
        <v xml:space="preserve">          6286 - LAUNDRY EXPENSE</v>
      </c>
      <c r="C27" s="11"/>
      <c r="D27" s="6"/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0</v>
      </c>
      <c r="M27" s="2"/>
      <c r="N27" s="7">
        <f t="shared" si="11"/>
        <v>0</v>
      </c>
      <c r="O27" s="11"/>
      <c r="P27" s="6"/>
      <c r="Q27" s="2"/>
      <c r="R27" s="7">
        <f t="shared" si="12"/>
        <v>0</v>
      </c>
      <c r="S27" s="2"/>
      <c r="T27" s="6">
        <v>320.58</v>
      </c>
      <c r="U27" s="2"/>
      <c r="V27" s="7">
        <f t="shared" si="13"/>
        <v>0</v>
      </c>
      <c r="W27" s="2"/>
      <c r="X27" s="6">
        <f t="shared" si="14"/>
        <v>-320.58</v>
      </c>
      <c r="Y27" s="2"/>
      <c r="Z27" s="7">
        <f t="shared" si="15"/>
        <v>-1</v>
      </c>
    </row>
    <row r="28" spans="1:26" s="29" customFormat="1" outlineLevel="1" collapsed="1" x14ac:dyDescent="0.3">
      <c r="A28" s="28"/>
      <c r="B28" s="14" t="str">
        <f>CONCATENATE("     ","Telephone/Data Lines                              ")</f>
        <v xml:space="preserve">     Telephone/Data Lines                              </v>
      </c>
      <c r="C28" s="14"/>
      <c r="D28" s="1">
        <f>SUM(OSRRefD22_4x_0)</f>
        <v>0</v>
      </c>
      <c r="E28" s="1"/>
      <c r="F28" s="5">
        <f t="shared" si="8"/>
        <v>0</v>
      </c>
      <c r="G28" s="1"/>
      <c r="H28" s="1">
        <f>SUM(OSRRefH22_4x_0)</f>
        <v>36</v>
      </c>
      <c r="I28" s="1"/>
      <c r="J28" s="5">
        <f t="shared" si="9"/>
        <v>0</v>
      </c>
      <c r="K28" s="1"/>
      <c r="L28" s="1">
        <f t="shared" si="10"/>
        <v>-36</v>
      </c>
      <c r="M28" s="1"/>
      <c r="N28" s="5">
        <f t="shared" si="11"/>
        <v>-1</v>
      </c>
      <c r="O28" s="14"/>
      <c r="P28" s="1">
        <f>SUM(OSRRefP22_4x_0)</f>
        <v>135.6</v>
      </c>
      <c r="Q28" s="1"/>
      <c r="R28" s="5">
        <f t="shared" si="12"/>
        <v>0</v>
      </c>
      <c r="S28" s="1"/>
      <c r="T28" s="1">
        <f>SUM(OSRRefT22_4x_0)</f>
        <v>257.02999999999997</v>
      </c>
      <c r="U28" s="1"/>
      <c r="V28" s="5">
        <f t="shared" si="13"/>
        <v>0</v>
      </c>
      <c r="W28" s="1"/>
      <c r="X28" s="1">
        <f t="shared" si="14"/>
        <v>-121.42999999999998</v>
      </c>
      <c r="Y28" s="1"/>
      <c r="Z28" s="5">
        <f t="shared" si="15"/>
        <v>-0.47243512430455586</v>
      </c>
    </row>
    <row r="29" spans="1:26" s="24" customFormat="1" hidden="1" outlineLevel="2" x14ac:dyDescent="0.3">
      <c r="A29" s="27"/>
      <c r="B29" s="11" t="str">
        <f>CONCATENATE("          ", "6309", " - ", "TELEPHONE")</f>
        <v xml:space="preserve">          6309 - TELEPHONE</v>
      </c>
      <c r="C29" s="11"/>
      <c r="D29" s="6"/>
      <c r="E29" s="2"/>
      <c r="F29" s="7">
        <f t="shared" si="8"/>
        <v>0</v>
      </c>
      <c r="G29" s="2"/>
      <c r="H29" s="6">
        <v>36</v>
      </c>
      <c r="I29" s="2"/>
      <c r="J29" s="7">
        <f t="shared" si="9"/>
        <v>0</v>
      </c>
      <c r="K29" s="2"/>
      <c r="L29" s="6">
        <f t="shared" si="10"/>
        <v>-36</v>
      </c>
      <c r="M29" s="2"/>
      <c r="N29" s="7">
        <f t="shared" si="11"/>
        <v>-1</v>
      </c>
      <c r="O29" s="11"/>
      <c r="P29" s="6">
        <v>135.6</v>
      </c>
      <c r="Q29" s="2"/>
      <c r="R29" s="7">
        <f t="shared" si="12"/>
        <v>0</v>
      </c>
      <c r="S29" s="2"/>
      <c r="T29" s="6">
        <v>257.02999999999997</v>
      </c>
      <c r="U29" s="2"/>
      <c r="V29" s="7">
        <f t="shared" si="13"/>
        <v>0</v>
      </c>
      <c r="W29" s="2"/>
      <c r="X29" s="6">
        <f t="shared" si="14"/>
        <v>-121.42999999999998</v>
      </c>
      <c r="Y29" s="2"/>
      <c r="Z29" s="7">
        <f t="shared" si="15"/>
        <v>-0.47243512430455586</v>
      </c>
    </row>
    <row r="30" spans="1:26" s="62" customFormat="1" x14ac:dyDescent="0.3">
      <c r="A30" s="37"/>
      <c r="B30" s="37"/>
      <c r="C30" s="37"/>
      <c r="D30" s="1"/>
      <c r="E30" s="1"/>
      <c r="F30" s="5"/>
      <c r="G30" s="1"/>
      <c r="H30" s="1"/>
      <c r="I30" s="1"/>
      <c r="J30" s="5"/>
      <c r="K30" s="1"/>
      <c r="L30" s="1"/>
      <c r="M30" s="1"/>
      <c r="N30" s="5"/>
      <c r="O30" s="37"/>
      <c r="P30" s="1"/>
      <c r="Q30" s="1"/>
      <c r="R30" s="5"/>
      <c r="S30" s="1"/>
      <c r="T30" s="1"/>
      <c r="U30" s="1"/>
      <c r="V30" s="5"/>
      <c r="W30" s="1"/>
      <c r="X30" s="1"/>
      <c r="Y30" s="1"/>
      <c r="Z30" s="5"/>
    </row>
    <row r="31" spans="1:26" s="23" customFormat="1" x14ac:dyDescent="0.3">
      <c r="A31" s="10"/>
      <c r="B31" s="26" t="s">
        <v>292</v>
      </c>
      <c r="C31" s="10"/>
      <c r="D31" s="4">
        <f>SUM(0)</f>
        <v>0</v>
      </c>
      <c r="E31" s="4"/>
      <c r="F31" s="12">
        <f>IF(D$12=0,0,D31/D$12)</f>
        <v>0</v>
      </c>
      <c r="G31" s="4"/>
      <c r="H31" s="4">
        <f>SUM(0)</f>
        <v>0</v>
      </c>
      <c r="I31" s="4"/>
      <c r="J31" s="12">
        <f>IF(H$12=0,0,H31/H$12)</f>
        <v>0</v>
      </c>
      <c r="K31" s="4"/>
      <c r="L31" s="4">
        <f>+D31-H31</f>
        <v>0</v>
      </c>
      <c r="M31" s="4"/>
      <c r="N31" s="12">
        <f>IF(H31=0,0,L31/H31)</f>
        <v>0</v>
      </c>
      <c r="O31" s="10"/>
      <c r="P31" s="4">
        <f>SUM(0)</f>
        <v>0</v>
      </c>
      <c r="Q31" s="4"/>
      <c r="R31" s="12">
        <f>IF(P$12=0,0,P31/P$12)</f>
        <v>0</v>
      </c>
      <c r="S31" s="4"/>
      <c r="T31" s="4">
        <f>SUM(0)</f>
        <v>0</v>
      </c>
      <c r="U31" s="4"/>
      <c r="V31" s="12">
        <f>IF(T$12=0,0,T31/T$12)</f>
        <v>0</v>
      </c>
      <c r="W31" s="4"/>
      <c r="X31" s="4">
        <f>+P31-T31</f>
        <v>0</v>
      </c>
      <c r="Y31" s="4"/>
      <c r="Z31" s="12">
        <f>IF(T31=0,0,X31/T31)</f>
        <v>0</v>
      </c>
    </row>
    <row r="32" spans="1:26" x14ac:dyDescent="0.3">
      <c r="A32" s="9"/>
      <c r="B32" s="10"/>
      <c r="C32" s="10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O32" s="10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10"/>
      <c r="B33" s="25" t="s">
        <v>276</v>
      </c>
      <c r="C33" s="25"/>
      <c r="D33" s="21">
        <f>+D16-D18+D31</f>
        <v>-577.36</v>
      </c>
      <c r="E33" s="13"/>
      <c r="F33" s="22">
        <f>IF(D$12=0,0,D33/D$12)</f>
        <v>0</v>
      </c>
      <c r="G33" s="13"/>
      <c r="H33" s="21">
        <f>+H16-H18+H31</f>
        <v>-1951.4900000000002</v>
      </c>
      <c r="I33" s="13"/>
      <c r="J33" s="22">
        <f>IF(H$12=0,0,H33/H$12)</f>
        <v>0</v>
      </c>
      <c r="K33" s="16"/>
      <c r="L33" s="21">
        <f>+D33-H33</f>
        <v>1374.13</v>
      </c>
      <c r="M33" s="16"/>
      <c r="N33" s="22">
        <f>IF(H33=0,0,L33/H33)</f>
        <v>-0.70414401303619278</v>
      </c>
      <c r="O33" s="26"/>
      <c r="P33" s="21">
        <f>+P16-P18+P31</f>
        <v>-3082.83</v>
      </c>
      <c r="Q33" s="13"/>
      <c r="R33" s="22">
        <f>IF(P$12=0,0,P33/P$12)</f>
        <v>0</v>
      </c>
      <c r="S33" s="13"/>
      <c r="T33" s="21">
        <f>+T16-T18+T31</f>
        <v>-5375.57</v>
      </c>
      <c r="U33" s="13"/>
      <c r="V33" s="22">
        <f>IF(T$12=0,0,T33/T$12)</f>
        <v>0</v>
      </c>
      <c r="W33" s="16"/>
      <c r="X33" s="21">
        <f>+P33-T33</f>
        <v>2292.7399999999998</v>
      </c>
      <c r="Y33" s="16"/>
      <c r="Z33" s="22">
        <f>IF(T33=0,0,X33/T33)</f>
        <v>-0.42651104906084375</v>
      </c>
    </row>
    <row r="34" spans="1:26" x14ac:dyDescent="0.3">
      <c r="A34" s="9"/>
      <c r="B34" s="10"/>
      <c r="C34" s="9"/>
      <c r="D34" s="3"/>
      <c r="E34" s="3"/>
      <c r="F34" s="8"/>
      <c r="G34" s="3"/>
      <c r="H34" s="3"/>
      <c r="I34" s="3"/>
      <c r="J34" s="8"/>
      <c r="K34" s="3"/>
      <c r="L34" s="3"/>
      <c r="M34" s="3"/>
      <c r="N34" s="8"/>
      <c r="P34" s="3"/>
      <c r="Q34" s="3"/>
      <c r="R34" s="8"/>
      <c r="S34" s="3"/>
      <c r="T34" s="3"/>
      <c r="U34" s="3"/>
      <c r="V34" s="8"/>
      <c r="W34" s="3"/>
      <c r="X34" s="3"/>
      <c r="Y34" s="3"/>
      <c r="Z34" s="8"/>
    </row>
    <row r="35" spans="1:26" s="23" customFormat="1" x14ac:dyDescent="0.3">
      <c r="A35" s="51"/>
      <c r="B35" s="10" t="s">
        <v>127</v>
      </c>
      <c r="C35" s="10"/>
      <c r="D35" s="4"/>
      <c r="E35" s="4"/>
      <c r="F35" s="12">
        <f>IF(D$12=0,0,D35/D$12)</f>
        <v>0</v>
      </c>
      <c r="G35" s="4"/>
      <c r="H35" s="4"/>
      <c r="I35" s="4"/>
      <c r="J35" s="12">
        <f>IF(H$12=0,0,H35/H$12)</f>
        <v>0</v>
      </c>
      <c r="K35" s="4"/>
      <c r="L35" s="4">
        <f>+D35-H35</f>
        <v>0</v>
      </c>
      <c r="M35" s="4"/>
      <c r="N35" s="12">
        <f>IF(H35=0,0,L35/H35)</f>
        <v>0</v>
      </c>
      <c r="O35" s="10"/>
      <c r="P35" s="4"/>
      <c r="Q35" s="4"/>
      <c r="R35" s="12">
        <f>IF(P$12=0,0,P35/P$12)</f>
        <v>0</v>
      </c>
      <c r="S35" s="4"/>
      <c r="T35" s="4"/>
      <c r="U35" s="4"/>
      <c r="V35" s="12">
        <f>IF(T$12=0,0,T35/T$12)</f>
        <v>0</v>
      </c>
      <c r="W35" s="4"/>
      <c r="X35" s="4">
        <f>+P35-T35</f>
        <v>0</v>
      </c>
      <c r="Y35" s="4"/>
      <c r="Z35" s="12">
        <f>IF(T35=0,0,X35/T35)</f>
        <v>0</v>
      </c>
    </row>
    <row r="36" spans="1:26" x14ac:dyDescent="0.3">
      <c r="A36" s="9"/>
      <c r="B36" s="10"/>
      <c r="C36" s="10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O36" s="10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125</v>
      </c>
      <c r="C37" s="25"/>
      <c r="D37" s="35">
        <f>+D33-D35</f>
        <v>-577.36</v>
      </c>
      <c r="E37" s="13"/>
      <c r="F37" s="31">
        <f>IF(D$12=0,0,D37/D$12)</f>
        <v>0</v>
      </c>
      <c r="G37" s="13"/>
      <c r="H37" s="35">
        <f>+H33-H35</f>
        <v>-1951.4900000000002</v>
      </c>
      <c r="I37" s="13"/>
      <c r="J37" s="31">
        <f>IF(H$12=0,0,H37/H$12)</f>
        <v>0</v>
      </c>
      <c r="K37" s="16"/>
      <c r="L37" s="35">
        <f>D37-H37</f>
        <v>1374.13</v>
      </c>
      <c r="M37" s="16"/>
      <c r="N37" s="31">
        <f>IF(H37=0,0,L37/H37)</f>
        <v>-0.70414401303619278</v>
      </c>
      <c r="O37" s="26"/>
      <c r="P37" s="35">
        <f>+P33-P35</f>
        <v>-3082.83</v>
      </c>
      <c r="Q37" s="13"/>
      <c r="R37" s="31">
        <f>IF(P$12=0,0,P37/P$12)</f>
        <v>0</v>
      </c>
      <c r="S37" s="13"/>
      <c r="T37" s="35">
        <f>+T33-T35</f>
        <v>-5375.57</v>
      </c>
      <c r="U37" s="13"/>
      <c r="V37" s="31">
        <f>IF(T$12=0,0,T37/T$12)</f>
        <v>0</v>
      </c>
      <c r="W37" s="16"/>
      <c r="X37" s="35">
        <f>P37-T37</f>
        <v>2292.7399999999998</v>
      </c>
      <c r="Y37" s="16"/>
      <c r="Z37" s="31">
        <f>IF(T37=0,0,X37/T37)</f>
        <v>-0.42651104906084375</v>
      </c>
    </row>
    <row r="38" spans="1:26" ht="15" thickTop="1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ht="15" thickBot="1" x14ac:dyDescent="0.35">
      <c r="A40" s="10"/>
      <c r="B40" s="25" t="s">
        <v>293</v>
      </c>
      <c r="C40" s="25"/>
      <c r="D40" s="36">
        <f>SUM(D37:D39)</f>
        <v>-577.36</v>
      </c>
      <c r="E40" s="13"/>
      <c r="F40" s="33">
        <f>IF(D$12=0,0,D40/D$12)</f>
        <v>0</v>
      </c>
      <c r="G40" s="13"/>
      <c r="H40" s="36">
        <f>SUM(H37:H39)</f>
        <v>-1951.4900000000002</v>
      </c>
      <c r="I40" s="13"/>
      <c r="J40" s="33">
        <f>IF(H$12=0,0,H40/H$12)</f>
        <v>0</v>
      </c>
      <c r="K40" s="16"/>
      <c r="L40" s="36">
        <f>+D40-H40</f>
        <v>1374.13</v>
      </c>
      <c r="M40" s="16"/>
      <c r="N40" s="33">
        <f>IF(H40=0,0,L40/H40)</f>
        <v>-0.70414401303619278</v>
      </c>
      <c r="O40" s="26"/>
      <c r="P40" s="36">
        <f>SUM(P37:P39)</f>
        <v>-3082.83</v>
      </c>
      <c r="Q40" s="13"/>
      <c r="R40" s="33">
        <f>IF(P$12=0,0,P40/P$12)</f>
        <v>0</v>
      </c>
      <c r="S40" s="13"/>
      <c r="T40" s="36">
        <f>SUM(T37:T39)</f>
        <v>-5375.57</v>
      </c>
      <c r="U40" s="13"/>
      <c r="V40" s="33">
        <f>IF(T$12=0,0,T40/T$12)</f>
        <v>0</v>
      </c>
      <c r="W40" s="16"/>
      <c r="X40" s="36">
        <f>+P40-T40</f>
        <v>2292.7399999999998</v>
      </c>
      <c r="Y40" s="16"/>
      <c r="Z40" s="33">
        <f>IF(T40=0,0,X40/T40)</f>
        <v>-0.42651104906084375</v>
      </c>
    </row>
    <row r="41" spans="1:26" ht="15" thickTop="1" x14ac:dyDescent="0.3">
      <c r="A41" s="9"/>
      <c r="C41" s="9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2">
        <v>44543.765594675926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9" t="s">
        <v>56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61"/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</sheetData>
  <pageMargins left="0.25" right="0.25" top="0.75" bottom="0.75" header="0.3" footer="0.3"/>
  <pageSetup scale="55" fitToWidth="2" orientation="landscape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92D050"/>
    <outlinePr summaryBelow="0" summaryRight="0"/>
  </sheetPr>
  <dimension ref="A2:Z50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","413", " - ", "Beach Walk")</f>
        <v>Department 413 - Beach Walk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58.03</v>
      </c>
      <c r="E18" s="20"/>
      <c r="F18" s="32">
        <f t="shared" ref="F18:F24" si="0">IF(D$12=0,0,D18/D$12)</f>
        <v>0</v>
      </c>
      <c r="G18" s="20"/>
      <c r="H18" s="20">
        <f>SUM(OSRRefH22x_0)</f>
        <v>196.03</v>
      </c>
      <c r="I18" s="20"/>
      <c r="J18" s="32">
        <f t="shared" ref="J18:J24" si="1">IF(H$12=0,0,H18/H$12)</f>
        <v>0</v>
      </c>
      <c r="K18" s="4"/>
      <c r="L18" s="20">
        <f t="shared" ref="L18:L24" si="2">+D18-H18</f>
        <v>-138</v>
      </c>
      <c r="M18" s="4"/>
      <c r="N18" s="32">
        <f t="shared" ref="N18:N24" si="3">IF(H18=0,0,L18/H18)</f>
        <v>-0.70397388154874252</v>
      </c>
      <c r="O18" s="10"/>
      <c r="P18" s="20">
        <f>SUM(OSRRefP22x_0)</f>
        <v>455.24</v>
      </c>
      <c r="Q18" s="20"/>
      <c r="R18" s="32">
        <f t="shared" ref="R18:R24" si="4">IF(P$12=0,0,P18/P$12)</f>
        <v>0</v>
      </c>
      <c r="S18" s="20"/>
      <c r="T18" s="20">
        <f>SUM(OSRRefT22x_0)</f>
        <v>4761.7299999999996</v>
      </c>
      <c r="U18" s="20"/>
      <c r="V18" s="32">
        <f t="shared" ref="V18:V24" si="5">IF(T$12=0,0,T18/T$12)</f>
        <v>0</v>
      </c>
      <c r="W18" s="4"/>
      <c r="X18" s="20">
        <f t="shared" ref="X18:X24" si="6">+P18-T18</f>
        <v>-4306.49</v>
      </c>
      <c r="Y18" s="4"/>
      <c r="Z18" s="32">
        <f t="shared" ref="Z18:Z24" si="7">IF(T18=0,0,X18/T18)</f>
        <v>-0.90439609133655208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1493.43</v>
      </c>
      <c r="U19" s="1"/>
      <c r="V19" s="5">
        <f t="shared" si="5"/>
        <v>0</v>
      </c>
      <c r="W19" s="1"/>
      <c r="X19" s="1">
        <f t="shared" si="6"/>
        <v>-1493.43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191.51</v>
      </c>
      <c r="U20" s="2"/>
      <c r="V20" s="7">
        <f t="shared" si="5"/>
        <v>0</v>
      </c>
      <c r="W20" s="2"/>
      <c r="X20" s="6">
        <f t="shared" si="6"/>
        <v>-191.51</v>
      </c>
      <c r="Y20" s="2"/>
      <c r="Z20" s="7">
        <f t="shared" si="7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718.51</v>
      </c>
      <c r="U21" s="2"/>
      <c r="V21" s="7">
        <f t="shared" si="5"/>
        <v>0</v>
      </c>
      <c r="W21" s="2"/>
      <c r="X21" s="6">
        <f t="shared" si="6"/>
        <v>-718.51</v>
      </c>
      <c r="Y21" s="2"/>
      <c r="Z21" s="7">
        <f t="shared" si="7"/>
        <v>-1</v>
      </c>
    </row>
    <row r="22" spans="1:26" s="24" customFormat="1" hidden="1" outlineLevel="2" x14ac:dyDescent="0.3">
      <c r="A22" s="27"/>
      <c r="B22" s="11" t="str">
        <f>CONCATENATE("          ", "6115", " - ", "P.E.R.S.")</f>
        <v xml:space="preserve">          6115 - P.E.R.S.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377.03</v>
      </c>
      <c r="U22" s="2"/>
      <c r="V22" s="7">
        <f t="shared" si="5"/>
        <v>0</v>
      </c>
      <c r="W22" s="2"/>
      <c r="X22" s="6">
        <f t="shared" si="6"/>
        <v>-377.03</v>
      </c>
      <c r="Y22" s="2"/>
      <c r="Z22" s="7">
        <f t="shared" si="7"/>
        <v>-1</v>
      </c>
    </row>
    <row r="23" spans="1:26" s="24" customFormat="1" hidden="1" outlineLevel="2" x14ac:dyDescent="0.3">
      <c r="A23" s="27"/>
      <c r="B23" s="11" t="str">
        <f>CONCATENATE("          ", "6118", " - ", "VACATION")</f>
        <v xml:space="preserve">          6118 - VACATION</v>
      </c>
      <c r="C23" s="11"/>
      <c r="D23" s="6"/>
      <c r="E23" s="2"/>
      <c r="F23" s="7">
        <f t="shared" si="0"/>
        <v>0</v>
      </c>
      <c r="G23" s="2"/>
      <c r="H23" s="6"/>
      <c r="I23" s="2"/>
      <c r="J23" s="7">
        <f t="shared" si="1"/>
        <v>0</v>
      </c>
      <c r="K23" s="2"/>
      <c r="L23" s="6">
        <f t="shared" si="2"/>
        <v>0</v>
      </c>
      <c r="M23" s="2"/>
      <c r="N23" s="7">
        <f t="shared" si="3"/>
        <v>0</v>
      </c>
      <c r="O23" s="11"/>
      <c r="P23" s="6"/>
      <c r="Q23" s="2"/>
      <c r="R23" s="7">
        <f t="shared" si="4"/>
        <v>0</v>
      </c>
      <c r="S23" s="2"/>
      <c r="T23" s="6">
        <v>93.89</v>
      </c>
      <c r="U23" s="2"/>
      <c r="V23" s="7">
        <f t="shared" si="5"/>
        <v>0</v>
      </c>
      <c r="W23" s="2"/>
      <c r="X23" s="6">
        <f t="shared" si="6"/>
        <v>-93.89</v>
      </c>
      <c r="Y23" s="2"/>
      <c r="Z23" s="7">
        <f t="shared" si="7"/>
        <v>-1</v>
      </c>
    </row>
    <row r="24" spans="1:26" s="24" customFormat="1" hidden="1" outlineLevel="2" x14ac:dyDescent="0.3">
      <c r="A24" s="27"/>
      <c r="B24" s="11" t="str">
        <f>CONCATENATE("          ", "6119", " - ", "SICK LEAVE")</f>
        <v xml:space="preserve">          6119 - SICK LEAVE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112.49</v>
      </c>
      <c r="U24" s="2"/>
      <c r="V24" s="7">
        <f t="shared" si="5"/>
        <v>0</v>
      </c>
      <c r="W24" s="2"/>
      <c r="X24" s="6">
        <f t="shared" si="6"/>
        <v>-112.49</v>
      </c>
      <c r="Y24" s="2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","*Payroll                                          ")</f>
        <v xml:space="preserve">     *Payroll                                          </v>
      </c>
      <c r="C25" s="14"/>
      <c r="D25" s="1">
        <f>SUM(OSRRefD22_1x_0)</f>
        <v>0</v>
      </c>
      <c r="E25" s="1"/>
      <c r="F25" s="5">
        <f t="shared" ref="F25:F34" si="8">IF(D$12=0,0,D25/D$12)</f>
        <v>0</v>
      </c>
      <c r="G25" s="1"/>
      <c r="H25" s="1">
        <f>SUM(OSRRefH22_1x_0)</f>
        <v>0</v>
      </c>
      <c r="I25" s="1"/>
      <c r="J25" s="5">
        <f t="shared" ref="J25:J34" si="9">IF(H$12=0,0,H25/H$12)</f>
        <v>0</v>
      </c>
      <c r="K25" s="1"/>
      <c r="L25" s="1">
        <f t="shared" ref="L25:L34" si="10">+D25-H25</f>
        <v>0</v>
      </c>
      <c r="M25" s="1"/>
      <c r="N25" s="5">
        <f t="shared" ref="N25:N34" si="11">IF(H25=0,0,L25/H25)</f>
        <v>0</v>
      </c>
      <c r="O25" s="14"/>
      <c r="P25" s="1">
        <f>SUM(OSRRefP22_1x_0)</f>
        <v>0</v>
      </c>
      <c r="Q25" s="1"/>
      <c r="R25" s="5">
        <f t="shared" ref="R25:R34" si="12">IF(P$12=0,0,P25/P$12)</f>
        <v>0</v>
      </c>
      <c r="S25" s="1"/>
      <c r="T25" s="1">
        <f>SUM(OSRRefT22_1x_0)</f>
        <v>2259.48</v>
      </c>
      <c r="U25" s="1"/>
      <c r="V25" s="5">
        <f t="shared" ref="V25:V34" si="13">IF(T$12=0,0,T25/T$12)</f>
        <v>0</v>
      </c>
      <c r="W25" s="1"/>
      <c r="X25" s="1">
        <f t="shared" ref="X25:X34" si="14">+P25-T25</f>
        <v>-2259.48</v>
      </c>
      <c r="Y25" s="1"/>
      <c r="Z25" s="5">
        <f t="shared" ref="Z25:Z34" si="15">IF(T25=0,0,X25/T25)</f>
        <v>-1</v>
      </c>
    </row>
    <row r="26" spans="1:26" s="24" customFormat="1" hidden="1" outlineLevel="2" x14ac:dyDescent="0.3">
      <c r="A26" s="27"/>
      <c r="B26" s="11" t="str">
        <f>CONCATENATE("          ", "6002", " - ", "STAFF SALARIES")</f>
        <v xml:space="preserve">          6002 - STAFF SALARIES</v>
      </c>
      <c r="C26" s="11"/>
      <c r="D26" s="6"/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0</v>
      </c>
      <c r="M26" s="2"/>
      <c r="N26" s="7">
        <f t="shared" si="11"/>
        <v>0</v>
      </c>
      <c r="O26" s="11"/>
      <c r="P26" s="6"/>
      <c r="Q26" s="2"/>
      <c r="R26" s="7">
        <f t="shared" si="12"/>
        <v>0</v>
      </c>
      <c r="S26" s="2"/>
      <c r="T26" s="6">
        <v>2259.48</v>
      </c>
      <c r="U26" s="2"/>
      <c r="V26" s="7">
        <f t="shared" si="13"/>
        <v>0</v>
      </c>
      <c r="W26" s="2"/>
      <c r="X26" s="6">
        <f t="shared" si="14"/>
        <v>-2259.48</v>
      </c>
      <c r="Y26" s="2"/>
      <c r="Z26" s="7">
        <f t="shared" si="15"/>
        <v>-1</v>
      </c>
    </row>
    <row r="27" spans="1:26" s="29" customFormat="1" outlineLevel="1" collapsed="1" x14ac:dyDescent="0.3">
      <c r="A27" s="28"/>
      <c r="B27" s="14" t="str">
        <f>CONCATENATE("     ","Depreciation                                      ")</f>
        <v xml:space="preserve">     Depreciation                                      </v>
      </c>
      <c r="C27" s="14"/>
      <c r="D27" s="1">
        <f>SUM(OSRRefD22_2x_0)</f>
        <v>58.03</v>
      </c>
      <c r="E27" s="1"/>
      <c r="F27" s="5">
        <f t="shared" si="8"/>
        <v>0</v>
      </c>
      <c r="G27" s="1"/>
      <c r="H27" s="1">
        <f>SUM(OSRRefH22_2x_0)</f>
        <v>58.03</v>
      </c>
      <c r="I27" s="1"/>
      <c r="J27" s="5">
        <f t="shared" si="9"/>
        <v>0</v>
      </c>
      <c r="K27" s="1"/>
      <c r="L27" s="1">
        <f t="shared" si="10"/>
        <v>0</v>
      </c>
      <c r="M27" s="1"/>
      <c r="N27" s="5">
        <f t="shared" si="11"/>
        <v>0</v>
      </c>
      <c r="O27" s="14"/>
      <c r="P27" s="1">
        <f>SUM(OSRRefP22_2x_0)</f>
        <v>290.14999999999998</v>
      </c>
      <c r="Q27" s="1"/>
      <c r="R27" s="5">
        <f t="shared" si="12"/>
        <v>0</v>
      </c>
      <c r="S27" s="1"/>
      <c r="T27" s="1">
        <f>SUM(OSRRefT22_2x_0)</f>
        <v>290.14999999999998</v>
      </c>
      <c r="U27" s="1"/>
      <c r="V27" s="5">
        <f t="shared" si="13"/>
        <v>0</v>
      </c>
      <c r="W27" s="1"/>
      <c r="X27" s="1">
        <f t="shared" si="14"/>
        <v>0</v>
      </c>
      <c r="Y27" s="1"/>
      <c r="Z27" s="5">
        <f t="shared" si="15"/>
        <v>0</v>
      </c>
    </row>
    <row r="28" spans="1:26" s="24" customFormat="1" hidden="1" outlineLevel="2" x14ac:dyDescent="0.3">
      <c r="A28" s="27"/>
      <c r="B28" s="11" t="str">
        <f>CONCATENATE("          ", "6322", " - ", "EQUIPMENT DEPRECIATION EXPENSE")</f>
        <v xml:space="preserve">          6322 - EQUIPMENT DEPRECIATION EXPENSE</v>
      </c>
      <c r="C28" s="11"/>
      <c r="D28" s="6">
        <v>58.03</v>
      </c>
      <c r="E28" s="2"/>
      <c r="F28" s="7">
        <f t="shared" si="8"/>
        <v>0</v>
      </c>
      <c r="G28" s="2"/>
      <c r="H28" s="6">
        <v>58.03</v>
      </c>
      <c r="I28" s="2"/>
      <c r="J28" s="7">
        <f t="shared" si="9"/>
        <v>0</v>
      </c>
      <c r="K28" s="2"/>
      <c r="L28" s="6">
        <f t="shared" si="10"/>
        <v>0</v>
      </c>
      <c r="M28" s="2"/>
      <c r="N28" s="7">
        <f t="shared" si="11"/>
        <v>0</v>
      </c>
      <c r="O28" s="11"/>
      <c r="P28" s="6">
        <v>290.14999999999998</v>
      </c>
      <c r="Q28" s="2"/>
      <c r="R28" s="7">
        <f t="shared" si="12"/>
        <v>0</v>
      </c>
      <c r="S28" s="2"/>
      <c r="T28" s="6">
        <v>290.14999999999998</v>
      </c>
      <c r="U28" s="2"/>
      <c r="V28" s="7">
        <f t="shared" si="13"/>
        <v>0</v>
      </c>
      <c r="W28" s="2"/>
      <c r="X28" s="6">
        <f t="shared" si="14"/>
        <v>0</v>
      </c>
      <c r="Y28" s="2"/>
      <c r="Z28" s="7">
        <f t="shared" si="15"/>
        <v>0</v>
      </c>
    </row>
    <row r="29" spans="1:26" s="29" customFormat="1" outlineLevel="1" collapsed="1" x14ac:dyDescent="0.3">
      <c r="A29" s="28"/>
      <c r="B29" s="14" t="str">
        <f>CONCATENATE("     ","Repair and Maintenance                            ")</f>
        <v xml:space="preserve">     Repair and Maintenance                            </v>
      </c>
      <c r="C29" s="14"/>
      <c r="D29" s="1">
        <f>SUM(OSRRefD22_3x_0)</f>
        <v>0</v>
      </c>
      <c r="E29" s="1"/>
      <c r="F29" s="5">
        <f t="shared" si="8"/>
        <v>0</v>
      </c>
      <c r="G29" s="1"/>
      <c r="H29" s="1">
        <f>SUM(OSRRefH22_3x_0)</f>
        <v>0</v>
      </c>
      <c r="I29" s="1"/>
      <c r="J29" s="5">
        <f t="shared" si="9"/>
        <v>0</v>
      </c>
      <c r="K29" s="1"/>
      <c r="L29" s="1">
        <f t="shared" si="10"/>
        <v>0</v>
      </c>
      <c r="M29" s="1"/>
      <c r="N29" s="5">
        <f t="shared" si="11"/>
        <v>0</v>
      </c>
      <c r="O29" s="14"/>
      <c r="P29" s="1">
        <f>SUM(OSRRefP22_3x_0)</f>
        <v>165.09</v>
      </c>
      <c r="Q29" s="1"/>
      <c r="R29" s="5">
        <f t="shared" si="12"/>
        <v>0</v>
      </c>
      <c r="S29" s="1"/>
      <c r="T29" s="1">
        <f>SUM(OSRRefT22_3x_0)</f>
        <v>244.35</v>
      </c>
      <c r="U29" s="1"/>
      <c r="V29" s="5">
        <f t="shared" si="13"/>
        <v>0</v>
      </c>
      <c r="W29" s="1"/>
      <c r="X29" s="1">
        <f t="shared" si="14"/>
        <v>-79.259999999999991</v>
      </c>
      <c r="Y29" s="1"/>
      <c r="Z29" s="5">
        <f t="shared" si="15"/>
        <v>-0.32437077961939836</v>
      </c>
    </row>
    <row r="30" spans="1:26" s="24" customFormat="1" hidden="1" outlineLevel="2" x14ac:dyDescent="0.3">
      <c r="A30" s="27"/>
      <c r="B30" s="11" t="str">
        <f>CONCATENATE("          ", "6373", " - ", "MAINTENANCE CONTRACTS")</f>
        <v xml:space="preserve">          6373 - MAINTENANCE CONTRACTS</v>
      </c>
      <c r="C30" s="11"/>
      <c r="D30" s="6"/>
      <c r="E30" s="2"/>
      <c r="F30" s="7">
        <f t="shared" si="8"/>
        <v>0</v>
      </c>
      <c r="G30" s="2"/>
      <c r="H30" s="6"/>
      <c r="I30" s="2"/>
      <c r="J30" s="7">
        <f t="shared" si="9"/>
        <v>0</v>
      </c>
      <c r="K30" s="2"/>
      <c r="L30" s="6">
        <f t="shared" si="10"/>
        <v>0</v>
      </c>
      <c r="M30" s="2"/>
      <c r="N30" s="7">
        <f t="shared" si="11"/>
        <v>0</v>
      </c>
      <c r="O30" s="11"/>
      <c r="P30" s="6">
        <v>165.09</v>
      </c>
      <c r="Q30" s="2"/>
      <c r="R30" s="7">
        <f t="shared" si="12"/>
        <v>0</v>
      </c>
      <c r="S30" s="2"/>
      <c r="T30" s="6">
        <v>244.35</v>
      </c>
      <c r="U30" s="2"/>
      <c r="V30" s="7">
        <f t="shared" si="13"/>
        <v>0</v>
      </c>
      <c r="W30" s="2"/>
      <c r="X30" s="6">
        <f t="shared" si="14"/>
        <v>-79.259999999999991</v>
      </c>
      <c r="Y30" s="2"/>
      <c r="Z30" s="7">
        <f t="shared" si="15"/>
        <v>-0.32437077961939836</v>
      </c>
    </row>
    <row r="31" spans="1:26" s="29" customFormat="1" outlineLevel="1" collapsed="1" x14ac:dyDescent="0.3">
      <c r="A31" s="28"/>
      <c r="B31" s="14" t="str">
        <f>CONCATENATE("     ","Services                                          ")</f>
        <v xml:space="preserve">     Services                                          </v>
      </c>
      <c r="C31" s="14"/>
      <c r="D31" s="1">
        <f>SUM(OSRRefD22_4x_0)</f>
        <v>0</v>
      </c>
      <c r="E31" s="1"/>
      <c r="F31" s="5">
        <f t="shared" si="8"/>
        <v>0</v>
      </c>
      <c r="G31" s="1"/>
      <c r="H31" s="1">
        <f>SUM(OSRRefH22_4x_0)</f>
        <v>0</v>
      </c>
      <c r="I31" s="1"/>
      <c r="J31" s="5">
        <f t="shared" si="9"/>
        <v>0</v>
      </c>
      <c r="K31" s="1"/>
      <c r="L31" s="1">
        <f t="shared" si="10"/>
        <v>0</v>
      </c>
      <c r="M31" s="1"/>
      <c r="N31" s="5">
        <f t="shared" si="11"/>
        <v>0</v>
      </c>
      <c r="O31" s="14"/>
      <c r="P31" s="1">
        <f>SUM(OSRRefP22_4x_0)</f>
        <v>0</v>
      </c>
      <c r="Q31" s="1"/>
      <c r="R31" s="5">
        <f t="shared" si="12"/>
        <v>0</v>
      </c>
      <c r="S31" s="1"/>
      <c r="T31" s="1">
        <f>SUM(OSRRefT22_4x_0)</f>
        <v>286.62</v>
      </c>
      <c r="U31" s="1"/>
      <c r="V31" s="5">
        <f t="shared" si="13"/>
        <v>0</v>
      </c>
      <c r="W31" s="1"/>
      <c r="X31" s="1">
        <f t="shared" si="14"/>
        <v>-286.62</v>
      </c>
      <c r="Y31" s="1"/>
      <c r="Z31" s="5">
        <f t="shared" si="15"/>
        <v>-1</v>
      </c>
    </row>
    <row r="32" spans="1:26" s="24" customFormat="1" hidden="1" outlineLevel="2" x14ac:dyDescent="0.3">
      <c r="A32" s="27"/>
      <c r="B32" s="11" t="str">
        <f>CONCATENATE("          ", "6282", " - ", "JANITORIAL/EXTERMINATOR EXPENS")</f>
        <v xml:space="preserve">          6282 - JANITORIAL/EXTERMINATOR EXPENS</v>
      </c>
      <c r="C32" s="11"/>
      <c r="D32" s="6"/>
      <c r="E32" s="2"/>
      <c r="F32" s="7">
        <f t="shared" si="8"/>
        <v>0</v>
      </c>
      <c r="G32" s="2"/>
      <c r="H32" s="6"/>
      <c r="I32" s="2"/>
      <c r="J32" s="7">
        <f t="shared" si="9"/>
        <v>0</v>
      </c>
      <c r="K32" s="2"/>
      <c r="L32" s="6">
        <f t="shared" si="10"/>
        <v>0</v>
      </c>
      <c r="M32" s="2"/>
      <c r="N32" s="7">
        <f t="shared" si="11"/>
        <v>0</v>
      </c>
      <c r="O32" s="11"/>
      <c r="P32" s="6"/>
      <c r="Q32" s="2"/>
      <c r="R32" s="7">
        <f t="shared" si="12"/>
        <v>0</v>
      </c>
      <c r="S32" s="2"/>
      <c r="T32" s="6">
        <v>286.62</v>
      </c>
      <c r="U32" s="2"/>
      <c r="V32" s="7">
        <f t="shared" si="13"/>
        <v>0</v>
      </c>
      <c r="W32" s="2"/>
      <c r="X32" s="6">
        <f t="shared" si="14"/>
        <v>-286.62</v>
      </c>
      <c r="Y32" s="2"/>
      <c r="Z32" s="7">
        <f t="shared" si="15"/>
        <v>-1</v>
      </c>
    </row>
    <row r="33" spans="1:26" s="29" customFormat="1" outlineLevel="1" collapsed="1" x14ac:dyDescent="0.3">
      <c r="A33" s="28"/>
      <c r="B33" s="14" t="str">
        <f>CONCATENATE("     ","Telephone/Data Lines                              ")</f>
        <v xml:space="preserve">     Telephone/Data Lines                              </v>
      </c>
      <c r="C33" s="14"/>
      <c r="D33" s="1">
        <f>SUM(OSRRefD22_5x_0)</f>
        <v>0</v>
      </c>
      <c r="E33" s="1"/>
      <c r="F33" s="5">
        <f t="shared" si="8"/>
        <v>0</v>
      </c>
      <c r="G33" s="1"/>
      <c r="H33" s="1">
        <f>SUM(OSRRefH22_5x_0)</f>
        <v>138</v>
      </c>
      <c r="I33" s="1"/>
      <c r="J33" s="5">
        <f t="shared" si="9"/>
        <v>0</v>
      </c>
      <c r="K33" s="1"/>
      <c r="L33" s="1">
        <f t="shared" si="10"/>
        <v>-138</v>
      </c>
      <c r="M33" s="1"/>
      <c r="N33" s="5">
        <f t="shared" si="11"/>
        <v>-1</v>
      </c>
      <c r="O33" s="14"/>
      <c r="P33" s="1">
        <f>SUM(OSRRefP22_5x_0)</f>
        <v>0</v>
      </c>
      <c r="Q33" s="1"/>
      <c r="R33" s="5">
        <f t="shared" si="12"/>
        <v>0</v>
      </c>
      <c r="S33" s="1"/>
      <c r="T33" s="1">
        <f>SUM(OSRRefT22_5x_0)</f>
        <v>187.7</v>
      </c>
      <c r="U33" s="1"/>
      <c r="V33" s="5">
        <f t="shared" si="13"/>
        <v>0</v>
      </c>
      <c r="W33" s="1"/>
      <c r="X33" s="1">
        <f t="shared" si="14"/>
        <v>-187.7</v>
      </c>
      <c r="Y33" s="1"/>
      <c r="Z33" s="5">
        <f t="shared" si="15"/>
        <v>-1</v>
      </c>
    </row>
    <row r="34" spans="1:26" s="24" customFormat="1" hidden="1" outlineLevel="2" x14ac:dyDescent="0.3">
      <c r="A34" s="27"/>
      <c r="B34" s="11" t="str">
        <f>CONCATENATE("          ", "6309", " - ", "TELEPHONE")</f>
        <v xml:space="preserve">          6309 - TELEPHONE</v>
      </c>
      <c r="C34" s="11"/>
      <c r="D34" s="6"/>
      <c r="E34" s="2"/>
      <c r="F34" s="7">
        <f t="shared" si="8"/>
        <v>0</v>
      </c>
      <c r="G34" s="2"/>
      <c r="H34" s="6">
        <v>138</v>
      </c>
      <c r="I34" s="2"/>
      <c r="J34" s="7">
        <f t="shared" si="9"/>
        <v>0</v>
      </c>
      <c r="K34" s="2"/>
      <c r="L34" s="6">
        <f t="shared" si="10"/>
        <v>-138</v>
      </c>
      <c r="M34" s="2"/>
      <c r="N34" s="7">
        <f t="shared" si="11"/>
        <v>-1</v>
      </c>
      <c r="O34" s="11"/>
      <c r="P34" s="6"/>
      <c r="Q34" s="2"/>
      <c r="R34" s="7">
        <f t="shared" si="12"/>
        <v>0</v>
      </c>
      <c r="S34" s="2"/>
      <c r="T34" s="6">
        <v>187.7</v>
      </c>
      <c r="U34" s="2"/>
      <c r="V34" s="7">
        <f t="shared" si="13"/>
        <v>0</v>
      </c>
      <c r="W34" s="2"/>
      <c r="X34" s="6">
        <f t="shared" si="14"/>
        <v>-187.7</v>
      </c>
      <c r="Y34" s="2"/>
      <c r="Z34" s="7">
        <f t="shared" si="15"/>
        <v>-1</v>
      </c>
    </row>
    <row r="35" spans="1:26" s="62" customFormat="1" x14ac:dyDescent="0.3">
      <c r="A35" s="37"/>
      <c r="B35" s="37"/>
      <c r="C35" s="37"/>
      <c r="D35" s="1"/>
      <c r="E35" s="1"/>
      <c r="F35" s="5"/>
      <c r="G35" s="1"/>
      <c r="H35" s="1"/>
      <c r="I35" s="1"/>
      <c r="J35" s="5"/>
      <c r="K35" s="1"/>
      <c r="L35" s="1"/>
      <c r="M35" s="1"/>
      <c r="N35" s="5"/>
      <c r="O35" s="37"/>
      <c r="P35" s="1"/>
      <c r="Q35" s="1"/>
      <c r="R35" s="5"/>
      <c r="S35" s="1"/>
      <c r="T35" s="1"/>
      <c r="U35" s="1"/>
      <c r="V35" s="5"/>
      <c r="W35" s="1"/>
      <c r="X35" s="1"/>
      <c r="Y35" s="1"/>
      <c r="Z35" s="5"/>
    </row>
    <row r="36" spans="1:26" s="23" customFormat="1" x14ac:dyDescent="0.3">
      <c r="A36" s="10"/>
      <c r="B36" s="26" t="s">
        <v>292</v>
      </c>
      <c r="C36" s="10"/>
      <c r="D36" s="4">
        <f>SUM(0)</f>
        <v>0</v>
      </c>
      <c r="E36" s="4"/>
      <c r="F36" s="12">
        <f>IF(D$12=0,0,D36/D$12)</f>
        <v>0</v>
      </c>
      <c r="G36" s="4"/>
      <c r="H36" s="4">
        <f>SUM(0)</f>
        <v>0</v>
      </c>
      <c r="I36" s="4"/>
      <c r="J36" s="12">
        <f>IF(H$12=0,0,H36/H$12)</f>
        <v>0</v>
      </c>
      <c r="K36" s="4"/>
      <c r="L36" s="4">
        <f>+D36-H36</f>
        <v>0</v>
      </c>
      <c r="M36" s="4"/>
      <c r="N36" s="12">
        <f>IF(H36=0,0,L36/H36)</f>
        <v>0</v>
      </c>
      <c r="O36" s="10"/>
      <c r="P36" s="4">
        <f>SUM(0)</f>
        <v>0</v>
      </c>
      <c r="Q36" s="4"/>
      <c r="R36" s="12">
        <f>IF(P$12=0,0,P36/P$12)</f>
        <v>0</v>
      </c>
      <c r="S36" s="4"/>
      <c r="T36" s="4">
        <f>SUM(0)</f>
        <v>0</v>
      </c>
      <c r="U36" s="4"/>
      <c r="V36" s="12">
        <f>IF(T$12=0,0,T36/T$12)</f>
        <v>0</v>
      </c>
      <c r="W36" s="4"/>
      <c r="X36" s="4">
        <f>+P36-T36</f>
        <v>0</v>
      </c>
      <c r="Y36" s="4"/>
      <c r="Z36" s="12">
        <f>IF(T36=0,0,X36/T36)</f>
        <v>0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x14ac:dyDescent="0.3">
      <c r="A38" s="10"/>
      <c r="B38" s="25" t="s">
        <v>276</v>
      </c>
      <c r="C38" s="25"/>
      <c r="D38" s="21">
        <f>+D16-D18+D36</f>
        <v>-58.03</v>
      </c>
      <c r="E38" s="13"/>
      <c r="F38" s="22">
        <f>IF(D$12=0,0,D38/D$12)</f>
        <v>0</v>
      </c>
      <c r="G38" s="13"/>
      <c r="H38" s="21">
        <f>+H16-H18+H36</f>
        <v>-196.03</v>
      </c>
      <c r="I38" s="13"/>
      <c r="J38" s="22">
        <f>IF(H$12=0,0,H38/H$12)</f>
        <v>0</v>
      </c>
      <c r="K38" s="16"/>
      <c r="L38" s="21">
        <f>+D38-H38</f>
        <v>138</v>
      </c>
      <c r="M38" s="16"/>
      <c r="N38" s="22">
        <f>IF(H38=0,0,L38/H38)</f>
        <v>-0.70397388154874252</v>
      </c>
      <c r="O38" s="26"/>
      <c r="P38" s="21">
        <f>+P16-P18+P36</f>
        <v>-455.24</v>
      </c>
      <c r="Q38" s="13"/>
      <c r="R38" s="22">
        <f>IF(P$12=0,0,P38/P$12)</f>
        <v>0</v>
      </c>
      <c r="S38" s="13"/>
      <c r="T38" s="21">
        <f>+T16-T18+T36</f>
        <v>-4761.7299999999996</v>
      </c>
      <c r="U38" s="13"/>
      <c r="V38" s="22">
        <f>IF(T$12=0,0,T38/T$12)</f>
        <v>0</v>
      </c>
      <c r="W38" s="16"/>
      <c r="X38" s="21">
        <f>+P38-T38</f>
        <v>4306.49</v>
      </c>
      <c r="Y38" s="16"/>
      <c r="Z38" s="22">
        <f>IF(T38=0,0,X38/T38)</f>
        <v>-0.90439609133655208</v>
      </c>
    </row>
    <row r="39" spans="1:26" x14ac:dyDescent="0.3">
      <c r="A39" s="9"/>
      <c r="B39" s="10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s="23" customFormat="1" x14ac:dyDescent="0.3">
      <c r="A40" s="51"/>
      <c r="B40" s="10" t="s">
        <v>127</v>
      </c>
      <c r="C40" s="10"/>
      <c r="D40" s="4"/>
      <c r="E40" s="4"/>
      <c r="F40" s="12">
        <f>IF(D$12=0,0,D40/D$12)</f>
        <v>0</v>
      </c>
      <c r="G40" s="4"/>
      <c r="H40" s="4"/>
      <c r="I40" s="4"/>
      <c r="J40" s="12">
        <f>IF(H$12=0,0,H40/H$12)</f>
        <v>0</v>
      </c>
      <c r="K40" s="4"/>
      <c r="L40" s="4">
        <f>+D40-H40</f>
        <v>0</v>
      </c>
      <c r="M40" s="4"/>
      <c r="N40" s="12">
        <f>IF(H40=0,0,L40/H40)</f>
        <v>0</v>
      </c>
      <c r="O40" s="10"/>
      <c r="P40" s="4"/>
      <c r="Q40" s="4"/>
      <c r="R40" s="12">
        <f>IF(P$12=0,0,P40/P$12)</f>
        <v>0</v>
      </c>
      <c r="S40" s="4"/>
      <c r="T40" s="4"/>
      <c r="U40" s="4"/>
      <c r="V40" s="12">
        <f>IF(T$12=0,0,T40/T$12)</f>
        <v>0</v>
      </c>
      <c r="W40" s="4"/>
      <c r="X40" s="4">
        <f>+P40-T40</f>
        <v>0</v>
      </c>
      <c r="Y40" s="4"/>
      <c r="Z40" s="12">
        <f>IF(T40=0,0,X40/T40)</f>
        <v>0</v>
      </c>
    </row>
    <row r="41" spans="1:26" x14ac:dyDescent="0.3">
      <c r="A41" s="9"/>
      <c r="B41" s="10"/>
      <c r="C41" s="10"/>
      <c r="D41" s="3"/>
      <c r="E41" s="3"/>
      <c r="F41" s="8"/>
      <c r="G41" s="3"/>
      <c r="H41" s="3"/>
      <c r="I41" s="3"/>
      <c r="J41" s="8"/>
      <c r="K41" s="3"/>
      <c r="L41" s="3"/>
      <c r="M41" s="3"/>
      <c r="N41" s="8"/>
      <c r="O41" s="10"/>
      <c r="P41" s="3"/>
      <c r="Q41" s="3"/>
      <c r="R41" s="8"/>
      <c r="S41" s="3"/>
      <c r="T41" s="3"/>
      <c r="U41" s="3"/>
      <c r="V41" s="8"/>
      <c r="W41" s="3"/>
      <c r="X41" s="3"/>
      <c r="Y41" s="3"/>
      <c r="Z41" s="8"/>
    </row>
    <row r="42" spans="1:26" s="23" customFormat="1" ht="15" thickBot="1" x14ac:dyDescent="0.35">
      <c r="A42" s="10"/>
      <c r="B42" s="25" t="s">
        <v>125</v>
      </c>
      <c r="C42" s="25"/>
      <c r="D42" s="35">
        <f>+D38-D40</f>
        <v>-58.03</v>
      </c>
      <c r="E42" s="13"/>
      <c r="F42" s="31">
        <f>IF(D$12=0,0,D42/D$12)</f>
        <v>0</v>
      </c>
      <c r="G42" s="13"/>
      <c r="H42" s="35">
        <f>+H38-H40</f>
        <v>-196.03</v>
      </c>
      <c r="I42" s="13"/>
      <c r="J42" s="31">
        <f>IF(H$12=0,0,H42/H$12)</f>
        <v>0</v>
      </c>
      <c r="K42" s="16"/>
      <c r="L42" s="35">
        <f>D42-H42</f>
        <v>138</v>
      </c>
      <c r="M42" s="16"/>
      <c r="N42" s="31">
        <f>IF(H42=0,0,L42/H42)</f>
        <v>-0.70397388154874252</v>
      </c>
      <c r="O42" s="26"/>
      <c r="P42" s="35">
        <f>+P38-P40</f>
        <v>-455.24</v>
      </c>
      <c r="Q42" s="13"/>
      <c r="R42" s="31">
        <f>IF(P$12=0,0,P42/P$12)</f>
        <v>0</v>
      </c>
      <c r="S42" s="13"/>
      <c r="T42" s="35">
        <f>+T38-T40</f>
        <v>-4761.7299999999996</v>
      </c>
      <c r="U42" s="13"/>
      <c r="V42" s="31">
        <f>IF(T$12=0,0,T42/T$12)</f>
        <v>0</v>
      </c>
      <c r="W42" s="16"/>
      <c r="X42" s="35">
        <f>P42-T42</f>
        <v>4306.49</v>
      </c>
      <c r="Y42" s="16"/>
      <c r="Z42" s="31">
        <f>IF(T42=0,0,X42/T42)</f>
        <v>-0.90439609133655208</v>
      </c>
    </row>
    <row r="43" spans="1:26" ht="15" thickTop="1" x14ac:dyDescent="0.3">
      <c r="A43" s="9"/>
      <c r="B43" s="9"/>
      <c r="C43" s="9"/>
      <c r="D43" s="3"/>
      <c r="E43" s="3"/>
      <c r="F43" s="8"/>
      <c r="G43" s="3"/>
      <c r="H43" s="3"/>
      <c r="I43" s="3"/>
      <c r="J43" s="8"/>
      <c r="K43" s="3"/>
      <c r="L43" s="3"/>
      <c r="M43" s="3"/>
      <c r="N43" s="8"/>
      <c r="P43" s="3"/>
      <c r="Q43" s="3"/>
      <c r="R43" s="8"/>
      <c r="S43" s="3"/>
      <c r="T43" s="3"/>
      <c r="U43" s="3"/>
      <c r="V43" s="8"/>
      <c r="W43" s="3"/>
      <c r="X43" s="3"/>
      <c r="Y43" s="3"/>
      <c r="Z43" s="8"/>
    </row>
    <row r="44" spans="1:26" x14ac:dyDescent="0.3">
      <c r="A44" s="9"/>
      <c r="B44" s="9"/>
      <c r="C44" s="9"/>
      <c r="D44" s="3"/>
      <c r="E44" s="3"/>
      <c r="F44" s="8"/>
      <c r="G44" s="3"/>
      <c r="H44" s="3"/>
      <c r="I44" s="3"/>
      <c r="J44" s="8"/>
      <c r="K44" s="3"/>
      <c r="L44" s="3"/>
      <c r="M44" s="3"/>
      <c r="N44" s="8"/>
      <c r="P44" s="3"/>
      <c r="Q44" s="3"/>
      <c r="R44" s="8"/>
      <c r="S44" s="3"/>
      <c r="T44" s="3"/>
      <c r="U44" s="3"/>
      <c r="V44" s="8"/>
      <c r="W44" s="3"/>
      <c r="X44" s="3"/>
      <c r="Y44" s="3"/>
      <c r="Z44" s="8"/>
    </row>
    <row r="45" spans="1:26" s="23" customFormat="1" ht="15" thickBot="1" x14ac:dyDescent="0.35">
      <c r="A45" s="10"/>
      <c r="B45" s="25" t="s">
        <v>293</v>
      </c>
      <c r="C45" s="25"/>
      <c r="D45" s="36">
        <f>SUM(D42:D44)</f>
        <v>-58.03</v>
      </c>
      <c r="E45" s="13"/>
      <c r="F45" s="33">
        <f>IF(D$12=0,0,D45/D$12)</f>
        <v>0</v>
      </c>
      <c r="G45" s="13"/>
      <c r="H45" s="36">
        <f>SUM(H42:H44)</f>
        <v>-196.03</v>
      </c>
      <c r="I45" s="13"/>
      <c r="J45" s="33">
        <f>IF(H$12=0,0,H45/H$12)</f>
        <v>0</v>
      </c>
      <c r="K45" s="16"/>
      <c r="L45" s="36">
        <f>+D45-H45</f>
        <v>138</v>
      </c>
      <c r="M45" s="16"/>
      <c r="N45" s="33">
        <f>IF(H45=0,0,L45/H45)</f>
        <v>-0.70397388154874252</v>
      </c>
      <c r="O45" s="26"/>
      <c r="P45" s="36">
        <f>SUM(P42:P44)</f>
        <v>-455.24</v>
      </c>
      <c r="Q45" s="13"/>
      <c r="R45" s="33">
        <f>IF(P$12=0,0,P45/P$12)</f>
        <v>0</v>
      </c>
      <c r="S45" s="13"/>
      <c r="T45" s="36">
        <f>SUM(T42:T44)</f>
        <v>-4761.7299999999996</v>
      </c>
      <c r="U45" s="13"/>
      <c r="V45" s="33">
        <f>IF(T$12=0,0,T45/T$12)</f>
        <v>0</v>
      </c>
      <c r="W45" s="16"/>
      <c r="X45" s="36">
        <f>+P45-T45</f>
        <v>4306.49</v>
      </c>
      <c r="Y45" s="16"/>
      <c r="Z45" s="33">
        <f>IF(T45=0,0,X45/T45)</f>
        <v>-0.90439609133655208</v>
      </c>
    </row>
    <row r="46" spans="1:26" ht="15" thickTop="1" x14ac:dyDescent="0.3">
      <c r="A46" s="9"/>
      <c r="C46" s="9"/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  <row r="47" spans="1:26" x14ac:dyDescent="0.3">
      <c r="A47" s="9"/>
      <c r="B47" s="52">
        <v>44543.765594675926</v>
      </c>
      <c r="D47" s="17"/>
      <c r="E47" s="17"/>
      <c r="G47" s="17"/>
      <c r="H47" s="17"/>
      <c r="I47" s="17"/>
      <c r="J47" s="42"/>
      <c r="K47" s="17"/>
      <c r="L47" s="17"/>
      <c r="M47" s="17"/>
      <c r="P47" s="17"/>
      <c r="Q47" s="17"/>
      <c r="R47" s="42"/>
      <c r="S47" s="17"/>
      <c r="T47" s="17"/>
      <c r="U47" s="17"/>
      <c r="V47" s="42"/>
      <c r="W47" s="17"/>
      <c r="X47" s="17"/>
    </row>
    <row r="48" spans="1:26" x14ac:dyDescent="0.3">
      <c r="A48" s="9"/>
      <c r="B48" s="59" t="s">
        <v>56</v>
      </c>
      <c r="D48" s="17"/>
      <c r="E48" s="17"/>
      <c r="G48" s="17"/>
      <c r="H48" s="17"/>
      <c r="I48" s="17"/>
      <c r="J48" s="42"/>
      <c r="K48" s="17"/>
      <c r="L48" s="17"/>
      <c r="M48" s="17"/>
      <c r="P48" s="17"/>
      <c r="Q48" s="17"/>
      <c r="R48" s="42"/>
      <c r="S48" s="17"/>
      <c r="T48" s="17"/>
      <c r="U48" s="17"/>
      <c r="V48" s="42"/>
      <c r="W48" s="17"/>
      <c r="X48" s="17"/>
    </row>
    <row r="49" spans="1:24" x14ac:dyDescent="0.3">
      <c r="A49" s="9"/>
      <c r="B49" s="61"/>
      <c r="D49" s="17"/>
      <c r="E49" s="17"/>
      <c r="G49" s="17"/>
      <c r="H49" s="17"/>
      <c r="I49" s="17"/>
      <c r="J49" s="42"/>
      <c r="K49" s="17"/>
      <c r="L49" s="17"/>
      <c r="M49" s="17"/>
      <c r="P49" s="17"/>
      <c r="Q49" s="17"/>
      <c r="R49" s="42"/>
      <c r="S49" s="17"/>
      <c r="T49" s="17"/>
      <c r="U49" s="17"/>
      <c r="V49" s="42"/>
      <c r="W49" s="17"/>
      <c r="X49" s="17"/>
    </row>
    <row r="50" spans="1:24" x14ac:dyDescent="0.3">
      <c r="D50" s="17"/>
      <c r="E50" s="17"/>
      <c r="G50" s="17"/>
      <c r="H50" s="17"/>
      <c r="I50" s="17"/>
      <c r="J50" s="42"/>
      <c r="K50" s="17"/>
      <c r="L50" s="17"/>
      <c r="M50" s="17"/>
      <c r="P50" s="17"/>
      <c r="Q50" s="17"/>
      <c r="R50" s="42"/>
      <c r="S50" s="17"/>
      <c r="T50" s="17"/>
      <c r="U50" s="17"/>
      <c r="V50" s="42"/>
      <c r="W50" s="17"/>
      <c r="X50" s="17"/>
    </row>
  </sheetData>
  <pageMargins left="0.25" right="0.25" top="0.75" bottom="0.75" header="0.3" footer="0.3"/>
  <pageSetup scale="55" fitToWidth="2" orientation="landscape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92D050"/>
    <outlinePr summaryBelow="0" summaryRight="0"/>
  </sheetPr>
  <dimension ref="A2:Z4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","414", " - ", "Starbucks UDP")</f>
        <v>Department 414 - Starbucks UDP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0</v>
      </c>
      <c r="M12" s="4"/>
      <c r="N12" s="12">
        <f t="shared" ref="N12:N13" si="1">IF(H12=0,0,L12/H12)</f>
        <v>0</v>
      </c>
      <c r="O12" s="10"/>
      <c r="P12" s="4">
        <f>SUM(OSRRefP13x_0)</f>
        <v>0</v>
      </c>
      <c r="Q12" s="4"/>
      <c r="R12" s="12"/>
      <c r="S12" s="4"/>
      <c r="T12" s="4">
        <f>SUM(OSRRefT13x_0)</f>
        <v>974.91</v>
      </c>
      <c r="U12" s="4"/>
      <c r="V12" s="12"/>
      <c r="W12" s="4"/>
      <c r="X12" s="4">
        <f t="shared" ref="X12:X13" si="2">+P12-T12</f>
        <v>-974.91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"4058", " - ", "TAXABLE SALES-FOOD")</f>
        <v xml:space="preserve">          4058 - TAXABLE SALES-FOOD</v>
      </c>
      <c r="C13" s="11"/>
      <c r="D13" s="2">
        <f>0</f>
        <v>0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0</v>
      </c>
      <c r="M13" s="2"/>
      <c r="N13" s="19">
        <f t="shared" si="1"/>
        <v>0</v>
      </c>
      <c r="O13" s="11"/>
      <c r="P13" s="2">
        <f>0</f>
        <v>0</v>
      </c>
      <c r="Q13" s="2"/>
      <c r="R13" s="19"/>
      <c r="S13" s="2"/>
      <c r="T13" s="2">
        <f>--974.91</f>
        <v>974.91</v>
      </c>
      <c r="U13" s="2"/>
      <c r="V13" s="19"/>
      <c r="W13" s="2"/>
      <c r="X13" s="2">
        <f t="shared" si="2"/>
        <v>-974.91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0</v>
      </c>
      <c r="E17" s="13"/>
      <c r="F17" s="22">
        <f>IF(D$12=0,0,D17/D$12)</f>
        <v>0</v>
      </c>
      <c r="G17" s="13"/>
      <c r="H17" s="21">
        <f>H12-H15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P12-P15</f>
        <v>0</v>
      </c>
      <c r="Q17" s="13"/>
      <c r="R17" s="22">
        <f>IF(P$12=0,0,P17/P$12)</f>
        <v>0</v>
      </c>
      <c r="S17" s="13"/>
      <c r="T17" s="21">
        <f>T12-T15</f>
        <v>974.91</v>
      </c>
      <c r="U17" s="13"/>
      <c r="V17" s="22">
        <f>IF(T$12=0,0,T17/T$12)</f>
        <v>1</v>
      </c>
      <c r="W17" s="16"/>
      <c r="X17" s="21">
        <f>+P17-T17</f>
        <v>-974.91</v>
      </c>
      <c r="Y17" s="16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118.91</v>
      </c>
      <c r="E19" s="20"/>
      <c r="F19" s="32">
        <f t="shared" ref="F19:F30" si="4">IF(D$12=0,0,D19/D$12)</f>
        <v>0</v>
      </c>
      <c r="G19" s="20"/>
      <c r="H19" s="20">
        <f>SUM(OSRRefH22x_0)</f>
        <v>1825.26</v>
      </c>
      <c r="I19" s="20"/>
      <c r="J19" s="32">
        <f t="shared" ref="J19:J30" si="5">IF(H$12=0,0,H19/H$12)</f>
        <v>0</v>
      </c>
      <c r="K19" s="4"/>
      <c r="L19" s="20">
        <f t="shared" ref="L19:L30" si="6">+D19-H19</f>
        <v>-1706.35</v>
      </c>
      <c r="M19" s="4"/>
      <c r="N19" s="32">
        <f t="shared" ref="N19:N30" si="7">IF(H19=0,0,L19/H19)</f>
        <v>-0.9348531168162344</v>
      </c>
      <c r="O19" s="10"/>
      <c r="P19" s="20">
        <f>SUM(OSRRefP22x_0)</f>
        <v>248.07999999999998</v>
      </c>
      <c r="Q19" s="20"/>
      <c r="R19" s="32">
        <f t="shared" ref="R19:R30" si="8">IF(P$12=0,0,P19/P$12)</f>
        <v>0</v>
      </c>
      <c r="S19" s="20"/>
      <c r="T19" s="20">
        <f>SUM(OSRRefT22x_0)</f>
        <v>10448.06</v>
      </c>
      <c r="U19" s="20"/>
      <c r="V19" s="32">
        <f t="shared" ref="V19:V30" si="9">IF(T$12=0,0,T19/T$12)</f>
        <v>10.716948231118769</v>
      </c>
      <c r="W19" s="4"/>
      <c r="X19" s="20">
        <f t="shared" ref="X19:X30" si="10">+P19-T19</f>
        <v>-10199.98</v>
      </c>
      <c r="Y19" s="4"/>
      <c r="Z19" s="32">
        <f t="shared" ref="Z19:Z30" si="11">IF(T19=0,0,X19/T19)</f>
        <v>-0.97625587908185829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0</v>
      </c>
      <c r="I20" s="1"/>
      <c r="J20" s="5">
        <f t="shared" si="5"/>
        <v>0</v>
      </c>
      <c r="K20" s="1"/>
      <c r="L20" s="1">
        <f t="shared" si="6"/>
        <v>0</v>
      </c>
      <c r="M20" s="1"/>
      <c r="N20" s="5">
        <f t="shared" si="7"/>
        <v>0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702.51</v>
      </c>
      <c r="U20" s="1"/>
      <c r="V20" s="5">
        <f t="shared" si="9"/>
        <v>0.72058959288549718</v>
      </c>
      <c r="W20" s="1"/>
      <c r="X20" s="1">
        <f t="shared" si="10"/>
        <v>-702.51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1" t="str">
        <f>CONCATENATE("          ", "6113", " - ", "GROUP INSURANCE")</f>
        <v xml:space="preserve">          6113 - GROUP INSURANCE</v>
      </c>
      <c r="C21" s="11"/>
      <c r="D21" s="6"/>
      <c r="E21" s="2"/>
      <c r="F21" s="7">
        <f t="shared" si="4"/>
        <v>0</v>
      </c>
      <c r="G21" s="2"/>
      <c r="H21" s="6"/>
      <c r="I21" s="2"/>
      <c r="J21" s="7">
        <f t="shared" si="5"/>
        <v>0</v>
      </c>
      <c r="K21" s="2"/>
      <c r="L21" s="6">
        <f t="shared" si="6"/>
        <v>0</v>
      </c>
      <c r="M21" s="2"/>
      <c r="N21" s="7">
        <f t="shared" si="7"/>
        <v>0</v>
      </c>
      <c r="O21" s="11"/>
      <c r="P21" s="6"/>
      <c r="Q21" s="2"/>
      <c r="R21" s="7">
        <f t="shared" si="8"/>
        <v>0</v>
      </c>
      <c r="S21" s="2"/>
      <c r="T21" s="6">
        <v>702.51</v>
      </c>
      <c r="U21" s="2"/>
      <c r="V21" s="7">
        <f t="shared" si="9"/>
        <v>0.72058959288549718</v>
      </c>
      <c r="W21" s="2"/>
      <c r="X21" s="6">
        <f t="shared" si="10"/>
        <v>-702.51</v>
      </c>
      <c r="Y21" s="2"/>
      <c r="Z21" s="7">
        <f t="shared" si="11"/>
        <v>-1</v>
      </c>
    </row>
    <row r="22" spans="1:26" s="29" customFormat="1" outlineLevel="1" collapsed="1" x14ac:dyDescent="0.3">
      <c r="A22" s="28"/>
      <c r="B22" s="14" t="str">
        <f>CONCATENATE("     ","Depreciation                                      ")</f>
        <v xml:space="preserve">     Depreciation                                      </v>
      </c>
      <c r="C22" s="14"/>
      <c r="D22" s="1">
        <f>SUM(OSRRefD22_1x_0)</f>
        <v>0</v>
      </c>
      <c r="E22" s="1"/>
      <c r="F22" s="5">
        <f t="shared" si="4"/>
        <v>0</v>
      </c>
      <c r="G22" s="1"/>
      <c r="H22" s="1">
        <f>SUM(OSRRefH22_1x_0)</f>
        <v>1825.26</v>
      </c>
      <c r="I22" s="1"/>
      <c r="J22" s="5">
        <f t="shared" si="5"/>
        <v>0</v>
      </c>
      <c r="K22" s="1"/>
      <c r="L22" s="1">
        <f t="shared" si="6"/>
        <v>-1825.26</v>
      </c>
      <c r="M22" s="1"/>
      <c r="N22" s="5">
        <f t="shared" si="7"/>
        <v>-1</v>
      </c>
      <c r="O22" s="14"/>
      <c r="P22" s="1">
        <f>SUM(OSRRefP22_1x_0)</f>
        <v>0</v>
      </c>
      <c r="Q22" s="1"/>
      <c r="R22" s="5">
        <f t="shared" si="8"/>
        <v>0</v>
      </c>
      <c r="S22" s="1"/>
      <c r="T22" s="1">
        <f>SUM(OSRRefT22_1x_0)</f>
        <v>9273.09</v>
      </c>
      <c r="U22" s="1"/>
      <c r="V22" s="5">
        <f t="shared" si="9"/>
        <v>9.5117395451887869</v>
      </c>
      <c r="W22" s="1"/>
      <c r="X22" s="1">
        <f t="shared" si="10"/>
        <v>-9273.09</v>
      </c>
      <c r="Y22" s="1"/>
      <c r="Z22" s="5">
        <f t="shared" si="11"/>
        <v>-1</v>
      </c>
    </row>
    <row r="23" spans="1:26" s="24" customFormat="1" hidden="1" outlineLevel="2" x14ac:dyDescent="0.3">
      <c r="A23" s="27"/>
      <c r="B23" s="11" t="str">
        <f>CONCATENATE("          ", "6322", " - ", "EQUIPMENT DEPRECIATION EXPENSE")</f>
        <v xml:space="preserve">          6322 - EQUIPMENT DEPRECIATION EXPENSE</v>
      </c>
      <c r="C23" s="11"/>
      <c r="D23" s="6"/>
      <c r="E23" s="2"/>
      <c r="F23" s="7">
        <f t="shared" si="4"/>
        <v>0</v>
      </c>
      <c r="G23" s="2"/>
      <c r="H23" s="6">
        <v>1825.26</v>
      </c>
      <c r="I23" s="2"/>
      <c r="J23" s="7">
        <f t="shared" si="5"/>
        <v>0</v>
      </c>
      <c r="K23" s="2"/>
      <c r="L23" s="6">
        <f t="shared" si="6"/>
        <v>-1825.26</v>
      </c>
      <c r="M23" s="2"/>
      <c r="N23" s="7">
        <f t="shared" si="7"/>
        <v>-1</v>
      </c>
      <c r="O23" s="11"/>
      <c r="P23" s="6"/>
      <c r="Q23" s="2"/>
      <c r="R23" s="7">
        <f t="shared" si="8"/>
        <v>0</v>
      </c>
      <c r="S23" s="2"/>
      <c r="T23" s="6">
        <v>9273.09</v>
      </c>
      <c r="U23" s="2"/>
      <c r="V23" s="7">
        <f t="shared" si="9"/>
        <v>9.5117395451887869</v>
      </c>
      <c r="W23" s="2"/>
      <c r="X23" s="6">
        <f t="shared" si="10"/>
        <v>-9273.09</v>
      </c>
      <c r="Y23" s="2"/>
      <c r="Z23" s="7">
        <f t="shared" si="11"/>
        <v>-1</v>
      </c>
    </row>
    <row r="24" spans="1:26" s="29" customFormat="1" outlineLevel="1" collapsed="1" x14ac:dyDescent="0.3">
      <c r="A24" s="28"/>
      <c r="B24" s="14" t="str">
        <f>CONCATENATE("     ","Equipment Rental                                  ")</f>
        <v xml:space="preserve">     Equipment Rental                                  </v>
      </c>
      <c r="C24" s="14"/>
      <c r="D24" s="1">
        <f>SUM(OSRRefD22_2x_0)</f>
        <v>118.91</v>
      </c>
      <c r="E24" s="1"/>
      <c r="F24" s="5">
        <f t="shared" si="4"/>
        <v>0</v>
      </c>
      <c r="G24" s="1"/>
      <c r="H24" s="1">
        <f>SUM(OSRRefH22_2x_0)</f>
        <v>0</v>
      </c>
      <c r="I24" s="1"/>
      <c r="J24" s="5">
        <f t="shared" si="5"/>
        <v>0</v>
      </c>
      <c r="K24" s="1"/>
      <c r="L24" s="1">
        <f t="shared" si="6"/>
        <v>118.91</v>
      </c>
      <c r="M24" s="1"/>
      <c r="N24" s="5">
        <f t="shared" si="7"/>
        <v>0</v>
      </c>
      <c r="O24" s="14"/>
      <c r="P24" s="1">
        <f>SUM(OSRRefP22_2x_0)</f>
        <v>118.91</v>
      </c>
      <c r="Q24" s="1"/>
      <c r="R24" s="5">
        <f t="shared" si="8"/>
        <v>0</v>
      </c>
      <c r="S24" s="1"/>
      <c r="T24" s="1">
        <f>SUM(OSRRefT22_2x_0)</f>
        <v>96.3</v>
      </c>
      <c r="U24" s="1"/>
      <c r="V24" s="5">
        <f t="shared" si="9"/>
        <v>9.8778348770655749E-2</v>
      </c>
      <c r="W24" s="1"/>
      <c r="X24" s="1">
        <f t="shared" si="10"/>
        <v>22.61</v>
      </c>
      <c r="Y24" s="1"/>
      <c r="Z24" s="5">
        <f t="shared" si="11"/>
        <v>0.2347871235721703</v>
      </c>
    </row>
    <row r="25" spans="1:26" s="24" customFormat="1" hidden="1" outlineLevel="2" x14ac:dyDescent="0.3">
      <c r="A25" s="27"/>
      <c r="B25" s="11" t="str">
        <f>CONCATENATE("          ", "6351", " - ", "EQUIPMENT RENTAL")</f>
        <v xml:space="preserve">          6351 - EQUIPMENT RENTAL</v>
      </c>
      <c r="C25" s="11"/>
      <c r="D25" s="6">
        <v>118.91</v>
      </c>
      <c r="E25" s="2"/>
      <c r="F25" s="7">
        <f t="shared" si="4"/>
        <v>0</v>
      </c>
      <c r="G25" s="2"/>
      <c r="H25" s="6"/>
      <c r="I25" s="2"/>
      <c r="J25" s="7">
        <f t="shared" si="5"/>
        <v>0</v>
      </c>
      <c r="K25" s="2"/>
      <c r="L25" s="6">
        <f t="shared" si="6"/>
        <v>118.91</v>
      </c>
      <c r="M25" s="2"/>
      <c r="N25" s="7">
        <f t="shared" si="7"/>
        <v>0</v>
      </c>
      <c r="O25" s="11"/>
      <c r="P25" s="6">
        <v>118.91</v>
      </c>
      <c r="Q25" s="2"/>
      <c r="R25" s="7">
        <f t="shared" si="8"/>
        <v>0</v>
      </c>
      <c r="S25" s="2"/>
      <c r="T25" s="6">
        <v>96.3</v>
      </c>
      <c r="U25" s="2"/>
      <c r="V25" s="7">
        <f t="shared" si="9"/>
        <v>9.8778348770655749E-2</v>
      </c>
      <c r="W25" s="2"/>
      <c r="X25" s="6">
        <f t="shared" si="10"/>
        <v>22.61</v>
      </c>
      <c r="Y25" s="2"/>
      <c r="Z25" s="7">
        <f t="shared" si="11"/>
        <v>0.2347871235721703</v>
      </c>
    </row>
    <row r="26" spans="1:26" s="29" customFormat="1" outlineLevel="1" collapsed="1" x14ac:dyDescent="0.3">
      <c r="A26" s="28"/>
      <c r="B26" s="14" t="str">
        <f>CONCATENATE("     ","General                                           ")</f>
        <v xml:space="preserve">     General                                           </v>
      </c>
      <c r="C26" s="14"/>
      <c r="D26" s="1">
        <f>SUM(OSRRefD22_3x_0)</f>
        <v>0</v>
      </c>
      <c r="E26" s="1"/>
      <c r="F26" s="5">
        <f t="shared" si="4"/>
        <v>0</v>
      </c>
      <c r="G26" s="1"/>
      <c r="H26" s="1">
        <f>SUM(OSRRefH22_3x_0)</f>
        <v>0</v>
      </c>
      <c r="I26" s="1"/>
      <c r="J26" s="5">
        <f t="shared" si="5"/>
        <v>0</v>
      </c>
      <c r="K26" s="1"/>
      <c r="L26" s="1">
        <f t="shared" si="6"/>
        <v>0</v>
      </c>
      <c r="M26" s="1"/>
      <c r="N26" s="5">
        <f t="shared" si="7"/>
        <v>0</v>
      </c>
      <c r="O26" s="14"/>
      <c r="P26" s="1">
        <f>SUM(OSRRefP22_3x_0)</f>
        <v>0</v>
      </c>
      <c r="Q26" s="1"/>
      <c r="R26" s="5">
        <f t="shared" si="8"/>
        <v>0</v>
      </c>
      <c r="S26" s="1"/>
      <c r="T26" s="1">
        <f>SUM(OSRRefT22_3x_0)</f>
        <v>7.28</v>
      </c>
      <c r="U26" s="1"/>
      <c r="V26" s="5">
        <f t="shared" si="9"/>
        <v>7.467355961063073E-3</v>
      </c>
      <c r="W26" s="1"/>
      <c r="X26" s="1">
        <f t="shared" si="10"/>
        <v>-7.28</v>
      </c>
      <c r="Y26" s="1"/>
      <c r="Z26" s="5">
        <f t="shared" si="11"/>
        <v>-1</v>
      </c>
    </row>
    <row r="27" spans="1:26" s="24" customFormat="1" hidden="1" outlineLevel="2" x14ac:dyDescent="0.3">
      <c r="A27" s="27"/>
      <c r="B27" s="11" t="str">
        <f>CONCATENATE("          ", "6279", " - ", "GENERAL EXPENSE")</f>
        <v xml:space="preserve">          6279 - GENERAL EXPENSE</v>
      </c>
      <c r="C27" s="11"/>
      <c r="D27" s="6"/>
      <c r="E27" s="2"/>
      <c r="F27" s="7">
        <f t="shared" si="4"/>
        <v>0</v>
      </c>
      <c r="G27" s="2"/>
      <c r="H27" s="6"/>
      <c r="I27" s="2"/>
      <c r="J27" s="7">
        <f t="shared" si="5"/>
        <v>0</v>
      </c>
      <c r="K27" s="2"/>
      <c r="L27" s="6">
        <f t="shared" si="6"/>
        <v>0</v>
      </c>
      <c r="M27" s="2"/>
      <c r="N27" s="7">
        <f t="shared" si="7"/>
        <v>0</v>
      </c>
      <c r="O27" s="11"/>
      <c r="P27" s="6"/>
      <c r="Q27" s="2"/>
      <c r="R27" s="7">
        <f t="shared" si="8"/>
        <v>0</v>
      </c>
      <c r="S27" s="2"/>
      <c r="T27" s="6">
        <v>7.28</v>
      </c>
      <c r="U27" s="2"/>
      <c r="V27" s="7">
        <f t="shared" si="9"/>
        <v>7.467355961063073E-3</v>
      </c>
      <c r="W27" s="2"/>
      <c r="X27" s="6">
        <f t="shared" si="10"/>
        <v>-7.28</v>
      </c>
      <c r="Y27" s="2"/>
      <c r="Z27" s="7">
        <f t="shared" si="11"/>
        <v>-1</v>
      </c>
    </row>
    <row r="28" spans="1:26" s="29" customFormat="1" outlineLevel="1" collapsed="1" x14ac:dyDescent="0.3">
      <c r="A28" s="28"/>
      <c r="B28" s="14" t="str">
        <f>CONCATENATE("     ","Repair and Maintenance                            ")</f>
        <v xml:space="preserve">     Repair and Maintenance                            </v>
      </c>
      <c r="C28" s="14"/>
      <c r="D28" s="1">
        <f>SUM(OSRRefD22_4x_0)</f>
        <v>0</v>
      </c>
      <c r="E28" s="1"/>
      <c r="F28" s="5">
        <f t="shared" si="4"/>
        <v>0</v>
      </c>
      <c r="G28" s="1"/>
      <c r="H28" s="1">
        <f>SUM(OSRRefH22_4x_0)</f>
        <v>0</v>
      </c>
      <c r="I28" s="1"/>
      <c r="J28" s="5">
        <f t="shared" si="5"/>
        <v>0</v>
      </c>
      <c r="K28" s="1"/>
      <c r="L28" s="1">
        <f t="shared" si="6"/>
        <v>0</v>
      </c>
      <c r="M28" s="1"/>
      <c r="N28" s="5">
        <f t="shared" si="7"/>
        <v>0</v>
      </c>
      <c r="O28" s="14"/>
      <c r="P28" s="1">
        <f>SUM(OSRRefP22_4x_0)</f>
        <v>129.16999999999999</v>
      </c>
      <c r="Q28" s="1"/>
      <c r="R28" s="5">
        <f t="shared" si="8"/>
        <v>0</v>
      </c>
      <c r="S28" s="1"/>
      <c r="T28" s="1">
        <f>SUM(OSRRefT22_4x_0)</f>
        <v>368.88</v>
      </c>
      <c r="U28" s="1"/>
      <c r="V28" s="5">
        <f t="shared" si="9"/>
        <v>0.37837338831276734</v>
      </c>
      <c r="W28" s="1"/>
      <c r="X28" s="1">
        <f t="shared" si="10"/>
        <v>-239.71</v>
      </c>
      <c r="Y28" s="1"/>
      <c r="Z28" s="5">
        <f t="shared" si="11"/>
        <v>-0.64983192366081111</v>
      </c>
    </row>
    <row r="29" spans="1:26" s="24" customFormat="1" hidden="1" outlineLevel="2" x14ac:dyDescent="0.3">
      <c r="A29" s="27"/>
      <c r="B29" s="11" t="str">
        <f>CONCATENATE("          ", "6373", " - ", "MAINTENANCE CONTRACTS")</f>
        <v xml:space="preserve">          6373 - MAINTENANCE CONTRACTS</v>
      </c>
      <c r="C29" s="11"/>
      <c r="D29" s="6"/>
      <c r="E29" s="2"/>
      <c r="F29" s="7">
        <f t="shared" si="4"/>
        <v>0</v>
      </c>
      <c r="G29" s="2"/>
      <c r="H29" s="6"/>
      <c r="I29" s="2"/>
      <c r="J29" s="7">
        <f t="shared" si="5"/>
        <v>0</v>
      </c>
      <c r="K29" s="2"/>
      <c r="L29" s="6">
        <f t="shared" si="6"/>
        <v>0</v>
      </c>
      <c r="M29" s="2"/>
      <c r="N29" s="7">
        <f t="shared" si="7"/>
        <v>0</v>
      </c>
      <c r="O29" s="11"/>
      <c r="P29" s="6">
        <v>129.16999999999999</v>
      </c>
      <c r="Q29" s="2"/>
      <c r="R29" s="7">
        <f t="shared" si="8"/>
        <v>0</v>
      </c>
      <c r="S29" s="2"/>
      <c r="T29" s="6">
        <v>168.88</v>
      </c>
      <c r="U29" s="2"/>
      <c r="V29" s="7">
        <f t="shared" si="9"/>
        <v>0.17322624652532029</v>
      </c>
      <c r="W29" s="2"/>
      <c r="X29" s="6">
        <f t="shared" si="10"/>
        <v>-39.710000000000008</v>
      </c>
      <c r="Y29" s="2"/>
      <c r="Z29" s="7">
        <f t="shared" si="11"/>
        <v>-0.23513737565135012</v>
      </c>
    </row>
    <row r="30" spans="1:26" s="24" customFormat="1" hidden="1" outlineLevel="2" x14ac:dyDescent="0.3">
      <c r="A30" s="27"/>
      <c r="B30" s="11" t="str">
        <f>CONCATENATE("          ", "6375", " - ", "OUTSIDE REPAIRS &amp; MAINTENANCE")</f>
        <v xml:space="preserve">          6375 - OUTSIDE REPAIRS &amp; MAINTENANCE</v>
      </c>
      <c r="C30" s="11"/>
      <c r="D30" s="6"/>
      <c r="E30" s="2"/>
      <c r="F30" s="7">
        <f t="shared" si="4"/>
        <v>0</v>
      </c>
      <c r="G30" s="2"/>
      <c r="H30" s="6"/>
      <c r="I30" s="2"/>
      <c r="J30" s="7">
        <f t="shared" si="5"/>
        <v>0</v>
      </c>
      <c r="K30" s="2"/>
      <c r="L30" s="6">
        <f t="shared" si="6"/>
        <v>0</v>
      </c>
      <c r="M30" s="2"/>
      <c r="N30" s="7">
        <f t="shared" si="7"/>
        <v>0</v>
      </c>
      <c r="O30" s="11"/>
      <c r="P30" s="6"/>
      <c r="Q30" s="2"/>
      <c r="R30" s="7">
        <f t="shared" si="8"/>
        <v>0</v>
      </c>
      <c r="S30" s="2"/>
      <c r="T30" s="6">
        <v>200</v>
      </c>
      <c r="U30" s="2"/>
      <c r="V30" s="7">
        <f t="shared" si="9"/>
        <v>0.20514714178744706</v>
      </c>
      <c r="W30" s="2"/>
      <c r="X30" s="6">
        <f t="shared" si="10"/>
        <v>-200</v>
      </c>
      <c r="Y30" s="2"/>
      <c r="Z30" s="7">
        <f t="shared" si="11"/>
        <v>-1</v>
      </c>
    </row>
    <row r="31" spans="1:26" s="62" customFormat="1" x14ac:dyDescent="0.3">
      <c r="A31" s="37"/>
      <c r="B31" s="37"/>
      <c r="C31" s="37"/>
      <c r="D31" s="1"/>
      <c r="E31" s="1"/>
      <c r="F31" s="5"/>
      <c r="G31" s="1"/>
      <c r="H31" s="1"/>
      <c r="I31" s="1"/>
      <c r="J31" s="5"/>
      <c r="K31" s="1"/>
      <c r="L31" s="1"/>
      <c r="M31" s="1"/>
      <c r="N31" s="5"/>
      <c r="O31" s="37"/>
      <c r="P31" s="1"/>
      <c r="Q31" s="1"/>
      <c r="R31" s="5"/>
      <c r="S31" s="1"/>
      <c r="T31" s="1"/>
      <c r="U31" s="1"/>
      <c r="V31" s="5"/>
      <c r="W31" s="1"/>
      <c r="X31" s="1"/>
      <c r="Y31" s="1"/>
      <c r="Z31" s="5"/>
    </row>
    <row r="32" spans="1:26" s="23" customFormat="1" x14ac:dyDescent="0.3">
      <c r="A32" s="10"/>
      <c r="B32" s="26" t="s">
        <v>292</v>
      </c>
      <c r="C32" s="10"/>
      <c r="D32" s="4">
        <f>SUM(0)</f>
        <v>0</v>
      </c>
      <c r="E32" s="4"/>
      <c r="F32" s="12">
        <f>IF(D$12=0,0,D32/D$12)</f>
        <v>0</v>
      </c>
      <c r="G32" s="4"/>
      <c r="H32" s="4">
        <f>SUM(0)</f>
        <v>0</v>
      </c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>
        <f>SUM(0)</f>
        <v>0</v>
      </c>
      <c r="Q32" s="4"/>
      <c r="R32" s="12">
        <f>IF(P$12=0,0,P32/P$12)</f>
        <v>0</v>
      </c>
      <c r="S32" s="4"/>
      <c r="T32" s="4">
        <f>SUM(0)</f>
        <v>0</v>
      </c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10"/>
      <c r="B34" s="25" t="s">
        <v>276</v>
      </c>
      <c r="C34" s="25"/>
      <c r="D34" s="21">
        <f>+D17-D19+D32</f>
        <v>-118.91</v>
      </c>
      <c r="E34" s="13"/>
      <c r="F34" s="22">
        <f>IF(D$12=0,0,D34/D$12)</f>
        <v>0</v>
      </c>
      <c r="G34" s="13"/>
      <c r="H34" s="21">
        <f>+H17-H19+H32</f>
        <v>-1825.26</v>
      </c>
      <c r="I34" s="13"/>
      <c r="J34" s="22">
        <f>IF(H$12=0,0,H34/H$12)</f>
        <v>0</v>
      </c>
      <c r="K34" s="16"/>
      <c r="L34" s="21">
        <f>+D34-H34</f>
        <v>1706.35</v>
      </c>
      <c r="M34" s="16"/>
      <c r="N34" s="22">
        <f>IF(H34=0,0,L34/H34)</f>
        <v>-0.9348531168162344</v>
      </c>
      <c r="O34" s="26"/>
      <c r="P34" s="21">
        <f>+P17-P19+P32</f>
        <v>-248.07999999999998</v>
      </c>
      <c r="Q34" s="13"/>
      <c r="R34" s="22">
        <f>IF(P$12=0,0,P34/P$12)</f>
        <v>0</v>
      </c>
      <c r="S34" s="13"/>
      <c r="T34" s="21">
        <f>+T17-T19+T32</f>
        <v>-9473.15</v>
      </c>
      <c r="U34" s="13"/>
      <c r="V34" s="22">
        <f>IF(T$12=0,0,T34/T$12)</f>
        <v>-9.7169482311187707</v>
      </c>
      <c r="W34" s="16"/>
      <c r="X34" s="21">
        <f>+P34-T34</f>
        <v>9225.07</v>
      </c>
      <c r="Y34" s="16"/>
      <c r="Z34" s="22">
        <f>IF(T34=0,0,X34/T34)</f>
        <v>-0.97381230108253325</v>
      </c>
    </row>
    <row r="35" spans="1:26" x14ac:dyDescent="0.3">
      <c r="A35" s="9"/>
      <c r="B35" s="10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x14ac:dyDescent="0.3">
      <c r="A36" s="51"/>
      <c r="B36" s="10" t="s">
        <v>127</v>
      </c>
      <c r="C36" s="10"/>
      <c r="D36" s="4"/>
      <c r="E36" s="4"/>
      <c r="F36" s="12">
        <f>IF(D$12=0,0,D36/D$12)</f>
        <v>0</v>
      </c>
      <c r="G36" s="4"/>
      <c r="H36" s="4">
        <v>-56.28</v>
      </c>
      <c r="I36" s="4"/>
      <c r="J36" s="12">
        <f>IF(H$12=0,0,H36/H$12)</f>
        <v>0</v>
      </c>
      <c r="K36" s="4"/>
      <c r="L36" s="4">
        <f>+D36-H36</f>
        <v>56.28</v>
      </c>
      <c r="M36" s="4"/>
      <c r="N36" s="12">
        <f>IF(H36=0,0,L36/H36)</f>
        <v>-1</v>
      </c>
      <c r="O36" s="10"/>
      <c r="P36" s="4"/>
      <c r="Q36" s="4"/>
      <c r="R36" s="12">
        <f>IF(P$12=0,0,P36/P$12)</f>
        <v>0</v>
      </c>
      <c r="S36" s="4"/>
      <c r="T36" s="4">
        <v>154.91</v>
      </c>
      <c r="U36" s="4"/>
      <c r="V36" s="12">
        <f>IF(T$12=0,0,T36/T$12)</f>
        <v>0.15889671867146712</v>
      </c>
      <c r="W36" s="4"/>
      <c r="X36" s="4">
        <f>+P36-T36</f>
        <v>-154.91</v>
      </c>
      <c r="Y36" s="4"/>
      <c r="Z36" s="12">
        <f>IF(T36=0,0,X36/T36)</f>
        <v>-1</v>
      </c>
    </row>
    <row r="37" spans="1:26" x14ac:dyDescent="0.3">
      <c r="A37" s="9"/>
      <c r="B37" s="10"/>
      <c r="C37" s="10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O37" s="10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s="23" customFormat="1" ht="15" thickBot="1" x14ac:dyDescent="0.35">
      <c r="A38" s="10"/>
      <c r="B38" s="25" t="s">
        <v>125</v>
      </c>
      <c r="C38" s="25"/>
      <c r="D38" s="35">
        <f>+D34-D36</f>
        <v>-118.91</v>
      </c>
      <c r="E38" s="13"/>
      <c r="F38" s="31">
        <f>IF(D$12=0,0,D38/D$12)</f>
        <v>0</v>
      </c>
      <c r="G38" s="13"/>
      <c r="H38" s="35">
        <f>+H34-H36</f>
        <v>-1768.98</v>
      </c>
      <c r="I38" s="13"/>
      <c r="J38" s="31">
        <f>IF(H$12=0,0,H38/H$12)</f>
        <v>0</v>
      </c>
      <c r="K38" s="16"/>
      <c r="L38" s="35">
        <f>D38-H38</f>
        <v>1650.07</v>
      </c>
      <c r="M38" s="16"/>
      <c r="N38" s="31">
        <f>IF(H38=0,0,L38/H38)</f>
        <v>-0.93278047236260442</v>
      </c>
      <c r="O38" s="26"/>
      <c r="P38" s="35">
        <f>+P34-P36</f>
        <v>-248.07999999999998</v>
      </c>
      <c r="Q38" s="13"/>
      <c r="R38" s="31">
        <f>IF(P$12=0,0,P38/P$12)</f>
        <v>0</v>
      </c>
      <c r="S38" s="13"/>
      <c r="T38" s="35">
        <f>+T34-T36</f>
        <v>-9628.06</v>
      </c>
      <c r="U38" s="13"/>
      <c r="V38" s="31">
        <f>IF(T$12=0,0,T38/T$12)</f>
        <v>-9.8758449497902365</v>
      </c>
      <c r="W38" s="16"/>
      <c r="X38" s="35">
        <f>P38-T38</f>
        <v>9379.98</v>
      </c>
      <c r="Y38" s="16"/>
      <c r="Z38" s="31">
        <f>IF(T38=0,0,X38/T38)</f>
        <v>-0.97423364623818298</v>
      </c>
    </row>
    <row r="39" spans="1:26" ht="15" thickTop="1" x14ac:dyDescent="0.3">
      <c r="A39" s="9"/>
      <c r="B39" s="9"/>
      <c r="C39" s="9"/>
      <c r="D39" s="3"/>
      <c r="E39" s="3"/>
      <c r="F39" s="8"/>
      <c r="G39" s="3"/>
      <c r="H39" s="3"/>
      <c r="I39" s="3"/>
      <c r="J39" s="8"/>
      <c r="K39" s="3"/>
      <c r="L39" s="3"/>
      <c r="M39" s="3"/>
      <c r="N39" s="8"/>
      <c r="P39" s="3"/>
      <c r="Q39" s="3"/>
      <c r="R39" s="8"/>
      <c r="S39" s="3"/>
      <c r="T39" s="3"/>
      <c r="U39" s="3"/>
      <c r="V39" s="8"/>
      <c r="W39" s="3"/>
      <c r="X39" s="3"/>
      <c r="Y39" s="3"/>
      <c r="Z39" s="8"/>
    </row>
    <row r="40" spans="1:26" x14ac:dyDescent="0.3">
      <c r="A40" s="9"/>
      <c r="B40" s="9"/>
      <c r="C40" s="9"/>
      <c r="D40" s="3"/>
      <c r="E40" s="3"/>
      <c r="F40" s="8"/>
      <c r="G40" s="3"/>
      <c r="H40" s="3"/>
      <c r="I40" s="3"/>
      <c r="J40" s="8"/>
      <c r="K40" s="3"/>
      <c r="L40" s="3"/>
      <c r="M40" s="3"/>
      <c r="N40" s="8"/>
      <c r="P40" s="3"/>
      <c r="Q40" s="3"/>
      <c r="R40" s="8"/>
      <c r="S40" s="3"/>
      <c r="T40" s="3"/>
      <c r="U40" s="3"/>
      <c r="V40" s="8"/>
      <c r="W40" s="3"/>
      <c r="X40" s="3"/>
      <c r="Y40" s="3"/>
      <c r="Z40" s="8"/>
    </row>
    <row r="41" spans="1:26" s="23" customFormat="1" ht="15" thickBot="1" x14ac:dyDescent="0.35">
      <c r="A41" s="10"/>
      <c r="B41" s="25" t="s">
        <v>293</v>
      </c>
      <c r="C41" s="25"/>
      <c r="D41" s="36">
        <f>SUM(D38:D40)</f>
        <v>-118.91</v>
      </c>
      <c r="E41" s="13"/>
      <c r="F41" s="33">
        <f>IF(D$12=0,0,D41/D$12)</f>
        <v>0</v>
      </c>
      <c r="G41" s="13"/>
      <c r="H41" s="36">
        <f>SUM(H38:H40)</f>
        <v>-1768.98</v>
      </c>
      <c r="I41" s="13"/>
      <c r="J41" s="33">
        <f>IF(H$12=0,0,H41/H$12)</f>
        <v>0</v>
      </c>
      <c r="K41" s="16"/>
      <c r="L41" s="36">
        <f>+D41-H41</f>
        <v>1650.07</v>
      </c>
      <c r="M41" s="16"/>
      <c r="N41" s="33">
        <f>IF(H41=0,0,L41/H41)</f>
        <v>-0.93278047236260442</v>
      </c>
      <c r="O41" s="26"/>
      <c r="P41" s="36">
        <f>SUM(P38:P40)</f>
        <v>-248.07999999999998</v>
      </c>
      <c r="Q41" s="13"/>
      <c r="R41" s="33">
        <f>IF(P$12=0,0,P41/P$12)</f>
        <v>0</v>
      </c>
      <c r="S41" s="13"/>
      <c r="T41" s="36">
        <f>SUM(T38:T40)</f>
        <v>-9628.06</v>
      </c>
      <c r="U41" s="13"/>
      <c r="V41" s="33">
        <f>IF(T$12=0,0,T41/T$12)</f>
        <v>-9.8758449497902365</v>
      </c>
      <c r="W41" s="16"/>
      <c r="X41" s="36">
        <f>+P41-T41</f>
        <v>9379.98</v>
      </c>
      <c r="Y41" s="16"/>
      <c r="Z41" s="33">
        <f>IF(T41=0,0,X41/T41)</f>
        <v>-0.97423364623818298</v>
      </c>
    </row>
    <row r="42" spans="1:26" ht="15" thickTop="1" x14ac:dyDescent="0.3">
      <c r="A42" s="9"/>
      <c r="C42" s="9"/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52">
        <v>44543.765594675926</v>
      </c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A44" s="9"/>
      <c r="B44" s="59" t="s">
        <v>56</v>
      </c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  <row r="45" spans="1:26" x14ac:dyDescent="0.3">
      <c r="A45" s="9"/>
      <c r="B45" s="61"/>
      <c r="D45" s="17"/>
      <c r="E45" s="17"/>
      <c r="G45" s="17"/>
      <c r="H45" s="17"/>
      <c r="I45" s="17"/>
      <c r="J45" s="42"/>
      <c r="K45" s="17"/>
      <c r="L45" s="17"/>
      <c r="M45" s="17"/>
      <c r="P45" s="17"/>
      <c r="Q45" s="17"/>
      <c r="R45" s="42"/>
      <c r="S45" s="17"/>
      <c r="T45" s="17"/>
      <c r="U45" s="17"/>
      <c r="V45" s="42"/>
      <c r="W45" s="17"/>
      <c r="X45" s="17"/>
    </row>
    <row r="46" spans="1:26" x14ac:dyDescent="0.3">
      <c r="D46" s="17"/>
      <c r="E46" s="17"/>
      <c r="G46" s="17"/>
      <c r="H46" s="17"/>
      <c r="I46" s="17"/>
      <c r="J46" s="42"/>
      <c r="K46" s="17"/>
      <c r="L46" s="17"/>
      <c r="M46" s="17"/>
      <c r="P46" s="17"/>
      <c r="Q46" s="17"/>
      <c r="R46" s="42"/>
      <c r="S46" s="17"/>
      <c r="T46" s="17"/>
      <c r="U46" s="17"/>
      <c r="V46" s="42"/>
      <c r="W46" s="17"/>
      <c r="X46" s="17"/>
    </row>
  </sheetData>
  <pageMargins left="0.25" right="0.25" top="0.75" bottom="0.75" header="0.3" footer="0.3"/>
  <pageSetup scale="55" fitToWidth="2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","415", " - ", "Outpost")</f>
        <v>Department 415 - Outpost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54563.040000000001</v>
      </c>
      <c r="E12" s="4"/>
      <c r="F12" s="12"/>
      <c r="G12" s="4"/>
      <c r="H12" s="4">
        <f>SUM(OSRRefH13x_0)</f>
        <v>8657.7200000000012</v>
      </c>
      <c r="I12" s="4"/>
      <c r="J12" s="12"/>
      <c r="K12" s="4"/>
      <c r="L12" s="4">
        <f t="shared" ref="L12:L14" si="0">+D12-H12</f>
        <v>45905.32</v>
      </c>
      <c r="M12" s="4"/>
      <c r="N12" s="12">
        <f t="shared" ref="N12:N14" si="1">IF(H12=0,0,L12/H12)</f>
        <v>5.302241236722832</v>
      </c>
      <c r="O12" s="10"/>
      <c r="P12" s="4">
        <f>SUM(OSRRefP13x_0)</f>
        <v>263960.51</v>
      </c>
      <c r="Q12" s="4"/>
      <c r="R12" s="12"/>
      <c r="S12" s="4"/>
      <c r="T12" s="4">
        <f>SUM(OSRRefT13x_0)</f>
        <v>35343.919999999998</v>
      </c>
      <c r="U12" s="4"/>
      <c r="V12" s="12"/>
      <c r="W12" s="4"/>
      <c r="X12" s="4">
        <f t="shared" ref="X12:X14" si="2">+P12-T12</f>
        <v>228616.59000000003</v>
      </c>
      <c r="Y12" s="4"/>
      <c r="Z12" s="12">
        <f t="shared" ref="Z12:Z14" si="3">IF(T12=0,0,X12/T12)</f>
        <v>6.468342787104544</v>
      </c>
    </row>
    <row r="13" spans="1:26" s="24" customFormat="1" hidden="1" outlineLevel="1" x14ac:dyDescent="0.3">
      <c r="A13" s="44"/>
      <c r="B13" s="11" t="str">
        <f>CONCATENATE("          ", "4051", " - ", "TAXABLE SALES-FOOD")</f>
        <v xml:space="preserve">          4051 - TAXABLE SALES-FOOD</v>
      </c>
      <c r="C13" s="11"/>
      <c r="D13" s="2">
        <f>--20449.96</f>
        <v>20449.96</v>
      </c>
      <c r="E13" s="2"/>
      <c r="F13" s="19"/>
      <c r="G13" s="2"/>
      <c r="H13" s="2">
        <f>--4501.27</f>
        <v>4501.2700000000004</v>
      </c>
      <c r="I13" s="2"/>
      <c r="J13" s="19"/>
      <c r="K13" s="2"/>
      <c r="L13" s="2">
        <f t="shared" si="0"/>
        <v>15948.689999999999</v>
      </c>
      <c r="M13" s="2"/>
      <c r="N13" s="19">
        <f t="shared" si="1"/>
        <v>3.5431533767136822</v>
      </c>
      <c r="O13" s="11"/>
      <c r="P13" s="2">
        <f>--106852.02</f>
        <v>106852.02</v>
      </c>
      <c r="Q13" s="2"/>
      <c r="R13" s="19"/>
      <c r="S13" s="2"/>
      <c r="T13" s="2">
        <f>--17251.21</f>
        <v>17251.21</v>
      </c>
      <c r="U13" s="2"/>
      <c r="V13" s="19"/>
      <c r="W13" s="2"/>
      <c r="X13" s="2">
        <f t="shared" si="2"/>
        <v>89600.81</v>
      </c>
      <c r="Y13" s="2"/>
      <c r="Z13" s="19">
        <f t="shared" si="3"/>
        <v>5.1938855303483065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--34113.08</f>
        <v>34113.08</v>
      </c>
      <c r="E14" s="2"/>
      <c r="F14" s="19"/>
      <c r="G14" s="2"/>
      <c r="H14" s="2">
        <f>--4156.45</f>
        <v>4156.45</v>
      </c>
      <c r="I14" s="2"/>
      <c r="J14" s="19"/>
      <c r="K14" s="2"/>
      <c r="L14" s="2">
        <f t="shared" si="0"/>
        <v>29956.63</v>
      </c>
      <c r="M14" s="2"/>
      <c r="N14" s="19">
        <f t="shared" si="1"/>
        <v>7.2072634098810289</v>
      </c>
      <c r="O14" s="11"/>
      <c r="P14" s="2">
        <f>--157108.49</f>
        <v>157108.49</v>
      </c>
      <c r="Q14" s="2"/>
      <c r="R14" s="19"/>
      <c r="S14" s="2"/>
      <c r="T14" s="2">
        <f>--18092.71</f>
        <v>18092.71</v>
      </c>
      <c r="U14" s="2"/>
      <c r="V14" s="19"/>
      <c r="W14" s="2"/>
      <c r="X14" s="2">
        <f t="shared" si="2"/>
        <v>139015.78</v>
      </c>
      <c r="Y14" s="2"/>
      <c r="Z14" s="19">
        <f t="shared" si="3"/>
        <v>7.6835244692475593</v>
      </c>
    </row>
    <row r="15" spans="1:26" x14ac:dyDescent="0.3">
      <c r="A15" s="9"/>
      <c r="B15" s="10"/>
      <c r="C15" s="9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collapsed="1" x14ac:dyDescent="0.3">
      <c r="A16" s="10"/>
      <c r="B16" s="26" t="s">
        <v>256</v>
      </c>
      <c r="C16" s="10"/>
      <c r="D16" s="4">
        <f>SUM(OSRRefD16x_0)</f>
        <v>21749.71</v>
      </c>
      <c r="E16" s="4"/>
      <c r="F16" s="12">
        <f t="shared" ref="F16:F18" si="4">IF(D$12=0,0,D16/D$12)</f>
        <v>0.39861616948029288</v>
      </c>
      <c r="G16" s="4"/>
      <c r="H16" s="4">
        <f>SUM(OSRRefH16x_0)</f>
        <v>2843.9300000000003</v>
      </c>
      <c r="I16" s="4"/>
      <c r="J16" s="12">
        <f t="shared" ref="J16:J18" si="5">IF(H$12=0,0,H16/H$12)</f>
        <v>0.32848486668545529</v>
      </c>
      <c r="K16" s="4"/>
      <c r="L16" s="4">
        <f t="shared" ref="L16:L18" si="6">+D16-H16</f>
        <v>18905.78</v>
      </c>
      <c r="M16" s="4"/>
      <c r="N16" s="12">
        <f t="shared" ref="N16:N18" si="7">IF(H16=0,0,L16/H16)</f>
        <v>6.6477655919801109</v>
      </c>
      <c r="O16" s="10"/>
      <c r="P16" s="4">
        <f>SUM(OSRRefP16x_0)</f>
        <v>93693.65</v>
      </c>
      <c r="Q16" s="4"/>
      <c r="R16" s="12">
        <f t="shared" ref="R16:R18" si="8">IF(P$12=0,0,P16/P$12)</f>
        <v>0.35495328448941088</v>
      </c>
      <c r="S16" s="4"/>
      <c r="T16" s="4">
        <f>SUM(OSRRefT16x_0)</f>
        <v>14656.4</v>
      </c>
      <c r="U16" s="4"/>
      <c r="V16" s="12">
        <f t="shared" ref="V16:V18" si="9">IF(T$12=0,0,T16/T$12)</f>
        <v>0.4146795262098828</v>
      </c>
      <c r="W16" s="4"/>
      <c r="X16" s="4">
        <f t="shared" ref="X16:X18" si="10">+P16-T16</f>
        <v>79037.25</v>
      </c>
      <c r="Y16" s="4"/>
      <c r="Z16" s="12">
        <f t="shared" ref="Z16:Z18" si="11">IF(T16=0,0,X16/T16)</f>
        <v>5.3926782838896319</v>
      </c>
    </row>
    <row r="17" spans="1:26" s="24" customFormat="1" hidden="1" outlineLevel="1" x14ac:dyDescent="0.3">
      <c r="A17" s="44"/>
      <c r="B17" s="11" t="str">
        <f>CONCATENATE("          ", "5053", " - ", "PURCHASES @ COST-FOOD")</f>
        <v xml:space="preserve">          5053 - PURCHASES @ COST-FOOD</v>
      </c>
      <c r="C17" s="11"/>
      <c r="D17" s="2">
        <v>20379.34</v>
      </c>
      <c r="E17" s="2"/>
      <c r="F17" s="19">
        <f t="shared" si="4"/>
        <v>0.37350081667003893</v>
      </c>
      <c r="G17" s="2"/>
      <c r="H17" s="2">
        <v>1847.93</v>
      </c>
      <c r="I17" s="2"/>
      <c r="J17" s="19">
        <f t="shared" si="5"/>
        <v>0.21344303119065988</v>
      </c>
      <c r="K17" s="2"/>
      <c r="L17" s="2">
        <f t="shared" si="6"/>
        <v>18531.41</v>
      </c>
      <c r="M17" s="2"/>
      <c r="N17" s="19">
        <f t="shared" si="7"/>
        <v>10.02819912009654</v>
      </c>
      <c r="O17" s="11"/>
      <c r="P17" s="2">
        <v>100584.28</v>
      </c>
      <c r="Q17" s="2"/>
      <c r="R17" s="19">
        <f t="shared" si="8"/>
        <v>0.38105806054094982</v>
      </c>
      <c r="S17" s="2"/>
      <c r="T17" s="2">
        <v>11477.34</v>
      </c>
      <c r="U17" s="2"/>
      <c r="V17" s="19">
        <f t="shared" si="9"/>
        <v>0.32473307997528289</v>
      </c>
      <c r="W17" s="2"/>
      <c r="X17" s="2">
        <f t="shared" si="10"/>
        <v>89106.94</v>
      </c>
      <c r="Y17" s="2"/>
      <c r="Z17" s="19">
        <f t="shared" si="11"/>
        <v>7.7637274838943515</v>
      </c>
    </row>
    <row r="18" spans="1:26" s="24" customFormat="1" hidden="1" outlineLevel="1" x14ac:dyDescent="0.3">
      <c r="A18" s="44"/>
      <c r="B18" s="11" t="str">
        <f>CONCATENATE("          ", "5059", " - ", "PURCHASES @ COST-FOOD")</f>
        <v xml:space="preserve">          5059 - PURCHASES @ COST-FOOD</v>
      </c>
      <c r="C18" s="11"/>
      <c r="D18" s="2">
        <v>1370.37</v>
      </c>
      <c r="E18" s="2"/>
      <c r="F18" s="19">
        <f t="shared" si="4"/>
        <v>2.5115352810253972E-2</v>
      </c>
      <c r="G18" s="2"/>
      <c r="H18" s="2">
        <v>996</v>
      </c>
      <c r="I18" s="2"/>
      <c r="J18" s="19">
        <f t="shared" si="5"/>
        <v>0.11504183549479538</v>
      </c>
      <c r="K18" s="2"/>
      <c r="L18" s="2">
        <f t="shared" si="6"/>
        <v>374.36999999999989</v>
      </c>
      <c r="M18" s="2"/>
      <c r="N18" s="19">
        <f t="shared" si="7"/>
        <v>0.37587349397590353</v>
      </c>
      <c r="O18" s="11"/>
      <c r="P18" s="2">
        <v>-6890.63</v>
      </c>
      <c r="Q18" s="2"/>
      <c r="R18" s="19">
        <f t="shared" si="8"/>
        <v>-2.6104776051538922E-2</v>
      </c>
      <c r="S18" s="2"/>
      <c r="T18" s="2">
        <v>3179.06</v>
      </c>
      <c r="U18" s="2"/>
      <c r="V18" s="19">
        <f t="shared" si="9"/>
        <v>8.9946446234599894E-2</v>
      </c>
      <c r="W18" s="2"/>
      <c r="X18" s="2">
        <f t="shared" si="10"/>
        <v>-10069.69</v>
      </c>
      <c r="Y18" s="2"/>
      <c r="Z18" s="19">
        <f t="shared" si="11"/>
        <v>-3.1675054890439314</v>
      </c>
    </row>
    <row r="19" spans="1:26" x14ac:dyDescent="0.3">
      <c r="A19" s="9"/>
      <c r="B19" s="10"/>
      <c r="C19" s="10"/>
      <c r="D19" s="3"/>
      <c r="E19" s="3"/>
      <c r="F19" s="8"/>
      <c r="G19" s="3"/>
      <c r="H19" s="3"/>
      <c r="I19" s="3"/>
      <c r="J19" s="8"/>
      <c r="K19" s="3"/>
      <c r="L19" s="3"/>
      <c r="M19" s="3"/>
      <c r="N19" s="8"/>
      <c r="O19" s="10"/>
      <c r="P19" s="3"/>
      <c r="Q19" s="3"/>
      <c r="R19" s="8"/>
      <c r="S19" s="3"/>
      <c r="T19" s="3"/>
      <c r="U19" s="3"/>
      <c r="V19" s="8"/>
      <c r="W19" s="3"/>
      <c r="X19" s="3"/>
      <c r="Y19" s="3"/>
      <c r="Z19" s="8"/>
    </row>
    <row r="20" spans="1:26" s="23" customFormat="1" x14ac:dyDescent="0.3">
      <c r="A20" s="10"/>
      <c r="B20" s="25" t="s">
        <v>107</v>
      </c>
      <c r="C20" s="25"/>
      <c r="D20" s="21">
        <f>D12-D16</f>
        <v>32813.33</v>
      </c>
      <c r="E20" s="13"/>
      <c r="F20" s="22">
        <f>IF(D$12=0,0,D20/D$12)</f>
        <v>0.60138383051970712</v>
      </c>
      <c r="G20" s="13"/>
      <c r="H20" s="21">
        <f>H12-H16</f>
        <v>5813.7900000000009</v>
      </c>
      <c r="I20" s="13"/>
      <c r="J20" s="22">
        <f>IF(H$12=0,0,H20/H$12)</f>
        <v>0.67151513331454471</v>
      </c>
      <c r="K20" s="16"/>
      <c r="L20" s="21">
        <f>+D20-H20</f>
        <v>26999.54</v>
      </c>
      <c r="M20" s="16"/>
      <c r="N20" s="22">
        <f>IF(H20=0,0,L20/H20)</f>
        <v>4.6440514707273559</v>
      </c>
      <c r="O20" s="26"/>
      <c r="P20" s="21">
        <f>P12-P16</f>
        <v>170266.86000000002</v>
      </c>
      <c r="Q20" s="13"/>
      <c r="R20" s="22">
        <f>IF(P$12=0,0,P20/P$12)</f>
        <v>0.64504671551058912</v>
      </c>
      <c r="S20" s="13"/>
      <c r="T20" s="21">
        <f>T12-T16</f>
        <v>20687.519999999997</v>
      </c>
      <c r="U20" s="13"/>
      <c r="V20" s="22">
        <f>IF(T$12=0,0,T20/T$12)</f>
        <v>0.5853204737901172</v>
      </c>
      <c r="W20" s="16"/>
      <c r="X20" s="21">
        <f>+P20-T20</f>
        <v>149579.34000000003</v>
      </c>
      <c r="Y20" s="16"/>
      <c r="Z20" s="22">
        <f>IF(T20=0,0,X20/T20)</f>
        <v>7.2304142787535701</v>
      </c>
    </row>
    <row r="21" spans="1:26" x14ac:dyDescent="0.3">
      <c r="A21" s="9"/>
      <c r="B21" s="10"/>
      <c r="C21" s="9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294</v>
      </c>
      <c r="C22" s="10"/>
      <c r="D22" s="20">
        <f>SUM(OSRRefD22x_0)</f>
        <v>72254.130000000019</v>
      </c>
      <c r="E22" s="20"/>
      <c r="F22" s="32">
        <f t="shared" ref="F22:F31" si="12">IF(D$12=0,0,D22/D$12)</f>
        <v>1.3242321175652974</v>
      </c>
      <c r="G22" s="20"/>
      <c r="H22" s="20">
        <f>SUM(OSRRefH22x_0)</f>
        <v>57889.59</v>
      </c>
      <c r="I22" s="20"/>
      <c r="J22" s="32">
        <f t="shared" ref="J22:J31" si="13">IF(H$12=0,0,H22/H$12)</f>
        <v>6.6864705719288668</v>
      </c>
      <c r="K22" s="4"/>
      <c r="L22" s="20">
        <f t="shared" ref="L22:L31" si="14">+D22-H22</f>
        <v>14364.540000000023</v>
      </c>
      <c r="M22" s="4"/>
      <c r="N22" s="32">
        <f t="shared" ref="N22:N31" si="15">IF(H22=0,0,L22/H22)</f>
        <v>0.24813684118336343</v>
      </c>
      <c r="O22" s="10"/>
      <c r="P22" s="20">
        <f>SUM(OSRRefP22x_0)</f>
        <v>377800.42999999993</v>
      </c>
      <c r="Q22" s="20"/>
      <c r="R22" s="32">
        <f t="shared" ref="R22:R31" si="16">IF(P$12=0,0,P22/P$12)</f>
        <v>1.431276329932837</v>
      </c>
      <c r="S22" s="20"/>
      <c r="T22" s="20">
        <f>SUM(OSRRefT22x_0)</f>
        <v>323803.50000000006</v>
      </c>
      <c r="U22" s="20"/>
      <c r="V22" s="32">
        <f t="shared" ref="V22:V31" si="17">IF(T$12=0,0,T22/T$12)</f>
        <v>9.1615050056700014</v>
      </c>
      <c r="W22" s="4"/>
      <c r="X22" s="20">
        <f t="shared" ref="X22:X31" si="18">+P22-T22</f>
        <v>53996.929999999877</v>
      </c>
      <c r="Y22" s="4"/>
      <c r="Z22" s="32">
        <f t="shared" ref="Z22:Z31" si="19">IF(T22=0,0,X22/T22)</f>
        <v>0.16675832719535108</v>
      </c>
    </row>
    <row r="23" spans="1:26" s="29" customFormat="1" outlineLevel="1" collapsed="1" x14ac:dyDescent="0.3">
      <c r="A23" s="28"/>
      <c r="B23" s="14" t="str">
        <f>CONCATENATE("     ","*Benefits                                         ")</f>
        <v xml:space="preserve">     *Benefits                                         </v>
      </c>
      <c r="C23" s="14"/>
      <c r="D23" s="1">
        <f>SUM(OSRRefD22_0x_0)</f>
        <v>13538.03</v>
      </c>
      <c r="E23" s="1"/>
      <c r="F23" s="5">
        <f t="shared" si="12"/>
        <v>0.24811722367375424</v>
      </c>
      <c r="G23" s="1"/>
      <c r="H23" s="1">
        <f>SUM(OSRRefH22_0x_0)</f>
        <v>14153.699999999999</v>
      </c>
      <c r="I23" s="1"/>
      <c r="J23" s="5">
        <f t="shared" si="13"/>
        <v>1.6348068544605274</v>
      </c>
      <c r="K23" s="1"/>
      <c r="L23" s="1">
        <f t="shared" si="14"/>
        <v>-615.66999999999825</v>
      </c>
      <c r="M23" s="1"/>
      <c r="N23" s="5">
        <f t="shared" si="15"/>
        <v>-4.3498873086189355E-2</v>
      </c>
      <c r="O23" s="14"/>
      <c r="P23" s="1">
        <f>SUM(OSRRefP22_0x_0)</f>
        <v>62399.64</v>
      </c>
      <c r="Q23" s="1"/>
      <c r="R23" s="5">
        <f t="shared" si="16"/>
        <v>0.23639763387333959</v>
      </c>
      <c r="S23" s="1"/>
      <c r="T23" s="1">
        <f>SUM(OSRRefT22_0x_0)</f>
        <v>68795.83</v>
      </c>
      <c r="U23" s="1"/>
      <c r="V23" s="5">
        <f t="shared" si="17"/>
        <v>1.94646858639336</v>
      </c>
      <c r="W23" s="1"/>
      <c r="X23" s="1">
        <f t="shared" si="18"/>
        <v>-6396.1900000000023</v>
      </c>
      <c r="Y23" s="1"/>
      <c r="Z23" s="5">
        <f t="shared" si="19"/>
        <v>-9.2973513074847733E-2</v>
      </c>
    </row>
    <row r="24" spans="1:26" s="24" customFormat="1" hidden="1" outlineLevel="2" x14ac:dyDescent="0.3">
      <c r="A24" s="27"/>
      <c r="B24" s="11" t="str">
        <f>CONCATENATE("          ", "6111", " - ", "F.I.C.A.")</f>
        <v xml:space="preserve">          6111 - F.I.C.A.</v>
      </c>
      <c r="C24" s="11"/>
      <c r="D24" s="6">
        <v>1676.45</v>
      </c>
      <c r="E24" s="2"/>
      <c r="F24" s="7">
        <f t="shared" si="12"/>
        <v>3.0725010923145044E-2</v>
      </c>
      <c r="G24" s="2"/>
      <c r="H24" s="6">
        <v>1432.28</v>
      </c>
      <c r="I24" s="2"/>
      <c r="J24" s="7">
        <f t="shared" si="13"/>
        <v>0.16543385556474449</v>
      </c>
      <c r="K24" s="2"/>
      <c r="L24" s="6">
        <f t="shared" si="14"/>
        <v>244.17000000000007</v>
      </c>
      <c r="M24" s="2"/>
      <c r="N24" s="7">
        <f t="shared" si="15"/>
        <v>0.17047644315357338</v>
      </c>
      <c r="O24" s="11"/>
      <c r="P24" s="6">
        <v>8500.61</v>
      </c>
      <c r="Q24" s="2"/>
      <c r="R24" s="7">
        <f t="shared" si="16"/>
        <v>3.2204097499281235E-2</v>
      </c>
      <c r="S24" s="2"/>
      <c r="T24" s="6">
        <v>8284.06</v>
      </c>
      <c r="U24" s="2"/>
      <c r="V24" s="7">
        <f t="shared" si="17"/>
        <v>0.23438430145835548</v>
      </c>
      <c r="W24" s="2"/>
      <c r="X24" s="6">
        <f t="shared" si="18"/>
        <v>216.55000000000109</v>
      </c>
      <c r="Y24" s="2"/>
      <c r="Z24" s="7">
        <f t="shared" si="19"/>
        <v>2.6140563926384055E-2</v>
      </c>
    </row>
    <row r="25" spans="1:26" s="24" customFormat="1" hidden="1" outlineLevel="2" x14ac:dyDescent="0.3">
      <c r="A25" s="27"/>
      <c r="B25" s="11" t="str">
        <f>CONCATENATE("          ", "6112", " - ", "COMPENSATION INSURANCE")</f>
        <v xml:space="preserve">          6112 - COMPENSATION INSURANCE</v>
      </c>
      <c r="C25" s="11"/>
      <c r="D25" s="6">
        <v>987.61</v>
      </c>
      <c r="E25" s="2"/>
      <c r="F25" s="7">
        <f t="shared" si="12"/>
        <v>1.810034778120867E-2</v>
      </c>
      <c r="G25" s="2"/>
      <c r="H25" s="6">
        <v>1051.44</v>
      </c>
      <c r="I25" s="2"/>
      <c r="J25" s="7">
        <f t="shared" si="13"/>
        <v>0.12144536898860207</v>
      </c>
      <c r="K25" s="2"/>
      <c r="L25" s="6">
        <f t="shared" si="14"/>
        <v>-63.830000000000041</v>
      </c>
      <c r="M25" s="2"/>
      <c r="N25" s="7">
        <f t="shared" si="15"/>
        <v>-6.0707220573689449E-2</v>
      </c>
      <c r="O25" s="11"/>
      <c r="P25" s="6">
        <v>4778.53</v>
      </c>
      <c r="Q25" s="2"/>
      <c r="R25" s="7">
        <f t="shared" si="16"/>
        <v>1.8103200361296468E-2</v>
      </c>
      <c r="S25" s="2"/>
      <c r="T25" s="6">
        <v>3480.19</v>
      </c>
      <c r="U25" s="2"/>
      <c r="V25" s="7">
        <f t="shared" si="17"/>
        <v>9.8466440621187465E-2</v>
      </c>
      <c r="W25" s="2"/>
      <c r="X25" s="6">
        <f t="shared" si="18"/>
        <v>1298.3399999999997</v>
      </c>
      <c r="Y25" s="2"/>
      <c r="Z25" s="7">
        <f t="shared" si="19"/>
        <v>0.37306583835939983</v>
      </c>
    </row>
    <row r="26" spans="1:26" s="24" customFormat="1" hidden="1" outlineLevel="2" x14ac:dyDescent="0.3">
      <c r="A26" s="27"/>
      <c r="B26" s="11" t="str">
        <f>CONCATENATE("          ", "6113", " - ", "GROUP INSURANCE")</f>
        <v xml:space="preserve">          6113 - GROUP INSURANCE</v>
      </c>
      <c r="C26" s="11"/>
      <c r="D26" s="6">
        <v>7197.43</v>
      </c>
      <c r="E26" s="2"/>
      <c r="F26" s="7">
        <f t="shared" si="12"/>
        <v>0.13191035543474117</v>
      </c>
      <c r="G26" s="2"/>
      <c r="H26" s="6">
        <v>6712.24</v>
      </c>
      <c r="I26" s="2"/>
      <c r="J26" s="7">
        <f t="shared" si="13"/>
        <v>0.77528956815420214</v>
      </c>
      <c r="K26" s="2"/>
      <c r="L26" s="6">
        <f t="shared" si="14"/>
        <v>485.19000000000051</v>
      </c>
      <c r="M26" s="2"/>
      <c r="N26" s="7">
        <f t="shared" si="15"/>
        <v>7.2284364087100664E-2</v>
      </c>
      <c r="O26" s="11"/>
      <c r="P26" s="6">
        <v>30108.13</v>
      </c>
      <c r="Q26" s="2"/>
      <c r="R26" s="7">
        <f t="shared" si="16"/>
        <v>0.11406300889477748</v>
      </c>
      <c r="S26" s="2"/>
      <c r="T26" s="6">
        <v>34219.15</v>
      </c>
      <c r="U26" s="2"/>
      <c r="V26" s="7">
        <f t="shared" si="17"/>
        <v>0.96817642185699837</v>
      </c>
      <c r="W26" s="2"/>
      <c r="X26" s="6">
        <f t="shared" si="18"/>
        <v>-4111.0200000000004</v>
      </c>
      <c r="Y26" s="2"/>
      <c r="Z26" s="7">
        <f t="shared" si="19"/>
        <v>-0.12013799290748017</v>
      </c>
    </row>
    <row r="27" spans="1:26" s="24" customFormat="1" hidden="1" outlineLevel="2" x14ac:dyDescent="0.3">
      <c r="A27" s="27"/>
      <c r="B27" s="11" t="str">
        <f>CONCATENATE("          ", "6114", " - ", "STATE UNEMPLOYMENT INSURANCE")</f>
        <v xml:space="preserve">          6114 - STATE UNEMPLOYMENT INSURANCE</v>
      </c>
      <c r="C27" s="11"/>
      <c r="D27" s="6">
        <v>71.33</v>
      </c>
      <c r="E27" s="2"/>
      <c r="F27" s="7">
        <f t="shared" si="12"/>
        <v>1.3072951946958968E-3</v>
      </c>
      <c r="G27" s="2"/>
      <c r="H27" s="6">
        <v>94.49</v>
      </c>
      <c r="I27" s="2"/>
      <c r="J27" s="7">
        <f t="shared" si="13"/>
        <v>1.091395887138877E-2</v>
      </c>
      <c r="K27" s="2"/>
      <c r="L27" s="6">
        <f t="shared" si="14"/>
        <v>-23.159999999999997</v>
      </c>
      <c r="M27" s="2"/>
      <c r="N27" s="7">
        <f t="shared" si="15"/>
        <v>-0.24510530214837548</v>
      </c>
      <c r="O27" s="11"/>
      <c r="P27" s="6">
        <v>345.13</v>
      </c>
      <c r="Q27" s="2"/>
      <c r="R27" s="7">
        <f t="shared" si="16"/>
        <v>1.3075061871944405E-3</v>
      </c>
      <c r="S27" s="2"/>
      <c r="T27" s="6">
        <v>313</v>
      </c>
      <c r="U27" s="2"/>
      <c r="V27" s="7">
        <f t="shared" si="17"/>
        <v>8.8558371567160638E-3</v>
      </c>
      <c r="W27" s="2"/>
      <c r="X27" s="6">
        <f t="shared" si="18"/>
        <v>32.129999999999995</v>
      </c>
      <c r="Y27" s="2"/>
      <c r="Z27" s="7">
        <f t="shared" si="19"/>
        <v>0.10265175718849839</v>
      </c>
    </row>
    <row r="28" spans="1:26" s="24" customFormat="1" hidden="1" outlineLevel="2" x14ac:dyDescent="0.3">
      <c r="A28" s="27"/>
      <c r="B28" s="11" t="str">
        <f>CONCATENATE("          ", "6115", " - ", "P.E.R.S.")</f>
        <v xml:space="preserve">          6115 - P.E.R.S.</v>
      </c>
      <c r="C28" s="11"/>
      <c r="D28" s="6">
        <v>905.43</v>
      </c>
      <c r="E28" s="2"/>
      <c r="F28" s="7">
        <f t="shared" si="12"/>
        <v>1.6594200029910355E-2</v>
      </c>
      <c r="G28" s="2"/>
      <c r="H28" s="6">
        <v>2147.73</v>
      </c>
      <c r="I28" s="2"/>
      <c r="J28" s="7">
        <f t="shared" si="13"/>
        <v>0.24807108568999686</v>
      </c>
      <c r="K28" s="2"/>
      <c r="L28" s="6">
        <f t="shared" si="14"/>
        <v>-1242.3000000000002</v>
      </c>
      <c r="M28" s="2"/>
      <c r="N28" s="7">
        <f t="shared" si="15"/>
        <v>-0.57842466231788925</v>
      </c>
      <c r="O28" s="11"/>
      <c r="P28" s="6">
        <v>4823.18</v>
      </c>
      <c r="Q28" s="2"/>
      <c r="R28" s="7">
        <f t="shared" si="16"/>
        <v>1.8272354451807964E-2</v>
      </c>
      <c r="S28" s="2"/>
      <c r="T28" s="6">
        <v>7728.84</v>
      </c>
      <c r="U28" s="2"/>
      <c r="V28" s="7">
        <f t="shared" si="17"/>
        <v>0.21867523466553795</v>
      </c>
      <c r="W28" s="2"/>
      <c r="X28" s="6">
        <f t="shared" si="18"/>
        <v>-2905.66</v>
      </c>
      <c r="Y28" s="2"/>
      <c r="Z28" s="7">
        <f t="shared" si="19"/>
        <v>-0.37595033666112893</v>
      </c>
    </row>
    <row r="29" spans="1:26" s="24" customFormat="1" hidden="1" outlineLevel="2" x14ac:dyDescent="0.3">
      <c r="A29" s="27"/>
      <c r="B29" s="11" t="str">
        <f>CONCATENATE("          ", "6118", " - ", "VACATION")</f>
        <v xml:space="preserve">          6118 - VACATION</v>
      </c>
      <c r="C29" s="11"/>
      <c r="D29" s="6">
        <v>1188.24</v>
      </c>
      <c r="E29" s="2"/>
      <c r="F29" s="7">
        <f t="shared" si="12"/>
        <v>2.1777378973019099E-2</v>
      </c>
      <c r="G29" s="2"/>
      <c r="H29" s="6">
        <v>1377.86</v>
      </c>
      <c r="I29" s="2"/>
      <c r="J29" s="7">
        <f t="shared" si="13"/>
        <v>0.15914813599885416</v>
      </c>
      <c r="K29" s="2"/>
      <c r="L29" s="6">
        <f t="shared" si="14"/>
        <v>-189.61999999999989</v>
      </c>
      <c r="M29" s="2"/>
      <c r="N29" s="7">
        <f t="shared" si="15"/>
        <v>-0.13761920659573534</v>
      </c>
      <c r="O29" s="11"/>
      <c r="P29" s="6">
        <v>5861.59</v>
      </c>
      <c r="Q29" s="2"/>
      <c r="R29" s="7">
        <f t="shared" si="16"/>
        <v>2.2206314118729351E-2</v>
      </c>
      <c r="S29" s="2"/>
      <c r="T29" s="6">
        <v>7438.36</v>
      </c>
      <c r="U29" s="2"/>
      <c r="V29" s="7">
        <f t="shared" si="17"/>
        <v>0.21045656508955429</v>
      </c>
      <c r="W29" s="2"/>
      <c r="X29" s="6">
        <f t="shared" si="18"/>
        <v>-1576.7699999999995</v>
      </c>
      <c r="Y29" s="2"/>
      <c r="Z29" s="7">
        <f t="shared" si="19"/>
        <v>-0.21197817798546986</v>
      </c>
    </row>
    <row r="30" spans="1:26" s="24" customFormat="1" hidden="1" outlineLevel="2" x14ac:dyDescent="0.3">
      <c r="A30" s="27"/>
      <c r="B30" s="11" t="str">
        <f>CONCATENATE("          ", "6119", " - ", "SICK LEAVE")</f>
        <v xml:space="preserve">          6119 - SICK LEAVE</v>
      </c>
      <c r="C30" s="11"/>
      <c r="D30" s="6">
        <v>773.44</v>
      </c>
      <c r="E30" s="2"/>
      <c r="F30" s="7">
        <f t="shared" si="12"/>
        <v>1.4175163260698086E-2</v>
      </c>
      <c r="G30" s="2"/>
      <c r="H30" s="6">
        <v>857.52</v>
      </c>
      <c r="I30" s="2"/>
      <c r="J30" s="7">
        <f t="shared" si="13"/>
        <v>9.9046862222386484E-2</v>
      </c>
      <c r="K30" s="2"/>
      <c r="L30" s="6">
        <f t="shared" si="14"/>
        <v>-84.079999999999927</v>
      </c>
      <c r="M30" s="2"/>
      <c r="N30" s="7">
        <f t="shared" si="15"/>
        <v>-9.8050191249183613E-2</v>
      </c>
      <c r="O30" s="11"/>
      <c r="P30" s="6">
        <v>4598.18</v>
      </c>
      <c r="Q30" s="2"/>
      <c r="R30" s="7">
        <f t="shared" si="16"/>
        <v>1.7419954219667178E-2</v>
      </c>
      <c r="S30" s="2"/>
      <c r="T30" s="6">
        <v>4727.08</v>
      </c>
      <c r="U30" s="2"/>
      <c r="V30" s="7">
        <f t="shared" si="17"/>
        <v>0.13374520992578073</v>
      </c>
      <c r="W30" s="2"/>
      <c r="X30" s="6">
        <f t="shared" si="18"/>
        <v>-128.89999999999964</v>
      </c>
      <c r="Y30" s="2"/>
      <c r="Z30" s="7">
        <f t="shared" si="19"/>
        <v>-2.7268419404791043E-2</v>
      </c>
    </row>
    <row r="31" spans="1:26" s="24" customFormat="1" hidden="1" outlineLevel="2" x14ac:dyDescent="0.3">
      <c r="A31" s="27"/>
      <c r="B31" s="11" t="str">
        <f>CONCATENATE("          ", "6156", " - ", "EMPLOYEE MEALS")</f>
        <v xml:space="preserve">          6156 - EMPLOYEE MEALS</v>
      </c>
      <c r="C31" s="11"/>
      <c r="D31" s="6">
        <v>738.1</v>
      </c>
      <c r="E31" s="2"/>
      <c r="F31" s="7">
        <f t="shared" si="12"/>
        <v>1.3527472076335922E-2</v>
      </c>
      <c r="G31" s="2"/>
      <c r="H31" s="6">
        <v>480.14</v>
      </c>
      <c r="I31" s="2"/>
      <c r="J31" s="7">
        <f t="shared" si="13"/>
        <v>5.5458018970352463E-2</v>
      </c>
      <c r="K31" s="2"/>
      <c r="L31" s="6">
        <f t="shared" si="14"/>
        <v>257.96000000000004</v>
      </c>
      <c r="M31" s="2"/>
      <c r="N31" s="7">
        <f t="shared" si="15"/>
        <v>0.53725996584329583</v>
      </c>
      <c r="O31" s="11"/>
      <c r="P31" s="6">
        <v>3384.29</v>
      </c>
      <c r="Q31" s="2"/>
      <c r="R31" s="7">
        <f t="shared" si="16"/>
        <v>1.2821198140585499E-2</v>
      </c>
      <c r="S31" s="2"/>
      <c r="T31" s="6">
        <v>2605.15</v>
      </c>
      <c r="U31" s="2"/>
      <c r="V31" s="7">
        <f t="shared" si="17"/>
        <v>7.3708575619229569E-2</v>
      </c>
      <c r="W31" s="2"/>
      <c r="X31" s="6">
        <f t="shared" si="18"/>
        <v>779.13999999999987</v>
      </c>
      <c r="Y31" s="2"/>
      <c r="Z31" s="7">
        <f t="shared" si="19"/>
        <v>0.29907682858952456</v>
      </c>
    </row>
    <row r="32" spans="1:26" s="29" customFormat="1" outlineLevel="1" collapsed="1" x14ac:dyDescent="0.3">
      <c r="A32" s="28"/>
      <c r="B32" s="14" t="str">
        <f>CONCATENATE("     ","*Payroll                                          ")</f>
        <v xml:space="preserve">     *Payroll                                          </v>
      </c>
      <c r="C32" s="14"/>
      <c r="D32" s="1">
        <f>SUM(OSRRefD22_1x_0)</f>
        <v>25176.67</v>
      </c>
      <c r="E32" s="1"/>
      <c r="F32" s="5">
        <f t="shared" ref="F32:F36" si="20">IF(D$12=0,0,D32/D$12)</f>
        <v>0.46142352039035944</v>
      </c>
      <c r="G32" s="1"/>
      <c r="H32" s="1">
        <f>SUM(OSRRefH22_1x_0)</f>
        <v>15260.3</v>
      </c>
      <c r="I32" s="1"/>
      <c r="J32" s="5">
        <f t="shared" ref="J32:J36" si="21">IF(H$12=0,0,H32/H$12)</f>
        <v>1.7626234158646845</v>
      </c>
      <c r="K32" s="1"/>
      <c r="L32" s="1">
        <f t="shared" ref="L32:L36" si="22">+D32-H32</f>
        <v>9916.369999999999</v>
      </c>
      <c r="M32" s="1"/>
      <c r="N32" s="5">
        <f t="shared" ref="N32:N36" si="23">IF(H32=0,0,L32/H32)</f>
        <v>0.64981487913081648</v>
      </c>
      <c r="O32" s="14"/>
      <c r="P32" s="1">
        <f>SUM(OSRRefP22_1x_0)</f>
        <v>126326.41</v>
      </c>
      <c r="Q32" s="1"/>
      <c r="R32" s="5">
        <f t="shared" ref="R32:R36" si="24">IF(P$12=0,0,P32/P$12)</f>
        <v>0.4785807164867199</v>
      </c>
      <c r="S32" s="1"/>
      <c r="T32" s="1">
        <f>SUM(OSRRefT22_1x_0)</f>
        <v>92474.010000000009</v>
      </c>
      <c r="U32" s="1"/>
      <c r="V32" s="5">
        <f t="shared" ref="V32:V36" si="25">IF(T$12=0,0,T32/T$12)</f>
        <v>2.6164050280783799</v>
      </c>
      <c r="W32" s="1"/>
      <c r="X32" s="1">
        <f t="shared" ref="X32:X36" si="26">+P32-T32</f>
        <v>33852.399999999994</v>
      </c>
      <c r="Y32" s="1"/>
      <c r="Z32" s="5">
        <f t="shared" ref="Z32:Z36" si="27">IF(T32=0,0,X32/T32)</f>
        <v>0.36607474900244935</v>
      </c>
    </row>
    <row r="33" spans="1:26" s="24" customFormat="1" hidden="1" outlineLevel="2" x14ac:dyDescent="0.3">
      <c r="A33" s="27"/>
      <c r="B33" s="11" t="str">
        <f>CONCATENATE("          ", "6002", " - ", "STAFF SALARIES")</f>
        <v xml:space="preserve">          6002 - STAFF SALARIES</v>
      </c>
      <c r="C33" s="11"/>
      <c r="D33" s="6">
        <v>9443.7999999999993</v>
      </c>
      <c r="E33" s="2"/>
      <c r="F33" s="7">
        <f t="shared" si="20"/>
        <v>0.1730805321697618</v>
      </c>
      <c r="G33" s="2"/>
      <c r="H33" s="6">
        <v>12438.05</v>
      </c>
      <c r="I33" s="2"/>
      <c r="J33" s="7">
        <f t="shared" si="21"/>
        <v>1.4366426726667065</v>
      </c>
      <c r="K33" s="2"/>
      <c r="L33" s="6">
        <f t="shared" si="22"/>
        <v>-2994.25</v>
      </c>
      <c r="M33" s="2"/>
      <c r="N33" s="7">
        <f t="shared" si="23"/>
        <v>-0.24073307311033484</v>
      </c>
      <c r="O33" s="11"/>
      <c r="P33" s="6">
        <v>50416.69</v>
      </c>
      <c r="Q33" s="2"/>
      <c r="R33" s="7">
        <f t="shared" si="24"/>
        <v>0.19100088115453331</v>
      </c>
      <c r="S33" s="2"/>
      <c r="T33" s="6">
        <v>72108.12</v>
      </c>
      <c r="U33" s="2"/>
      <c r="V33" s="7">
        <f t="shared" si="25"/>
        <v>2.0401845635685008</v>
      </c>
      <c r="W33" s="2"/>
      <c r="X33" s="6">
        <f t="shared" si="26"/>
        <v>-21691.429999999993</v>
      </c>
      <c r="Y33" s="2"/>
      <c r="Z33" s="7">
        <f t="shared" si="27"/>
        <v>-0.30081813254873369</v>
      </c>
    </row>
    <row r="34" spans="1:26" s="24" customFormat="1" hidden="1" outlineLevel="2" x14ac:dyDescent="0.3">
      <c r="A34" s="27"/>
      <c r="B34" s="11" t="str">
        <f>CONCATENATE("          ", "6004", " - ", "STAFF HOURLY")</f>
        <v xml:space="preserve">          6004 - STAFF HOURLY</v>
      </c>
      <c r="C34" s="11"/>
      <c r="D34" s="6">
        <v>4795.76</v>
      </c>
      <c r="E34" s="2"/>
      <c r="F34" s="7">
        <f t="shared" si="20"/>
        <v>8.7893929663743084E-2</v>
      </c>
      <c r="G34" s="2"/>
      <c r="H34" s="6">
        <v>2751.03</v>
      </c>
      <c r="I34" s="2"/>
      <c r="J34" s="7">
        <f t="shared" si="21"/>
        <v>0.31775455893699495</v>
      </c>
      <c r="K34" s="2"/>
      <c r="L34" s="6">
        <f t="shared" si="22"/>
        <v>2044.73</v>
      </c>
      <c r="M34" s="2"/>
      <c r="N34" s="7">
        <f t="shared" si="23"/>
        <v>0.74325979723957936</v>
      </c>
      <c r="O34" s="11"/>
      <c r="P34" s="6">
        <v>22565.89</v>
      </c>
      <c r="Q34" s="2"/>
      <c r="R34" s="7">
        <f t="shared" si="24"/>
        <v>8.5489643886504083E-2</v>
      </c>
      <c r="S34" s="2"/>
      <c r="T34" s="6">
        <v>18098.330000000002</v>
      </c>
      <c r="U34" s="2"/>
      <c r="V34" s="7">
        <f t="shared" si="25"/>
        <v>0.51206346098565192</v>
      </c>
      <c r="W34" s="2"/>
      <c r="X34" s="6">
        <f t="shared" si="26"/>
        <v>4467.5599999999977</v>
      </c>
      <c r="Y34" s="2"/>
      <c r="Z34" s="7">
        <f t="shared" si="27"/>
        <v>0.24684929493494689</v>
      </c>
    </row>
    <row r="35" spans="1:26" s="24" customFormat="1" hidden="1" outlineLevel="2" x14ac:dyDescent="0.3">
      <c r="A35" s="27"/>
      <c r="B35" s="11" t="str">
        <f>CONCATENATE("          ", "6005", " - ", "TEMPORARY WAGES-HOURLY")</f>
        <v xml:space="preserve">          6005 - TEMPORARY WAGES-HOURLY</v>
      </c>
      <c r="C35" s="11"/>
      <c r="D35" s="6">
        <v>6463.01</v>
      </c>
      <c r="E35" s="2"/>
      <c r="F35" s="7">
        <f t="shared" si="20"/>
        <v>0.11845032828082892</v>
      </c>
      <c r="G35" s="2"/>
      <c r="H35" s="6">
        <v>71.22</v>
      </c>
      <c r="I35" s="2"/>
      <c r="J35" s="7">
        <f t="shared" si="21"/>
        <v>8.2261842609832603E-3</v>
      </c>
      <c r="K35" s="2"/>
      <c r="L35" s="6">
        <f t="shared" si="22"/>
        <v>6391.79</v>
      </c>
      <c r="M35" s="2"/>
      <c r="N35" s="7">
        <f t="shared" si="23"/>
        <v>89.747121595057564</v>
      </c>
      <c r="O35" s="11"/>
      <c r="P35" s="6">
        <v>32086.46</v>
      </c>
      <c r="Q35" s="2"/>
      <c r="R35" s="7">
        <f t="shared" si="24"/>
        <v>0.12155780423367116</v>
      </c>
      <c r="S35" s="2"/>
      <c r="T35" s="6">
        <v>2197.85</v>
      </c>
      <c r="U35" s="2"/>
      <c r="V35" s="7">
        <f t="shared" si="25"/>
        <v>6.2184669951720124E-2</v>
      </c>
      <c r="W35" s="2"/>
      <c r="X35" s="6">
        <f t="shared" si="26"/>
        <v>29888.61</v>
      </c>
      <c r="Y35" s="2"/>
      <c r="Z35" s="7">
        <f t="shared" si="27"/>
        <v>13.599021771276476</v>
      </c>
    </row>
    <row r="36" spans="1:26" s="24" customFormat="1" hidden="1" outlineLevel="2" x14ac:dyDescent="0.3">
      <c r="A36" s="27"/>
      <c r="B36" s="11" t="str">
        <f>CONCATENATE("          ", "6007", " - ", "STUDENT HOURLY")</f>
        <v xml:space="preserve">          6007 - STUDENT HOURLY</v>
      </c>
      <c r="C36" s="11"/>
      <c r="D36" s="6">
        <v>4474.1000000000004</v>
      </c>
      <c r="E36" s="2"/>
      <c r="F36" s="7">
        <f t="shared" si="20"/>
        <v>8.199873027602568E-2</v>
      </c>
      <c r="G36" s="2"/>
      <c r="H36" s="6"/>
      <c r="I36" s="2"/>
      <c r="J36" s="7">
        <f t="shared" si="21"/>
        <v>0</v>
      </c>
      <c r="K36" s="2"/>
      <c r="L36" s="6">
        <f t="shared" si="22"/>
        <v>4474.1000000000004</v>
      </c>
      <c r="M36" s="2"/>
      <c r="N36" s="7">
        <f t="shared" si="23"/>
        <v>0</v>
      </c>
      <c r="O36" s="11"/>
      <c r="P36" s="6">
        <v>21257.37</v>
      </c>
      <c r="Q36" s="2"/>
      <c r="R36" s="7">
        <f t="shared" si="24"/>
        <v>8.0532387212011364E-2</v>
      </c>
      <c r="S36" s="2"/>
      <c r="T36" s="6">
        <v>69.709999999999994</v>
      </c>
      <c r="U36" s="2"/>
      <c r="V36" s="7">
        <f t="shared" si="25"/>
        <v>1.9723335725069543E-3</v>
      </c>
      <c r="W36" s="2"/>
      <c r="X36" s="6">
        <f t="shared" si="26"/>
        <v>21187.66</v>
      </c>
      <c r="Y36" s="2"/>
      <c r="Z36" s="7">
        <f t="shared" si="27"/>
        <v>303.94003729737489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128.31</v>
      </c>
      <c r="E37" s="1"/>
      <c r="F37" s="5">
        <f t="shared" ref="F37:F45" si="28">IF(D$12=0,0,D37/D$12)</f>
        <v>2.3515918467885955E-3</v>
      </c>
      <c r="G37" s="1"/>
      <c r="H37" s="1">
        <f>SUM(OSRRefH22_2x_0)</f>
        <v>15.9</v>
      </c>
      <c r="I37" s="1"/>
      <c r="J37" s="5">
        <f t="shared" ref="J37:J45" si="29">IF(H$12=0,0,H37/H$12)</f>
        <v>1.8365112292843841E-3</v>
      </c>
      <c r="K37" s="1"/>
      <c r="L37" s="1">
        <f t="shared" ref="L37:L45" si="30">+D37-H37</f>
        <v>112.41</v>
      </c>
      <c r="M37" s="1"/>
      <c r="N37" s="5">
        <f t="shared" ref="N37:N45" si="31">IF(H37=0,0,L37/H37)</f>
        <v>7.0698113207547166</v>
      </c>
      <c r="O37" s="14"/>
      <c r="P37" s="1">
        <f>SUM(OSRRefP22_2x_0)</f>
        <v>387.99</v>
      </c>
      <c r="Q37" s="1"/>
      <c r="R37" s="5">
        <f t="shared" ref="R37:R45" si="32">IF(P$12=0,0,P37/P$12)</f>
        <v>1.4698789603035697E-3</v>
      </c>
      <c r="S37" s="1"/>
      <c r="T37" s="1">
        <f>SUM(OSRRefT22_2x_0)</f>
        <v>126.53</v>
      </c>
      <c r="U37" s="1"/>
      <c r="V37" s="5">
        <f t="shared" ref="V37:V45" si="33">IF(T$12=0,0,T37/T$12)</f>
        <v>3.5799650972501073E-3</v>
      </c>
      <c r="W37" s="1"/>
      <c r="X37" s="1">
        <f t="shared" ref="X37:X45" si="34">+P37-T37</f>
        <v>261.46000000000004</v>
      </c>
      <c r="Y37" s="1"/>
      <c r="Z37" s="5">
        <f t="shared" ref="Z37:Z45" si="35">IF(T37=0,0,X37/T37)</f>
        <v>2.0663874180036359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6">
        <v>128.31</v>
      </c>
      <c r="E38" s="2"/>
      <c r="F38" s="7">
        <f t="shared" si="28"/>
        <v>2.3515918467885955E-3</v>
      </c>
      <c r="G38" s="2"/>
      <c r="H38" s="6">
        <v>15.9</v>
      </c>
      <c r="I38" s="2"/>
      <c r="J38" s="7">
        <f t="shared" si="29"/>
        <v>1.8365112292843841E-3</v>
      </c>
      <c r="K38" s="2"/>
      <c r="L38" s="6">
        <f t="shared" si="30"/>
        <v>112.41</v>
      </c>
      <c r="M38" s="2"/>
      <c r="N38" s="7">
        <f t="shared" si="31"/>
        <v>7.0698113207547166</v>
      </c>
      <c r="O38" s="11"/>
      <c r="P38" s="6">
        <v>387.99</v>
      </c>
      <c r="Q38" s="2"/>
      <c r="R38" s="7">
        <f t="shared" si="32"/>
        <v>1.4698789603035697E-3</v>
      </c>
      <c r="S38" s="2"/>
      <c r="T38" s="6">
        <v>126.53</v>
      </c>
      <c r="U38" s="2"/>
      <c r="V38" s="7">
        <f t="shared" si="33"/>
        <v>3.5799650972501073E-3</v>
      </c>
      <c r="W38" s="2"/>
      <c r="X38" s="6">
        <f t="shared" si="34"/>
        <v>261.46000000000004</v>
      </c>
      <c r="Y38" s="2"/>
      <c r="Z38" s="7">
        <f t="shared" si="35"/>
        <v>2.0663874180036359</v>
      </c>
    </row>
    <row r="39" spans="1:26" s="29" customFormat="1" outlineLevel="1" collapsed="1" x14ac:dyDescent="0.3">
      <c r="A39" s="28"/>
      <c r="B39" s="14" t="str">
        <f>CONCATENATE("     ","Bad Debts/Over/Short                              ")</f>
        <v xml:space="preserve">     Bad Debts/Over/Short                              </v>
      </c>
      <c r="C39" s="14"/>
      <c r="D39" s="1">
        <f>SUM(OSRRefD22_3x_0)</f>
        <v>-6.09</v>
      </c>
      <c r="E39" s="1"/>
      <c r="F39" s="5">
        <f t="shared" si="28"/>
        <v>-1.1161401564135722E-4</v>
      </c>
      <c r="G39" s="1"/>
      <c r="H39" s="1">
        <f>SUM(OSRRefH22_3x_0)</f>
        <v>-1331.23</v>
      </c>
      <c r="I39" s="1"/>
      <c r="J39" s="5">
        <f t="shared" si="29"/>
        <v>-0.1537621914314623</v>
      </c>
      <c r="K39" s="1"/>
      <c r="L39" s="1">
        <f t="shared" si="30"/>
        <v>1325.14</v>
      </c>
      <c r="M39" s="1"/>
      <c r="N39" s="5">
        <f t="shared" si="31"/>
        <v>-0.99542528338453917</v>
      </c>
      <c r="O39" s="14"/>
      <c r="P39" s="1">
        <f>SUM(OSRRefP22_3x_0)</f>
        <v>-28.15</v>
      </c>
      <c r="Q39" s="1"/>
      <c r="R39" s="5">
        <f t="shared" si="32"/>
        <v>-1.0664474015450265E-4</v>
      </c>
      <c r="S39" s="1"/>
      <c r="T39" s="1">
        <f>SUM(OSRRefT22_3x_0)</f>
        <v>7.05</v>
      </c>
      <c r="U39" s="1"/>
      <c r="V39" s="5">
        <f t="shared" si="33"/>
        <v>1.9946853659695926E-4</v>
      </c>
      <c r="W39" s="1"/>
      <c r="X39" s="1">
        <f t="shared" si="34"/>
        <v>-35.199999999999996</v>
      </c>
      <c r="Y39" s="1"/>
      <c r="Z39" s="5">
        <f t="shared" si="35"/>
        <v>-4.9929078014184389</v>
      </c>
    </row>
    <row r="40" spans="1:26" s="24" customFormat="1" hidden="1" outlineLevel="2" x14ac:dyDescent="0.3">
      <c r="A40" s="27"/>
      <c r="B40" s="11" t="str">
        <f>CONCATENATE("          ", "6272", " - ", "CASH (OVER/SHORT)")</f>
        <v xml:space="preserve">          6272 - CASH (OVER/SHORT)</v>
      </c>
      <c r="C40" s="11"/>
      <c r="D40" s="6">
        <v>-6.09</v>
      </c>
      <c r="E40" s="2"/>
      <c r="F40" s="7">
        <f t="shared" si="28"/>
        <v>-1.1161401564135722E-4</v>
      </c>
      <c r="G40" s="2"/>
      <c r="H40" s="6">
        <v>-1331.23</v>
      </c>
      <c r="I40" s="2"/>
      <c r="J40" s="7">
        <f t="shared" si="29"/>
        <v>-0.1537621914314623</v>
      </c>
      <c r="K40" s="2"/>
      <c r="L40" s="6">
        <f t="shared" si="30"/>
        <v>1325.14</v>
      </c>
      <c r="M40" s="2"/>
      <c r="N40" s="7">
        <f t="shared" si="31"/>
        <v>-0.99542528338453917</v>
      </c>
      <c r="O40" s="11"/>
      <c r="P40" s="6">
        <v>-28.15</v>
      </c>
      <c r="Q40" s="2"/>
      <c r="R40" s="7">
        <f t="shared" si="32"/>
        <v>-1.0664474015450265E-4</v>
      </c>
      <c r="S40" s="2"/>
      <c r="T40" s="6">
        <v>7.05</v>
      </c>
      <c r="U40" s="2"/>
      <c r="V40" s="7">
        <f t="shared" si="33"/>
        <v>1.9946853659695926E-4</v>
      </c>
      <c r="W40" s="2"/>
      <c r="X40" s="6">
        <f t="shared" si="34"/>
        <v>-35.199999999999996</v>
      </c>
      <c r="Y40" s="2"/>
      <c r="Z40" s="7">
        <f t="shared" si="35"/>
        <v>-4.9929078014184389</v>
      </c>
    </row>
    <row r="41" spans="1:26" s="29" customFormat="1" outlineLevel="1" collapsed="1" x14ac:dyDescent="0.3">
      <c r="A41" s="28"/>
      <c r="B41" s="14" t="str">
        <f>CONCATENATE("     ","Bank/card Fees                                    ")</f>
        <v xml:space="preserve">     Bank/card Fees                                    </v>
      </c>
      <c r="C41" s="14"/>
      <c r="D41" s="1">
        <f>SUM(OSRRefD22_4x_0)</f>
        <v>2243.3200000000002</v>
      </c>
      <c r="E41" s="1"/>
      <c r="F41" s="5">
        <f t="shared" si="28"/>
        <v>4.1114278090077096E-2</v>
      </c>
      <c r="G41" s="1"/>
      <c r="H41" s="1">
        <f>SUM(OSRRefH22_4x_0)</f>
        <v>348.1</v>
      </c>
      <c r="I41" s="1"/>
      <c r="J41" s="5">
        <f t="shared" si="29"/>
        <v>4.0206890497729193E-2</v>
      </c>
      <c r="K41" s="1"/>
      <c r="L41" s="1">
        <f t="shared" si="30"/>
        <v>1895.2200000000003</v>
      </c>
      <c r="M41" s="1"/>
      <c r="N41" s="5">
        <f t="shared" si="31"/>
        <v>5.4444699798908367</v>
      </c>
      <c r="O41" s="14"/>
      <c r="P41" s="1">
        <f>SUM(OSRRefP22_4x_0)</f>
        <v>9393.2999999999993</v>
      </c>
      <c r="Q41" s="1"/>
      <c r="R41" s="5">
        <f t="shared" si="32"/>
        <v>3.5586004891413489E-2</v>
      </c>
      <c r="S41" s="1"/>
      <c r="T41" s="1">
        <f>SUM(OSRRefT22_4x_0)</f>
        <v>789.25</v>
      </c>
      <c r="U41" s="1"/>
      <c r="V41" s="5">
        <f t="shared" si="33"/>
        <v>2.2330573405553205E-2</v>
      </c>
      <c r="W41" s="1"/>
      <c r="X41" s="1">
        <f t="shared" si="34"/>
        <v>8604.0499999999993</v>
      </c>
      <c r="Y41" s="1"/>
      <c r="Z41" s="5">
        <f t="shared" si="35"/>
        <v>10.901552106430154</v>
      </c>
    </row>
    <row r="42" spans="1:26" s="24" customFormat="1" hidden="1" outlineLevel="2" x14ac:dyDescent="0.3">
      <c r="A42" s="27"/>
      <c r="B42" s="11" t="str">
        <f>CONCATENATE("          ", "6381", " - ", "BANK/CREDIT CARD FEES")</f>
        <v xml:space="preserve">          6381 - BANK/CREDIT CARD FEES</v>
      </c>
      <c r="C42" s="11"/>
      <c r="D42" s="6">
        <v>2243.3200000000002</v>
      </c>
      <c r="E42" s="2"/>
      <c r="F42" s="7">
        <f t="shared" si="28"/>
        <v>4.1114278090077096E-2</v>
      </c>
      <c r="G42" s="2"/>
      <c r="H42" s="6">
        <v>348.1</v>
      </c>
      <c r="I42" s="2"/>
      <c r="J42" s="7">
        <f t="shared" si="29"/>
        <v>4.0206890497729193E-2</v>
      </c>
      <c r="K42" s="2"/>
      <c r="L42" s="6">
        <f t="shared" si="30"/>
        <v>1895.2200000000003</v>
      </c>
      <c r="M42" s="2"/>
      <c r="N42" s="7">
        <f t="shared" si="31"/>
        <v>5.4444699798908367</v>
      </c>
      <c r="O42" s="11"/>
      <c r="P42" s="6">
        <v>9393.2999999999993</v>
      </c>
      <c r="Q42" s="2"/>
      <c r="R42" s="7">
        <f t="shared" si="32"/>
        <v>3.5586004891413489E-2</v>
      </c>
      <c r="S42" s="2"/>
      <c r="T42" s="6">
        <v>789.25</v>
      </c>
      <c r="U42" s="2"/>
      <c r="V42" s="7">
        <f t="shared" si="33"/>
        <v>2.2330573405553205E-2</v>
      </c>
      <c r="W42" s="2"/>
      <c r="X42" s="6">
        <f t="shared" si="34"/>
        <v>8604.0499999999993</v>
      </c>
      <c r="Y42" s="2"/>
      <c r="Z42" s="7">
        <f t="shared" si="35"/>
        <v>10.901552106430154</v>
      </c>
    </row>
    <row r="43" spans="1:26" s="29" customFormat="1" outlineLevel="1" collapsed="1" x14ac:dyDescent="0.3">
      <c r="A43" s="28"/>
      <c r="B43" s="14" t="str">
        <f>CONCATENATE("     ","Depreciation                                      ")</f>
        <v xml:space="preserve">     Depreciation                                      </v>
      </c>
      <c r="C43" s="14"/>
      <c r="D43" s="1">
        <f>SUM(OSRRefD22_5x_0)</f>
        <v>14007.34</v>
      </c>
      <c r="E43" s="1"/>
      <c r="F43" s="5">
        <f t="shared" si="28"/>
        <v>0.25671846729947601</v>
      </c>
      <c r="G43" s="1"/>
      <c r="H43" s="1">
        <f>SUM(OSRRefH22_5x_0)</f>
        <v>13902.32</v>
      </c>
      <c r="I43" s="1"/>
      <c r="J43" s="5">
        <f t="shared" si="29"/>
        <v>1.6057714964216905</v>
      </c>
      <c r="K43" s="1"/>
      <c r="L43" s="1">
        <f t="shared" si="30"/>
        <v>105.02000000000044</v>
      </c>
      <c r="M43" s="1"/>
      <c r="N43" s="5">
        <f t="shared" si="31"/>
        <v>7.5541348494352336E-3</v>
      </c>
      <c r="O43" s="14"/>
      <c r="P43" s="1">
        <f>SUM(OSRRefP22_5x_0)</f>
        <v>70036.700000000012</v>
      </c>
      <c r="Q43" s="1"/>
      <c r="R43" s="5">
        <f t="shared" si="32"/>
        <v>0.26533021928166456</v>
      </c>
      <c r="S43" s="1"/>
      <c r="T43" s="1">
        <f>SUM(OSRRefT22_5x_0)</f>
        <v>69476.88</v>
      </c>
      <c r="U43" s="1"/>
      <c r="V43" s="5">
        <f t="shared" si="33"/>
        <v>1.9657378128968153</v>
      </c>
      <c r="W43" s="1"/>
      <c r="X43" s="1">
        <f t="shared" si="34"/>
        <v>559.82000000000698</v>
      </c>
      <c r="Y43" s="1"/>
      <c r="Z43" s="5">
        <f t="shared" si="35"/>
        <v>8.0576444998682571E-3</v>
      </c>
    </row>
    <row r="44" spans="1:26" s="24" customFormat="1" hidden="1" outlineLevel="2" x14ac:dyDescent="0.3">
      <c r="A44" s="27"/>
      <c r="B44" s="11" t="str">
        <f>CONCATENATE("          ", "6321", " - ", "BUILDING DEPRECIATION")</f>
        <v xml:space="preserve">          6321 - BUILDING DEPRECIATION</v>
      </c>
      <c r="C44" s="11"/>
      <c r="D44" s="6">
        <v>10597.26</v>
      </c>
      <c r="E44" s="2"/>
      <c r="F44" s="7">
        <f t="shared" si="28"/>
        <v>0.19422048331617886</v>
      </c>
      <c r="G44" s="2"/>
      <c r="H44" s="6">
        <v>10597.26</v>
      </c>
      <c r="I44" s="2"/>
      <c r="J44" s="7">
        <f t="shared" si="29"/>
        <v>1.2240243389714611</v>
      </c>
      <c r="K44" s="2"/>
      <c r="L44" s="6">
        <f t="shared" si="30"/>
        <v>0</v>
      </c>
      <c r="M44" s="2"/>
      <c r="N44" s="7">
        <f t="shared" si="31"/>
        <v>0</v>
      </c>
      <c r="O44" s="11"/>
      <c r="P44" s="6">
        <v>52986.3</v>
      </c>
      <c r="Q44" s="2"/>
      <c r="R44" s="7">
        <f t="shared" si="32"/>
        <v>0.20073570853458345</v>
      </c>
      <c r="S44" s="2"/>
      <c r="T44" s="6">
        <v>52986.3</v>
      </c>
      <c r="U44" s="2"/>
      <c r="V44" s="7">
        <f t="shared" si="33"/>
        <v>1.4991630809485763</v>
      </c>
      <c r="W44" s="2"/>
      <c r="X44" s="6">
        <f t="shared" si="34"/>
        <v>0</v>
      </c>
      <c r="Y44" s="2"/>
      <c r="Z44" s="7">
        <f t="shared" si="35"/>
        <v>0</v>
      </c>
    </row>
    <row r="45" spans="1:26" s="24" customFormat="1" hidden="1" outlineLevel="2" x14ac:dyDescent="0.3">
      <c r="A45" s="27"/>
      <c r="B45" s="11" t="str">
        <f>CONCATENATE("          ", "6322", " - ", "EQUIPMENT DEPRECIATION EXPENSE")</f>
        <v xml:space="preserve">          6322 - EQUIPMENT DEPRECIATION EXPENSE</v>
      </c>
      <c r="C45" s="11"/>
      <c r="D45" s="6">
        <v>3410.08</v>
      </c>
      <c r="E45" s="2"/>
      <c r="F45" s="7">
        <f t="shared" si="28"/>
        <v>6.2497983983297117E-2</v>
      </c>
      <c r="G45" s="2"/>
      <c r="H45" s="6">
        <v>3305.06</v>
      </c>
      <c r="I45" s="2"/>
      <c r="J45" s="7">
        <f t="shared" si="29"/>
        <v>0.38174715745022936</v>
      </c>
      <c r="K45" s="2"/>
      <c r="L45" s="6">
        <f t="shared" si="30"/>
        <v>105.01999999999998</v>
      </c>
      <c r="M45" s="2"/>
      <c r="N45" s="7">
        <f t="shared" si="31"/>
        <v>3.177551996030329E-2</v>
      </c>
      <c r="O45" s="11"/>
      <c r="P45" s="6">
        <v>17050.400000000001</v>
      </c>
      <c r="Q45" s="2"/>
      <c r="R45" s="7">
        <f t="shared" si="32"/>
        <v>6.4594510747081071E-2</v>
      </c>
      <c r="S45" s="2"/>
      <c r="T45" s="6">
        <v>16490.580000000002</v>
      </c>
      <c r="U45" s="2"/>
      <c r="V45" s="7">
        <f t="shared" si="33"/>
        <v>0.46657473194823895</v>
      </c>
      <c r="W45" s="2"/>
      <c r="X45" s="6">
        <f t="shared" si="34"/>
        <v>559.81999999999971</v>
      </c>
      <c r="Y45" s="2"/>
      <c r="Z45" s="7">
        <f t="shared" si="35"/>
        <v>3.3947865993797649E-2</v>
      </c>
    </row>
    <row r="46" spans="1:26" s="29" customFormat="1" outlineLevel="1" collapsed="1" x14ac:dyDescent="0.3">
      <c r="A46" s="28"/>
      <c r="B46" s="14" t="str">
        <f>CONCATENATE("     ","Equipment Rental                                  ")</f>
        <v xml:space="preserve">     Equipment Rental                                  </v>
      </c>
      <c r="C46" s="14"/>
      <c r="D46" s="1">
        <f>SUM(OSRRefD22_6x_0)</f>
        <v>0</v>
      </c>
      <c r="E46" s="1"/>
      <c r="F46" s="5">
        <f t="shared" ref="F46:F56" si="36">IF(D$12=0,0,D46/D$12)</f>
        <v>0</v>
      </c>
      <c r="G46" s="1"/>
      <c r="H46" s="1">
        <f>SUM(OSRRefH22_6x_0)</f>
        <v>208.02</v>
      </c>
      <c r="I46" s="1"/>
      <c r="J46" s="5">
        <f t="shared" ref="J46:J56" si="37">IF(H$12=0,0,H46/H$12)</f>
        <v>2.4027111063882868E-2</v>
      </c>
      <c r="K46" s="1"/>
      <c r="L46" s="1">
        <f t="shared" ref="L46:L56" si="38">+D46-H46</f>
        <v>-208.02</v>
      </c>
      <c r="M46" s="1"/>
      <c r="N46" s="5">
        <f t="shared" ref="N46:N56" si="39">IF(H46=0,0,L46/H46)</f>
        <v>-1</v>
      </c>
      <c r="O46" s="14"/>
      <c r="P46" s="1">
        <f>SUM(OSRRefP22_6x_0)</f>
        <v>858.79</v>
      </c>
      <c r="Q46" s="1"/>
      <c r="R46" s="5">
        <f t="shared" ref="R46:R56" si="40">IF(P$12=0,0,P46/P$12)</f>
        <v>3.2534790904897096E-3</v>
      </c>
      <c r="S46" s="1"/>
      <c r="T46" s="1">
        <f>SUM(OSRRefT22_6x_0)</f>
        <v>793.4</v>
      </c>
      <c r="U46" s="1"/>
      <c r="V46" s="5">
        <f t="shared" ref="V46:V56" si="41">IF(T$12=0,0,T46/T$12)</f>
        <v>2.2447991054755669E-2</v>
      </c>
      <c r="W46" s="1"/>
      <c r="X46" s="1">
        <f t="shared" ref="X46:X56" si="42">+P46-T46</f>
        <v>65.389999999999986</v>
      </c>
      <c r="Y46" s="1"/>
      <c r="Z46" s="5">
        <f t="shared" ref="Z46:Z56" si="43">IF(T46=0,0,X46/T46)</f>
        <v>8.2417443912276261E-2</v>
      </c>
    </row>
    <row r="47" spans="1:26" s="24" customFormat="1" hidden="1" outlineLevel="2" x14ac:dyDescent="0.3">
      <c r="A47" s="27"/>
      <c r="B47" s="11" t="str">
        <f>CONCATENATE("          ", "6351", " - ", "EQUIPMENT RENTAL")</f>
        <v xml:space="preserve">          6351 - EQUIPMENT RENTAL</v>
      </c>
      <c r="C47" s="11"/>
      <c r="D47" s="6"/>
      <c r="E47" s="2"/>
      <c r="F47" s="7">
        <f t="shared" si="36"/>
        <v>0</v>
      </c>
      <c r="G47" s="2"/>
      <c r="H47" s="6">
        <v>208.02</v>
      </c>
      <c r="I47" s="2"/>
      <c r="J47" s="7">
        <f t="shared" si="37"/>
        <v>2.4027111063882868E-2</v>
      </c>
      <c r="K47" s="2"/>
      <c r="L47" s="6">
        <f t="shared" si="38"/>
        <v>-208.02</v>
      </c>
      <c r="M47" s="2"/>
      <c r="N47" s="7">
        <f t="shared" si="39"/>
        <v>-1</v>
      </c>
      <c r="O47" s="11"/>
      <c r="P47" s="6">
        <v>858.79</v>
      </c>
      <c r="Q47" s="2"/>
      <c r="R47" s="7">
        <f t="shared" si="40"/>
        <v>3.2534790904897096E-3</v>
      </c>
      <c r="S47" s="2"/>
      <c r="T47" s="6">
        <v>793.4</v>
      </c>
      <c r="U47" s="2"/>
      <c r="V47" s="7">
        <f t="shared" si="41"/>
        <v>2.2447991054755669E-2</v>
      </c>
      <c r="W47" s="2"/>
      <c r="X47" s="6">
        <f t="shared" si="42"/>
        <v>65.389999999999986</v>
      </c>
      <c r="Y47" s="2"/>
      <c r="Z47" s="7">
        <f t="shared" si="43"/>
        <v>8.2417443912276261E-2</v>
      </c>
    </row>
    <row r="48" spans="1:26" s="29" customFormat="1" outlineLevel="1" collapsed="1" x14ac:dyDescent="0.3">
      <c r="A48" s="28"/>
      <c r="B48" s="14" t="str">
        <f>CONCATENATE("     ","General                                           ")</f>
        <v xml:space="preserve">     General                                           </v>
      </c>
      <c r="C48" s="14"/>
      <c r="D48" s="1">
        <f>SUM(OSRRefD22_7x_0)</f>
        <v>0</v>
      </c>
      <c r="E48" s="1"/>
      <c r="F48" s="5">
        <f t="shared" si="36"/>
        <v>0</v>
      </c>
      <c r="G48" s="1"/>
      <c r="H48" s="1">
        <f>SUM(OSRRefH22_7x_0)</f>
        <v>0</v>
      </c>
      <c r="I48" s="1"/>
      <c r="J48" s="5">
        <f t="shared" si="37"/>
        <v>0</v>
      </c>
      <c r="K48" s="1"/>
      <c r="L48" s="1">
        <f t="shared" si="38"/>
        <v>0</v>
      </c>
      <c r="M48" s="1"/>
      <c r="N48" s="5">
        <f t="shared" si="39"/>
        <v>0</v>
      </c>
      <c r="O48" s="14"/>
      <c r="P48" s="1">
        <f>SUM(OSRRefP22_7x_0)</f>
        <v>1520.97</v>
      </c>
      <c r="Q48" s="1"/>
      <c r="R48" s="5">
        <f t="shared" si="40"/>
        <v>5.7621119159074214E-3</v>
      </c>
      <c r="S48" s="1"/>
      <c r="T48" s="1">
        <f>SUM(OSRRefT22_7x_0)</f>
        <v>1955.07</v>
      </c>
      <c r="U48" s="1"/>
      <c r="V48" s="5">
        <f t="shared" si="41"/>
        <v>5.5315596006328668E-2</v>
      </c>
      <c r="W48" s="1"/>
      <c r="X48" s="1">
        <f t="shared" si="42"/>
        <v>-434.09999999999991</v>
      </c>
      <c r="Y48" s="1"/>
      <c r="Z48" s="5">
        <f t="shared" si="43"/>
        <v>-0.22203808559284319</v>
      </c>
    </row>
    <row r="49" spans="1:26" s="24" customFormat="1" hidden="1" outlineLevel="2" x14ac:dyDescent="0.3">
      <c r="A49" s="27"/>
      <c r="B49" s="11" t="str">
        <f>CONCATENATE("          ", "6279", " - ", "GENERAL EXPENSE")</f>
        <v xml:space="preserve">          6279 - GENERAL EXPENSE</v>
      </c>
      <c r="C49" s="11"/>
      <c r="D49" s="6"/>
      <c r="E49" s="2"/>
      <c r="F49" s="7">
        <f t="shared" si="36"/>
        <v>0</v>
      </c>
      <c r="G49" s="2"/>
      <c r="H49" s="6"/>
      <c r="I49" s="2"/>
      <c r="J49" s="7">
        <f t="shared" si="37"/>
        <v>0</v>
      </c>
      <c r="K49" s="2"/>
      <c r="L49" s="6">
        <f t="shared" si="38"/>
        <v>0</v>
      </c>
      <c r="M49" s="2"/>
      <c r="N49" s="7">
        <f t="shared" si="39"/>
        <v>0</v>
      </c>
      <c r="O49" s="11"/>
      <c r="P49" s="6">
        <v>1520.97</v>
      </c>
      <c r="Q49" s="2"/>
      <c r="R49" s="7">
        <f t="shared" si="40"/>
        <v>5.7621119159074214E-3</v>
      </c>
      <c r="S49" s="2"/>
      <c r="T49" s="6">
        <v>1955.07</v>
      </c>
      <c r="U49" s="2"/>
      <c r="V49" s="7">
        <f t="shared" si="41"/>
        <v>5.5315596006328668E-2</v>
      </c>
      <c r="W49" s="2"/>
      <c r="X49" s="6">
        <f t="shared" si="42"/>
        <v>-434.09999999999991</v>
      </c>
      <c r="Y49" s="2"/>
      <c r="Z49" s="7">
        <f t="shared" si="43"/>
        <v>-0.22203808559284319</v>
      </c>
    </row>
    <row r="50" spans="1:26" s="29" customFormat="1" outlineLevel="1" collapsed="1" x14ac:dyDescent="0.3">
      <c r="A50" s="28"/>
      <c r="B50" s="14" t="str">
        <f>CONCATENATE("     ","Insurance                                         ")</f>
        <v xml:space="preserve">     Insurance                                         </v>
      </c>
      <c r="C50" s="14"/>
      <c r="D50" s="1">
        <f>SUM(OSRRefD22_8x_0)</f>
        <v>871.61</v>
      </c>
      <c r="E50" s="1"/>
      <c r="F50" s="5">
        <f t="shared" si="36"/>
        <v>1.5974366530897104E-2</v>
      </c>
      <c r="G50" s="1"/>
      <c r="H50" s="1">
        <f>SUM(OSRRefH22_8x_0)</f>
        <v>641.28</v>
      </c>
      <c r="I50" s="1"/>
      <c r="J50" s="5">
        <f t="shared" si="37"/>
        <v>7.4070309504118859E-2</v>
      </c>
      <c r="K50" s="1"/>
      <c r="L50" s="1">
        <f t="shared" si="38"/>
        <v>230.33000000000004</v>
      </c>
      <c r="M50" s="1"/>
      <c r="N50" s="5">
        <f t="shared" si="39"/>
        <v>0.35917228043912186</v>
      </c>
      <c r="O50" s="14"/>
      <c r="P50" s="1">
        <f>SUM(OSRRefP22_8x_0)</f>
        <v>4358.05</v>
      </c>
      <c r="Q50" s="1"/>
      <c r="R50" s="5">
        <f t="shared" si="40"/>
        <v>1.6510234807471769E-2</v>
      </c>
      <c r="S50" s="1"/>
      <c r="T50" s="1">
        <f>SUM(OSRRefT22_8x_0)</f>
        <v>3206.4</v>
      </c>
      <c r="U50" s="1"/>
      <c r="V50" s="5">
        <f t="shared" si="41"/>
        <v>9.0719988048863859E-2</v>
      </c>
      <c r="W50" s="1"/>
      <c r="X50" s="1">
        <f t="shared" si="42"/>
        <v>1151.6500000000001</v>
      </c>
      <c r="Y50" s="1"/>
      <c r="Z50" s="5">
        <f t="shared" si="43"/>
        <v>0.35917228043912175</v>
      </c>
    </row>
    <row r="51" spans="1:26" s="24" customFormat="1" hidden="1" outlineLevel="2" x14ac:dyDescent="0.3">
      <c r="A51" s="27"/>
      <c r="B51" s="11" t="str">
        <f>CONCATENATE("          ", "6314", " - ", "LIABILITY INSURANCE")</f>
        <v xml:space="preserve">          6314 - LIABILITY INSURANCE</v>
      </c>
      <c r="C51" s="11"/>
      <c r="D51" s="6">
        <v>871.61</v>
      </c>
      <c r="E51" s="2"/>
      <c r="F51" s="7">
        <f t="shared" si="36"/>
        <v>1.5974366530897104E-2</v>
      </c>
      <c r="G51" s="2"/>
      <c r="H51" s="6">
        <v>641.28</v>
      </c>
      <c r="I51" s="2"/>
      <c r="J51" s="7">
        <f t="shared" si="37"/>
        <v>7.4070309504118859E-2</v>
      </c>
      <c r="K51" s="2"/>
      <c r="L51" s="6">
        <f t="shared" si="38"/>
        <v>230.33000000000004</v>
      </c>
      <c r="M51" s="2"/>
      <c r="N51" s="7">
        <f t="shared" si="39"/>
        <v>0.35917228043912186</v>
      </c>
      <c r="O51" s="11"/>
      <c r="P51" s="6">
        <v>4358.05</v>
      </c>
      <c r="Q51" s="2"/>
      <c r="R51" s="7">
        <f t="shared" si="40"/>
        <v>1.6510234807471769E-2</v>
      </c>
      <c r="S51" s="2"/>
      <c r="T51" s="6">
        <v>3206.4</v>
      </c>
      <c r="U51" s="2"/>
      <c r="V51" s="7">
        <f t="shared" si="41"/>
        <v>9.0719988048863859E-2</v>
      </c>
      <c r="W51" s="2"/>
      <c r="X51" s="6">
        <f t="shared" si="42"/>
        <v>1151.6500000000001</v>
      </c>
      <c r="Y51" s="2"/>
      <c r="Z51" s="7">
        <f t="shared" si="43"/>
        <v>0.35917228043912175</v>
      </c>
    </row>
    <row r="52" spans="1:26" s="29" customFormat="1" outlineLevel="1" collapsed="1" x14ac:dyDescent="0.3">
      <c r="A52" s="28"/>
      <c r="B52" s="14" t="str">
        <f>CONCATENATE("     ","Interest                                          ")</f>
        <v xml:space="preserve">     Interest                                          </v>
      </c>
      <c r="C52" s="14"/>
      <c r="D52" s="1">
        <f>SUM(OSRRefD22_9x_0)</f>
        <v>7253</v>
      </c>
      <c r="E52" s="1"/>
      <c r="F52" s="5">
        <f t="shared" si="36"/>
        <v>0.13292881041818785</v>
      </c>
      <c r="G52" s="1"/>
      <c r="H52" s="1">
        <f>SUM(OSRRefH22_9x_0)</f>
        <v>7510</v>
      </c>
      <c r="I52" s="1"/>
      <c r="J52" s="5">
        <f t="shared" si="37"/>
        <v>0.86743392024690091</v>
      </c>
      <c r="K52" s="1"/>
      <c r="L52" s="1">
        <f t="shared" si="38"/>
        <v>-257</v>
      </c>
      <c r="M52" s="1"/>
      <c r="N52" s="5">
        <f t="shared" si="39"/>
        <v>-3.4221038615179764E-2</v>
      </c>
      <c r="O52" s="14"/>
      <c r="P52" s="1">
        <f>SUM(OSRRefP22_9x_0)</f>
        <v>35751</v>
      </c>
      <c r="Q52" s="1"/>
      <c r="R52" s="5">
        <f t="shared" si="40"/>
        <v>0.13544071421895645</v>
      </c>
      <c r="S52" s="1"/>
      <c r="T52" s="1">
        <f>SUM(OSRRefT22_9x_0)</f>
        <v>37063.15</v>
      </c>
      <c r="U52" s="1"/>
      <c r="V52" s="5">
        <f t="shared" si="41"/>
        <v>1.0486428783224953</v>
      </c>
      <c r="W52" s="1"/>
      <c r="X52" s="1">
        <f t="shared" si="42"/>
        <v>-1312.1500000000015</v>
      </c>
      <c r="Y52" s="1"/>
      <c r="Z52" s="5">
        <f t="shared" si="43"/>
        <v>-3.540308905206388E-2</v>
      </c>
    </row>
    <row r="53" spans="1:26" s="24" customFormat="1" hidden="1" outlineLevel="2" x14ac:dyDescent="0.3">
      <c r="A53" s="27"/>
      <c r="B53" s="11" t="str">
        <f>CONCATENATE("          ", "6401", " - ", "INTEREST EXPENSE")</f>
        <v xml:space="preserve">          6401 - INTEREST EXPENSE</v>
      </c>
      <c r="C53" s="11"/>
      <c r="D53" s="6">
        <v>7253</v>
      </c>
      <c r="E53" s="2"/>
      <c r="F53" s="7">
        <f t="shared" si="36"/>
        <v>0.13292881041818785</v>
      </c>
      <c r="G53" s="2"/>
      <c r="H53" s="6">
        <v>7510</v>
      </c>
      <c r="I53" s="2"/>
      <c r="J53" s="7">
        <f t="shared" si="37"/>
        <v>0.86743392024690091</v>
      </c>
      <c r="K53" s="2"/>
      <c r="L53" s="6">
        <f t="shared" si="38"/>
        <v>-257</v>
      </c>
      <c r="M53" s="2"/>
      <c r="N53" s="7">
        <f t="shared" si="39"/>
        <v>-3.4221038615179764E-2</v>
      </c>
      <c r="O53" s="11"/>
      <c r="P53" s="6">
        <v>35751</v>
      </c>
      <c r="Q53" s="2"/>
      <c r="R53" s="7">
        <f t="shared" si="40"/>
        <v>0.13544071421895645</v>
      </c>
      <c r="S53" s="2"/>
      <c r="T53" s="6">
        <v>37063.15</v>
      </c>
      <c r="U53" s="2"/>
      <c r="V53" s="7">
        <f t="shared" si="41"/>
        <v>1.0486428783224953</v>
      </c>
      <c r="W53" s="2"/>
      <c r="X53" s="6">
        <f t="shared" si="42"/>
        <v>-1312.1500000000015</v>
      </c>
      <c r="Y53" s="2"/>
      <c r="Z53" s="7">
        <f t="shared" si="43"/>
        <v>-3.540308905206388E-2</v>
      </c>
    </row>
    <row r="54" spans="1:26" s="29" customFormat="1" outlineLevel="1" collapsed="1" x14ac:dyDescent="0.3">
      <c r="A54" s="28"/>
      <c r="B54" s="14" t="str">
        <f>CONCATENATE("     ","Repair and Maintenance                            ")</f>
        <v xml:space="preserve">     Repair and Maintenance                            </v>
      </c>
      <c r="C54" s="14"/>
      <c r="D54" s="1">
        <f>SUM(OSRRefD22_10x_0)</f>
        <v>1153.32</v>
      </c>
      <c r="E54" s="1"/>
      <c r="F54" s="5">
        <f t="shared" si="36"/>
        <v>2.1137385306977029E-2</v>
      </c>
      <c r="G54" s="1"/>
      <c r="H54" s="1">
        <f>SUM(OSRRefH22_10x_0)</f>
        <v>345.76</v>
      </c>
      <c r="I54" s="1"/>
      <c r="J54" s="5">
        <f t="shared" si="37"/>
        <v>3.9936611486626958E-2</v>
      </c>
      <c r="K54" s="1"/>
      <c r="L54" s="1">
        <f t="shared" si="38"/>
        <v>807.56</v>
      </c>
      <c r="M54" s="1"/>
      <c r="N54" s="5">
        <f t="shared" si="39"/>
        <v>2.335608514576585</v>
      </c>
      <c r="O54" s="14"/>
      <c r="P54" s="1">
        <f>SUM(OSRRefP22_10x_0)</f>
        <v>16438.66</v>
      </c>
      <c r="Q54" s="1"/>
      <c r="R54" s="5">
        <f t="shared" si="40"/>
        <v>6.2276967111481937E-2</v>
      </c>
      <c r="S54" s="1"/>
      <c r="T54" s="1">
        <f>SUM(OSRRefT22_10x_0)</f>
        <v>12184.07</v>
      </c>
      <c r="U54" s="1"/>
      <c r="V54" s="5">
        <f t="shared" si="41"/>
        <v>0.34472888123332102</v>
      </c>
      <c r="W54" s="1"/>
      <c r="X54" s="1">
        <f t="shared" si="42"/>
        <v>4254.59</v>
      </c>
      <c r="Y54" s="1"/>
      <c r="Z54" s="5">
        <f t="shared" si="43"/>
        <v>0.34919283950272778</v>
      </c>
    </row>
    <row r="55" spans="1:26" s="24" customFormat="1" hidden="1" outlineLevel="2" x14ac:dyDescent="0.3">
      <c r="A55" s="27"/>
      <c r="B55" s="11" t="str">
        <f>CONCATENATE("          ", "6373", " - ", "MAINTENANCE CONTRACTS")</f>
        <v xml:space="preserve">          6373 - MAINTENANCE CONTRACTS</v>
      </c>
      <c r="C55" s="11"/>
      <c r="D55" s="6">
        <v>992</v>
      </c>
      <c r="E55" s="2"/>
      <c r="F55" s="7">
        <f t="shared" si="36"/>
        <v>1.8180805175078221E-2</v>
      </c>
      <c r="G55" s="2"/>
      <c r="H55" s="6"/>
      <c r="I55" s="2"/>
      <c r="J55" s="7">
        <f t="shared" si="37"/>
        <v>0</v>
      </c>
      <c r="K55" s="2"/>
      <c r="L55" s="6">
        <f t="shared" si="38"/>
        <v>992</v>
      </c>
      <c r="M55" s="2"/>
      <c r="N55" s="7">
        <f t="shared" si="39"/>
        <v>0</v>
      </c>
      <c r="O55" s="11"/>
      <c r="P55" s="6">
        <v>1539.14</v>
      </c>
      <c r="Q55" s="2"/>
      <c r="R55" s="7">
        <f t="shared" si="40"/>
        <v>5.8309479702096352E-3</v>
      </c>
      <c r="S55" s="2"/>
      <c r="T55" s="6">
        <v>6487.82</v>
      </c>
      <c r="U55" s="2"/>
      <c r="V55" s="7">
        <f t="shared" si="41"/>
        <v>0.18356254767439492</v>
      </c>
      <c r="W55" s="2"/>
      <c r="X55" s="6">
        <f t="shared" si="42"/>
        <v>-4948.6799999999994</v>
      </c>
      <c r="Y55" s="2"/>
      <c r="Z55" s="7">
        <f t="shared" si="43"/>
        <v>-0.76276468829283173</v>
      </c>
    </row>
    <row r="56" spans="1:26" s="24" customFormat="1" hidden="1" outlineLevel="2" x14ac:dyDescent="0.3">
      <c r="A56" s="27"/>
      <c r="B56" s="11" t="str">
        <f>CONCATENATE("          ", "6375", " - ", "OUTSIDE REPAIRS &amp; MAINTENANCE")</f>
        <v xml:space="preserve">          6375 - OUTSIDE REPAIRS &amp; MAINTENANCE</v>
      </c>
      <c r="C56" s="11"/>
      <c r="D56" s="6">
        <v>161.32</v>
      </c>
      <c r="E56" s="2"/>
      <c r="F56" s="7">
        <f t="shared" si="36"/>
        <v>2.956580131898809E-3</v>
      </c>
      <c r="G56" s="2"/>
      <c r="H56" s="6">
        <v>345.76</v>
      </c>
      <c r="I56" s="2"/>
      <c r="J56" s="7">
        <f t="shared" si="37"/>
        <v>3.9936611486626958E-2</v>
      </c>
      <c r="K56" s="2"/>
      <c r="L56" s="6">
        <f t="shared" si="38"/>
        <v>-184.44</v>
      </c>
      <c r="M56" s="2"/>
      <c r="N56" s="7">
        <f t="shared" si="39"/>
        <v>-0.53343359555761227</v>
      </c>
      <c r="O56" s="11"/>
      <c r="P56" s="6">
        <v>14899.52</v>
      </c>
      <c r="Q56" s="2"/>
      <c r="R56" s="7">
        <f t="shared" si="40"/>
        <v>5.6446019141272306E-2</v>
      </c>
      <c r="S56" s="2"/>
      <c r="T56" s="6">
        <v>5696.25</v>
      </c>
      <c r="U56" s="2"/>
      <c r="V56" s="7">
        <f t="shared" si="41"/>
        <v>0.16116633355892612</v>
      </c>
      <c r="W56" s="2"/>
      <c r="X56" s="6">
        <f t="shared" si="42"/>
        <v>9203.27</v>
      </c>
      <c r="Y56" s="2"/>
      <c r="Z56" s="7">
        <f t="shared" si="43"/>
        <v>1.6156717138468291</v>
      </c>
    </row>
    <row r="57" spans="1:26" s="29" customFormat="1" outlineLevel="1" collapsed="1" x14ac:dyDescent="0.3">
      <c r="A57" s="28"/>
      <c r="B57" s="14" t="str">
        <f>CONCATENATE("     ","Services                                          ")</f>
        <v xml:space="preserve">     Services                                          </v>
      </c>
      <c r="C57" s="14"/>
      <c r="D57" s="1">
        <f>SUM(OSRRefD22_11x_0)</f>
        <v>4018.19</v>
      </c>
      <c r="E57" s="1"/>
      <c r="F57" s="5">
        <f t="shared" ref="F57:F61" si="44">IF(D$12=0,0,D57/D$12)</f>
        <v>7.3643074139564071E-2</v>
      </c>
      <c r="G57" s="1"/>
      <c r="H57" s="1">
        <f>SUM(OSRRefH22_11x_0)</f>
        <v>4179.4400000000005</v>
      </c>
      <c r="I57" s="1"/>
      <c r="J57" s="5">
        <f t="shared" ref="J57:J61" si="45">IF(H$12=0,0,H57/H$12)</f>
        <v>0.48274141459876274</v>
      </c>
      <c r="K57" s="1"/>
      <c r="L57" s="1">
        <f t="shared" ref="L57:L61" si="46">+D57-H57</f>
        <v>-161.25000000000045</v>
      </c>
      <c r="M57" s="1"/>
      <c r="N57" s="5">
        <f t="shared" ref="N57:N61" si="47">IF(H57=0,0,L57/H57)</f>
        <v>-3.858172386731247E-2</v>
      </c>
      <c r="O57" s="14"/>
      <c r="P57" s="1">
        <f>SUM(OSRRefP22_11x_0)</f>
        <v>28440.09</v>
      </c>
      <c r="Q57" s="1"/>
      <c r="R57" s="5">
        <f t="shared" ref="R57:R61" si="48">IF(P$12=0,0,P57/P$12)</f>
        <v>0.10774373030268808</v>
      </c>
      <c r="S57" s="1"/>
      <c r="T57" s="1">
        <f>SUM(OSRRefT22_11x_0)</f>
        <v>16184.03</v>
      </c>
      <c r="U57" s="1"/>
      <c r="V57" s="5">
        <f t="shared" ref="V57:V61" si="49">IF(T$12=0,0,T57/T$12)</f>
        <v>0.457901387282452</v>
      </c>
      <c r="W57" s="1"/>
      <c r="X57" s="1">
        <f t="shared" ref="X57:X61" si="50">+P57-T57</f>
        <v>12256.06</v>
      </c>
      <c r="Y57" s="1"/>
      <c r="Z57" s="5">
        <f t="shared" ref="Z57:Z61" si="51">IF(T57=0,0,X57/T57)</f>
        <v>0.75729345533837977</v>
      </c>
    </row>
    <row r="58" spans="1:26" s="24" customFormat="1" hidden="1" outlineLevel="2" x14ac:dyDescent="0.3">
      <c r="A58" s="27"/>
      <c r="B58" s="11" t="str">
        <f>CONCATENATE("          ", "6282", " - ", "JANITORIAL/EXTERMINATOR EXPENS")</f>
        <v xml:space="preserve">          6282 - JANITORIAL/EXTERMINATOR EXPENS</v>
      </c>
      <c r="C58" s="11"/>
      <c r="D58" s="6">
        <v>351.55</v>
      </c>
      <c r="E58" s="2"/>
      <c r="F58" s="7">
        <f t="shared" si="44"/>
        <v>6.4430061081640613E-3</v>
      </c>
      <c r="G58" s="2"/>
      <c r="H58" s="6"/>
      <c r="I58" s="2"/>
      <c r="J58" s="7">
        <f t="shared" si="45"/>
        <v>0</v>
      </c>
      <c r="K58" s="2"/>
      <c r="L58" s="6">
        <f t="shared" si="46"/>
        <v>351.55</v>
      </c>
      <c r="M58" s="2"/>
      <c r="N58" s="7">
        <f t="shared" si="47"/>
        <v>0</v>
      </c>
      <c r="O58" s="11"/>
      <c r="P58" s="6">
        <v>1757.75</v>
      </c>
      <c r="Q58" s="2"/>
      <c r="R58" s="7">
        <f t="shared" si="48"/>
        <v>6.6591400357576208E-3</v>
      </c>
      <c r="S58" s="2"/>
      <c r="T58" s="6">
        <v>1466.03</v>
      </c>
      <c r="U58" s="2"/>
      <c r="V58" s="7">
        <f t="shared" si="49"/>
        <v>4.1478987050672364E-2</v>
      </c>
      <c r="W58" s="2"/>
      <c r="X58" s="6">
        <f t="shared" si="50"/>
        <v>291.72000000000003</v>
      </c>
      <c r="Y58" s="2"/>
      <c r="Z58" s="7">
        <f t="shared" si="51"/>
        <v>0.19898637817779993</v>
      </c>
    </row>
    <row r="59" spans="1:26" s="24" customFormat="1" hidden="1" outlineLevel="2" x14ac:dyDescent="0.3">
      <c r="A59" s="27"/>
      <c r="B59" s="11" t="str">
        <f>CONCATENATE("          ", "6284", " - ", "TRASH REMOVAL EXPENSE")</f>
        <v xml:space="preserve">          6284 - TRASH REMOVAL EXPENSE</v>
      </c>
      <c r="C59" s="11"/>
      <c r="D59" s="6"/>
      <c r="E59" s="2"/>
      <c r="F59" s="7">
        <f t="shared" si="44"/>
        <v>0</v>
      </c>
      <c r="G59" s="2"/>
      <c r="H59" s="6">
        <v>1000</v>
      </c>
      <c r="I59" s="2"/>
      <c r="J59" s="7">
        <f t="shared" si="45"/>
        <v>0.11550385089838894</v>
      </c>
      <c r="K59" s="2"/>
      <c r="L59" s="6">
        <f t="shared" si="46"/>
        <v>-1000</v>
      </c>
      <c r="M59" s="2"/>
      <c r="N59" s="7">
        <f t="shared" si="47"/>
        <v>-1</v>
      </c>
      <c r="O59" s="11"/>
      <c r="P59" s="6"/>
      <c r="Q59" s="2"/>
      <c r="R59" s="7">
        <f t="shared" si="48"/>
        <v>0</v>
      </c>
      <c r="S59" s="2"/>
      <c r="T59" s="6">
        <v>4761</v>
      </c>
      <c r="U59" s="2"/>
      <c r="V59" s="7">
        <f t="shared" si="49"/>
        <v>0.13470492237420184</v>
      </c>
      <c r="W59" s="2"/>
      <c r="X59" s="6">
        <f t="shared" si="50"/>
        <v>-4761</v>
      </c>
      <c r="Y59" s="2"/>
      <c r="Z59" s="7">
        <f t="shared" si="51"/>
        <v>-1</v>
      </c>
    </row>
    <row r="60" spans="1:26" s="24" customFormat="1" hidden="1" outlineLevel="2" x14ac:dyDescent="0.3">
      <c r="A60" s="27"/>
      <c r="B60" s="11" t="str">
        <f>CONCATENATE("          ", "6285", " - ", "JANITORIAL SERVICES")</f>
        <v xml:space="preserve">          6285 - JANITORIAL SERVICES</v>
      </c>
      <c r="C60" s="11"/>
      <c r="D60" s="6">
        <v>3385.52</v>
      </c>
      <c r="E60" s="2"/>
      <c r="F60" s="7">
        <f t="shared" si="44"/>
        <v>6.2047862435817357E-2</v>
      </c>
      <c r="G60" s="2"/>
      <c r="H60" s="6">
        <v>3179.44</v>
      </c>
      <c r="I60" s="2"/>
      <c r="J60" s="7">
        <f t="shared" si="45"/>
        <v>0.36723756370037375</v>
      </c>
      <c r="K60" s="2"/>
      <c r="L60" s="6">
        <f t="shared" si="46"/>
        <v>206.07999999999993</v>
      </c>
      <c r="M60" s="2"/>
      <c r="N60" s="7">
        <f t="shared" si="47"/>
        <v>6.4816445663387234E-2</v>
      </c>
      <c r="O60" s="11"/>
      <c r="P60" s="6">
        <v>25353.48</v>
      </c>
      <c r="Q60" s="2"/>
      <c r="R60" s="7">
        <f t="shared" si="48"/>
        <v>9.6050276611452212E-2</v>
      </c>
      <c r="S60" s="2"/>
      <c r="T60" s="6">
        <v>9591.3700000000008</v>
      </c>
      <c r="U60" s="2"/>
      <c r="V60" s="7">
        <f t="shared" si="49"/>
        <v>0.2713725585616989</v>
      </c>
      <c r="W60" s="2"/>
      <c r="X60" s="6">
        <f t="shared" si="50"/>
        <v>15762.109999999999</v>
      </c>
      <c r="Y60" s="2"/>
      <c r="Z60" s="7">
        <f t="shared" si="51"/>
        <v>1.6433637738925719</v>
      </c>
    </row>
    <row r="61" spans="1:26" s="24" customFormat="1" hidden="1" outlineLevel="2" x14ac:dyDescent="0.3">
      <c r="A61" s="27"/>
      <c r="B61" s="11" t="str">
        <f>CONCATENATE("          ", "6286", " - ", "LAUNDRY EXPENSE")</f>
        <v xml:space="preserve">          6286 - LAUNDRY EXPENSE</v>
      </c>
      <c r="C61" s="11"/>
      <c r="D61" s="6">
        <v>281.12</v>
      </c>
      <c r="E61" s="2"/>
      <c r="F61" s="7">
        <f t="shared" si="44"/>
        <v>5.1522055955826509E-3</v>
      </c>
      <c r="G61" s="2"/>
      <c r="H61" s="6"/>
      <c r="I61" s="2"/>
      <c r="J61" s="7">
        <f t="shared" si="45"/>
        <v>0</v>
      </c>
      <c r="K61" s="2"/>
      <c r="L61" s="6">
        <f t="shared" si="46"/>
        <v>281.12</v>
      </c>
      <c r="M61" s="2"/>
      <c r="N61" s="7">
        <f t="shared" si="47"/>
        <v>0</v>
      </c>
      <c r="O61" s="11"/>
      <c r="P61" s="6">
        <v>1328.86</v>
      </c>
      <c r="Q61" s="2"/>
      <c r="R61" s="7">
        <f t="shared" si="48"/>
        <v>5.0343136554782371E-3</v>
      </c>
      <c r="S61" s="2"/>
      <c r="T61" s="6">
        <v>365.63</v>
      </c>
      <c r="U61" s="2"/>
      <c r="V61" s="7">
        <f t="shared" si="49"/>
        <v>1.0344919295878895E-2</v>
      </c>
      <c r="W61" s="2"/>
      <c r="X61" s="6">
        <f t="shared" si="50"/>
        <v>963.2299999999999</v>
      </c>
      <c r="Y61" s="2"/>
      <c r="Z61" s="7">
        <f t="shared" si="51"/>
        <v>2.6344391871564148</v>
      </c>
    </row>
    <row r="62" spans="1:26" s="29" customFormat="1" outlineLevel="1" collapsed="1" x14ac:dyDescent="0.3">
      <c r="A62" s="28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1">
        <f>SUM(OSRRefD22_12x_0)</f>
        <v>327.64</v>
      </c>
      <c r="E62" s="1"/>
      <c r="F62" s="5">
        <f t="shared" ref="F62:F70" si="52">IF(D$12=0,0,D62/D$12)</f>
        <v>6.0047973866558749E-3</v>
      </c>
      <c r="G62" s="1"/>
      <c r="H62" s="1">
        <f>SUM(OSRRefH22_12x_0)</f>
        <v>0</v>
      </c>
      <c r="I62" s="1"/>
      <c r="J62" s="5">
        <f t="shared" ref="J62:J70" si="53">IF(H$12=0,0,H62/H$12)</f>
        <v>0</v>
      </c>
      <c r="K62" s="1"/>
      <c r="L62" s="1">
        <f t="shared" ref="L62:L70" si="54">+D62-H62</f>
        <v>327.64</v>
      </c>
      <c r="M62" s="1"/>
      <c r="N62" s="5">
        <f t="shared" ref="N62:N70" si="55">IF(H62=0,0,L62/H62)</f>
        <v>0</v>
      </c>
      <c r="O62" s="14"/>
      <c r="P62" s="1">
        <f>SUM(OSRRefP22_12x_0)</f>
        <v>1707.89</v>
      </c>
      <c r="Q62" s="1"/>
      <c r="R62" s="5">
        <f t="shared" ref="R62:R70" si="56">IF(P$12=0,0,P62/P$12)</f>
        <v>6.4702481443152235E-3</v>
      </c>
      <c r="S62" s="1"/>
      <c r="T62" s="1">
        <f>SUM(OSRRefT22_12x_0)</f>
        <v>271.33</v>
      </c>
      <c r="U62" s="1"/>
      <c r="V62" s="5">
        <f t="shared" ref="V62:V70" si="57">IF(T$12=0,0,T62/T$12)</f>
        <v>7.6768507850855251E-3</v>
      </c>
      <c r="W62" s="1"/>
      <c r="X62" s="1">
        <f t="shared" ref="X62:X70" si="58">+P62-T62</f>
        <v>1436.5600000000002</v>
      </c>
      <c r="Y62" s="1"/>
      <c r="Z62" s="5">
        <f t="shared" ref="Z62:Z70" si="59">IF(T62=0,0,X62/T62)</f>
        <v>5.2945122175948116</v>
      </c>
    </row>
    <row r="63" spans="1:26" s="24" customFormat="1" hidden="1" outlineLevel="2" x14ac:dyDescent="0.3">
      <c r="A63" s="27"/>
      <c r="B63" s="11" t="str">
        <f>CONCATENATE("          ", "6275", " - ", "SUBSCRIPTIONS")</f>
        <v xml:space="preserve">          6275 - SUBSCRIPTIONS</v>
      </c>
      <c r="C63" s="11"/>
      <c r="D63" s="6">
        <v>327.64</v>
      </c>
      <c r="E63" s="2"/>
      <c r="F63" s="7">
        <f t="shared" si="52"/>
        <v>6.0047973866558749E-3</v>
      </c>
      <c r="G63" s="2"/>
      <c r="H63" s="6"/>
      <c r="I63" s="2"/>
      <c r="J63" s="7">
        <f t="shared" si="53"/>
        <v>0</v>
      </c>
      <c r="K63" s="2"/>
      <c r="L63" s="6">
        <f t="shared" si="54"/>
        <v>327.64</v>
      </c>
      <c r="M63" s="2"/>
      <c r="N63" s="7">
        <f t="shared" si="55"/>
        <v>0</v>
      </c>
      <c r="O63" s="11"/>
      <c r="P63" s="6">
        <v>1707.89</v>
      </c>
      <c r="Q63" s="2"/>
      <c r="R63" s="7">
        <f t="shared" si="56"/>
        <v>6.4702481443152235E-3</v>
      </c>
      <c r="S63" s="2"/>
      <c r="T63" s="6">
        <v>271.33</v>
      </c>
      <c r="U63" s="2"/>
      <c r="V63" s="7">
        <f t="shared" si="57"/>
        <v>7.6768507850855251E-3</v>
      </c>
      <c r="W63" s="2"/>
      <c r="X63" s="6">
        <f t="shared" si="58"/>
        <v>1436.5600000000002</v>
      </c>
      <c r="Y63" s="2"/>
      <c r="Z63" s="7">
        <f t="shared" si="59"/>
        <v>5.2945122175948116</v>
      </c>
    </row>
    <row r="64" spans="1:26" s="29" customFormat="1" outlineLevel="1" collapsed="1" x14ac:dyDescent="0.3">
      <c r="A64" s="28"/>
      <c r="B64" s="14" t="str">
        <f>CONCATENATE("     ","Supplies                                          ")</f>
        <v xml:space="preserve">     Supplies                                          </v>
      </c>
      <c r="C64" s="14"/>
      <c r="D64" s="1">
        <f>SUM(OSRRefD22_13x_0)</f>
        <v>887.49</v>
      </c>
      <c r="E64" s="1"/>
      <c r="F64" s="5">
        <f t="shared" si="52"/>
        <v>1.6265406033094929E-2</v>
      </c>
      <c r="G64" s="1"/>
      <c r="H64" s="1">
        <f>SUM(OSRRefH22_13x_0)</f>
        <v>0</v>
      </c>
      <c r="I64" s="1"/>
      <c r="J64" s="5">
        <f t="shared" si="53"/>
        <v>0</v>
      </c>
      <c r="K64" s="1"/>
      <c r="L64" s="1">
        <f t="shared" si="54"/>
        <v>887.49</v>
      </c>
      <c r="M64" s="1"/>
      <c r="N64" s="5">
        <f t="shared" si="55"/>
        <v>0</v>
      </c>
      <c r="O64" s="14"/>
      <c r="P64" s="1">
        <f>SUM(OSRRefP22_13x_0)</f>
        <v>9157.31</v>
      </c>
      <c r="Q64" s="1"/>
      <c r="R64" s="5">
        <f t="shared" si="56"/>
        <v>3.4691969643489473E-2</v>
      </c>
      <c r="S64" s="1"/>
      <c r="T64" s="1">
        <f>SUM(OSRRefT22_13x_0)</f>
        <v>7486.5</v>
      </c>
      <c r="U64" s="1"/>
      <c r="V64" s="5">
        <f t="shared" si="57"/>
        <v>0.2118186098203029</v>
      </c>
      <c r="W64" s="1"/>
      <c r="X64" s="1">
        <f t="shared" si="58"/>
        <v>1670.8099999999995</v>
      </c>
      <c r="Y64" s="1"/>
      <c r="Z64" s="5">
        <f t="shared" si="59"/>
        <v>0.22317638415815128</v>
      </c>
    </row>
    <row r="65" spans="1:26" s="24" customFormat="1" hidden="1" outlineLevel="2" x14ac:dyDescent="0.3">
      <c r="A65" s="27"/>
      <c r="B65" s="11" t="str">
        <f>CONCATENATE("          ", "6234", " - ", "EXPENDABLE SUPPLIES &amp; EQUIPMEN")</f>
        <v xml:space="preserve">          6234 - EXPENDABLE SUPPLIES &amp; EQUIPMEN</v>
      </c>
      <c r="C65" s="11"/>
      <c r="D65" s="6"/>
      <c r="E65" s="2"/>
      <c r="F65" s="7">
        <f t="shared" si="52"/>
        <v>0</v>
      </c>
      <c r="G65" s="2"/>
      <c r="H65" s="6"/>
      <c r="I65" s="2"/>
      <c r="J65" s="7">
        <f t="shared" si="53"/>
        <v>0</v>
      </c>
      <c r="K65" s="2"/>
      <c r="L65" s="6">
        <f t="shared" si="54"/>
        <v>0</v>
      </c>
      <c r="M65" s="2"/>
      <c r="N65" s="7">
        <f t="shared" si="55"/>
        <v>0</v>
      </c>
      <c r="O65" s="11"/>
      <c r="P65" s="6"/>
      <c r="Q65" s="2"/>
      <c r="R65" s="7">
        <f t="shared" si="56"/>
        <v>0</v>
      </c>
      <c r="S65" s="2"/>
      <c r="T65" s="6">
        <v>310.91000000000003</v>
      </c>
      <c r="U65" s="2"/>
      <c r="V65" s="7">
        <f t="shared" si="57"/>
        <v>8.7967039309731366E-3</v>
      </c>
      <c r="W65" s="2"/>
      <c r="X65" s="6">
        <f t="shared" si="58"/>
        <v>-310.91000000000003</v>
      </c>
      <c r="Y65" s="2"/>
      <c r="Z65" s="7">
        <f t="shared" si="59"/>
        <v>-1</v>
      </c>
    </row>
    <row r="66" spans="1:26" s="24" customFormat="1" hidden="1" outlineLevel="2" x14ac:dyDescent="0.3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52"/>
        <v>0</v>
      </c>
      <c r="G66" s="2"/>
      <c r="H66" s="6"/>
      <c r="I66" s="2"/>
      <c r="J66" s="7">
        <f t="shared" si="53"/>
        <v>0</v>
      </c>
      <c r="K66" s="2"/>
      <c r="L66" s="6">
        <f t="shared" si="54"/>
        <v>0</v>
      </c>
      <c r="M66" s="2"/>
      <c r="N66" s="7">
        <f t="shared" si="55"/>
        <v>0</v>
      </c>
      <c r="O66" s="11"/>
      <c r="P66" s="6"/>
      <c r="Q66" s="2"/>
      <c r="R66" s="7">
        <f t="shared" si="56"/>
        <v>0</v>
      </c>
      <c r="S66" s="2"/>
      <c r="T66" s="6">
        <v>6753.97</v>
      </c>
      <c r="U66" s="2"/>
      <c r="V66" s="7">
        <f t="shared" si="57"/>
        <v>0.19109283859854823</v>
      </c>
      <c r="W66" s="2"/>
      <c r="X66" s="6">
        <f t="shared" si="58"/>
        <v>-6753.97</v>
      </c>
      <c r="Y66" s="2"/>
      <c r="Z66" s="7">
        <f t="shared" si="59"/>
        <v>-1</v>
      </c>
    </row>
    <row r="67" spans="1:26" s="24" customFormat="1" hidden="1" outlineLevel="2" x14ac:dyDescent="0.3">
      <c r="A67" s="27"/>
      <c r="B67" s="11" t="str">
        <f>CONCATENATE("          ", "6237", " - ", "JANITORIAL SUPPLIES")</f>
        <v xml:space="preserve">          6237 - JANITORIAL SUPPLIES</v>
      </c>
      <c r="C67" s="11"/>
      <c r="D67" s="6">
        <v>583.25</v>
      </c>
      <c r="E67" s="2"/>
      <c r="F67" s="7">
        <f t="shared" si="52"/>
        <v>1.0689470381415699E-2</v>
      </c>
      <c r="G67" s="2"/>
      <c r="H67" s="6"/>
      <c r="I67" s="2"/>
      <c r="J67" s="7">
        <f t="shared" si="53"/>
        <v>0</v>
      </c>
      <c r="K67" s="2"/>
      <c r="L67" s="6">
        <f t="shared" si="54"/>
        <v>583.25</v>
      </c>
      <c r="M67" s="2"/>
      <c r="N67" s="7">
        <f t="shared" si="55"/>
        <v>0</v>
      </c>
      <c r="O67" s="11"/>
      <c r="P67" s="6">
        <v>4187.22</v>
      </c>
      <c r="Q67" s="2"/>
      <c r="R67" s="7">
        <f t="shared" si="56"/>
        <v>1.5863054666775723E-2</v>
      </c>
      <c r="S67" s="2"/>
      <c r="T67" s="6">
        <v>268.05</v>
      </c>
      <c r="U67" s="2"/>
      <c r="V67" s="7">
        <f t="shared" si="57"/>
        <v>7.5840484021014089E-3</v>
      </c>
      <c r="W67" s="2"/>
      <c r="X67" s="6">
        <f t="shared" si="58"/>
        <v>3919.17</v>
      </c>
      <c r="Y67" s="2"/>
      <c r="Z67" s="7">
        <f t="shared" si="59"/>
        <v>14.621040850587576</v>
      </c>
    </row>
    <row r="68" spans="1:26" s="24" customFormat="1" hidden="1" outlineLevel="2" x14ac:dyDescent="0.3">
      <c r="A68" s="27"/>
      <c r="B68" s="11" t="str">
        <f>CONCATENATE("          ", "6239", " - ", "KITCHEN SUPPLIES")</f>
        <v xml:space="preserve">          6239 - KITCHEN SUPPLIES</v>
      </c>
      <c r="C68" s="11"/>
      <c r="D68" s="6">
        <v>186.11</v>
      </c>
      <c r="E68" s="2"/>
      <c r="F68" s="7">
        <f t="shared" si="52"/>
        <v>3.4109169870300484E-3</v>
      </c>
      <c r="G68" s="2"/>
      <c r="H68" s="6"/>
      <c r="I68" s="2"/>
      <c r="J68" s="7">
        <f t="shared" si="53"/>
        <v>0</v>
      </c>
      <c r="K68" s="2"/>
      <c r="L68" s="6">
        <f t="shared" si="54"/>
        <v>186.11</v>
      </c>
      <c r="M68" s="2"/>
      <c r="N68" s="7">
        <f t="shared" si="55"/>
        <v>0</v>
      </c>
      <c r="O68" s="11"/>
      <c r="P68" s="6">
        <v>1339.38</v>
      </c>
      <c r="Q68" s="2"/>
      <c r="R68" s="7">
        <f t="shared" si="56"/>
        <v>5.0741681018876654E-3</v>
      </c>
      <c r="S68" s="2"/>
      <c r="T68" s="6">
        <v>19.829999999999998</v>
      </c>
      <c r="U68" s="2"/>
      <c r="V68" s="7">
        <f t="shared" si="57"/>
        <v>5.6105830932165978E-4</v>
      </c>
      <c r="W68" s="2"/>
      <c r="X68" s="6">
        <f t="shared" si="58"/>
        <v>1319.5500000000002</v>
      </c>
      <c r="Y68" s="2"/>
      <c r="Z68" s="7">
        <f t="shared" si="59"/>
        <v>66.543116490166426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6">
        <v>118.13</v>
      </c>
      <c r="E69" s="2"/>
      <c r="F69" s="7">
        <f t="shared" si="52"/>
        <v>2.1650186646491837E-3</v>
      </c>
      <c r="G69" s="2"/>
      <c r="H69" s="6"/>
      <c r="I69" s="2"/>
      <c r="J69" s="7">
        <f t="shared" si="53"/>
        <v>0</v>
      </c>
      <c r="K69" s="2"/>
      <c r="L69" s="6">
        <f t="shared" si="54"/>
        <v>118.13</v>
      </c>
      <c r="M69" s="2"/>
      <c r="N69" s="7">
        <f t="shared" si="55"/>
        <v>0</v>
      </c>
      <c r="O69" s="11"/>
      <c r="P69" s="6">
        <v>3144.48</v>
      </c>
      <c r="Q69" s="2"/>
      <c r="R69" s="7">
        <f t="shared" si="56"/>
        <v>1.1912691030942469E-2</v>
      </c>
      <c r="S69" s="2"/>
      <c r="T69" s="6">
        <v>133.74</v>
      </c>
      <c r="U69" s="2"/>
      <c r="V69" s="7">
        <f t="shared" si="57"/>
        <v>3.7839605793584868E-3</v>
      </c>
      <c r="W69" s="2"/>
      <c r="X69" s="6">
        <f t="shared" si="58"/>
        <v>3010.74</v>
      </c>
      <c r="Y69" s="2"/>
      <c r="Z69" s="7">
        <f t="shared" si="59"/>
        <v>22.511888739344993</v>
      </c>
    </row>
    <row r="70" spans="1:26" s="24" customFormat="1" hidden="1" outlineLevel="2" x14ac:dyDescent="0.3">
      <c r="A70" s="27"/>
      <c r="B70" s="11" t="str">
        <f>CONCATENATE("          ", "6243", " - ", "PAPER SUPPLIES")</f>
        <v xml:space="preserve">          6243 - PAPER SUPPLIES</v>
      </c>
      <c r="C70" s="11"/>
      <c r="D70" s="6"/>
      <c r="E70" s="2"/>
      <c r="F70" s="7">
        <f t="shared" si="52"/>
        <v>0</v>
      </c>
      <c r="G70" s="2"/>
      <c r="H70" s="6"/>
      <c r="I70" s="2"/>
      <c r="J70" s="7">
        <f t="shared" si="53"/>
        <v>0</v>
      </c>
      <c r="K70" s="2"/>
      <c r="L70" s="6">
        <f t="shared" si="54"/>
        <v>0</v>
      </c>
      <c r="M70" s="2"/>
      <c r="N70" s="7">
        <f t="shared" si="55"/>
        <v>0</v>
      </c>
      <c r="O70" s="11"/>
      <c r="P70" s="6">
        <v>486.23</v>
      </c>
      <c r="Q70" s="2"/>
      <c r="R70" s="7">
        <f t="shared" si="56"/>
        <v>1.8420558438836173E-3</v>
      </c>
      <c r="S70" s="2"/>
      <c r="T70" s="6"/>
      <c r="U70" s="2"/>
      <c r="V70" s="7">
        <f t="shared" si="57"/>
        <v>0</v>
      </c>
      <c r="W70" s="2"/>
      <c r="X70" s="6">
        <f t="shared" si="58"/>
        <v>486.23</v>
      </c>
      <c r="Y70" s="2"/>
      <c r="Z70" s="7">
        <f t="shared" si="59"/>
        <v>0</v>
      </c>
    </row>
    <row r="71" spans="1:26" s="29" customFormat="1" outlineLevel="1" collapsed="1" x14ac:dyDescent="0.3">
      <c r="A71" s="28"/>
      <c r="B71" s="14" t="str">
        <f>CONCATENATE("     ","Telephone/Data Lines                              ")</f>
        <v xml:space="preserve">     Telephone/Data Lines                              </v>
      </c>
      <c r="C71" s="14"/>
      <c r="D71" s="1">
        <f>SUM(OSRRefD22_14x_0)</f>
        <v>255.3</v>
      </c>
      <c r="E71" s="1"/>
      <c r="F71" s="5">
        <f t="shared" ref="F71:F76" si="60">IF(D$12=0,0,D71/D$12)</f>
        <v>4.6789914931426113E-3</v>
      </c>
      <c r="G71" s="1"/>
      <c r="H71" s="1">
        <f>SUM(OSRRefH22_14x_0)</f>
        <v>-56</v>
      </c>
      <c r="I71" s="1"/>
      <c r="J71" s="5">
        <f t="shared" ref="J71:J76" si="61">IF(H$12=0,0,H71/H$12)</f>
        <v>-6.4682156503097802E-3</v>
      </c>
      <c r="K71" s="1"/>
      <c r="L71" s="1">
        <f t="shared" ref="L71:L76" si="62">+D71-H71</f>
        <v>311.3</v>
      </c>
      <c r="M71" s="1"/>
      <c r="N71" s="5">
        <f t="shared" ref="N71:N76" si="63">IF(H71=0,0,L71/H71)</f>
        <v>-5.5589285714285719</v>
      </c>
      <c r="O71" s="14"/>
      <c r="P71" s="1">
        <f>SUM(OSRRefP22_14x_0)</f>
        <v>1451.78</v>
      </c>
      <c r="Q71" s="1"/>
      <c r="R71" s="5">
        <f t="shared" ref="R71:R76" si="64">IF(P$12=0,0,P71/P$12)</f>
        <v>5.4999893734104391E-3</v>
      </c>
      <c r="S71" s="1"/>
      <c r="T71" s="1">
        <f>SUM(OSRRefT22_14x_0)</f>
        <v>1078</v>
      </c>
      <c r="U71" s="1"/>
      <c r="V71" s="5">
        <f t="shared" ref="V71:V76" si="65">IF(T$12=0,0,T71/T$12)</f>
        <v>3.0500295383194622E-2</v>
      </c>
      <c r="W71" s="1"/>
      <c r="X71" s="1">
        <f t="shared" ref="X71:X76" si="66">+P71-T71</f>
        <v>373.78</v>
      </c>
      <c r="Y71" s="1"/>
      <c r="Z71" s="5">
        <f t="shared" ref="Z71:Z76" si="67">IF(T71=0,0,X71/T71)</f>
        <v>0.34673469387755101</v>
      </c>
    </row>
    <row r="72" spans="1:26" s="24" customFormat="1" hidden="1" outlineLevel="2" x14ac:dyDescent="0.3">
      <c r="A72" s="27"/>
      <c r="B72" s="11" t="str">
        <f>CONCATENATE("          ", "6309", " - ", "TELEPHONE")</f>
        <v xml:space="preserve">          6309 - TELEPHONE</v>
      </c>
      <c r="C72" s="11"/>
      <c r="D72" s="6">
        <v>255.3</v>
      </c>
      <c r="E72" s="2"/>
      <c r="F72" s="7">
        <f t="shared" si="60"/>
        <v>4.6789914931426113E-3</v>
      </c>
      <c r="G72" s="2"/>
      <c r="H72" s="6">
        <v>-56</v>
      </c>
      <c r="I72" s="2"/>
      <c r="J72" s="7">
        <f t="shared" si="61"/>
        <v>-6.4682156503097802E-3</v>
      </c>
      <c r="K72" s="2"/>
      <c r="L72" s="6">
        <f t="shared" si="62"/>
        <v>311.3</v>
      </c>
      <c r="M72" s="2"/>
      <c r="N72" s="7">
        <f t="shared" si="63"/>
        <v>-5.5589285714285719</v>
      </c>
      <c r="O72" s="11"/>
      <c r="P72" s="6">
        <v>1451.78</v>
      </c>
      <c r="Q72" s="2"/>
      <c r="R72" s="7">
        <f t="shared" si="64"/>
        <v>5.4999893734104391E-3</v>
      </c>
      <c r="S72" s="2"/>
      <c r="T72" s="6">
        <v>1078</v>
      </c>
      <c r="U72" s="2"/>
      <c r="V72" s="7">
        <f t="shared" si="65"/>
        <v>3.0500295383194622E-2</v>
      </c>
      <c r="W72" s="2"/>
      <c r="X72" s="6">
        <f t="shared" si="66"/>
        <v>373.78</v>
      </c>
      <c r="Y72" s="2"/>
      <c r="Z72" s="7">
        <f t="shared" si="67"/>
        <v>0.34673469387755101</v>
      </c>
    </row>
    <row r="73" spans="1:26" s="29" customFormat="1" outlineLevel="1" collapsed="1" x14ac:dyDescent="0.3">
      <c r="A73" s="28"/>
      <c r="B73" s="14" t="str">
        <f>CONCATENATE("     ","Training                                          ")</f>
        <v xml:space="preserve">     Training                                          </v>
      </c>
      <c r="C73" s="14"/>
      <c r="D73" s="1">
        <f>SUM(OSRRefD22_15x_0)</f>
        <v>0</v>
      </c>
      <c r="E73" s="1"/>
      <c r="F73" s="5">
        <f t="shared" si="60"/>
        <v>0</v>
      </c>
      <c r="G73" s="1"/>
      <c r="H73" s="1">
        <f>SUM(OSRRefH22_15x_0)</f>
        <v>400</v>
      </c>
      <c r="I73" s="1"/>
      <c r="J73" s="5">
        <f t="shared" si="61"/>
        <v>4.6201540359355572E-2</v>
      </c>
      <c r="K73" s="1"/>
      <c r="L73" s="1">
        <f t="shared" si="62"/>
        <v>-400</v>
      </c>
      <c r="M73" s="1"/>
      <c r="N73" s="5">
        <f t="shared" si="63"/>
        <v>-1</v>
      </c>
      <c r="O73" s="14"/>
      <c r="P73" s="1">
        <f>SUM(OSRRefP22_15x_0)</f>
        <v>0</v>
      </c>
      <c r="Q73" s="1"/>
      <c r="R73" s="5">
        <f t="shared" si="64"/>
        <v>0</v>
      </c>
      <c r="S73" s="1"/>
      <c r="T73" s="1">
        <f>SUM(OSRRefT22_15x_0)</f>
        <v>400</v>
      </c>
      <c r="U73" s="1"/>
      <c r="V73" s="5">
        <f t="shared" si="65"/>
        <v>1.131736377855088E-2</v>
      </c>
      <c r="W73" s="1"/>
      <c r="X73" s="1">
        <f t="shared" si="66"/>
        <v>-400</v>
      </c>
      <c r="Y73" s="1"/>
      <c r="Z73" s="5">
        <f t="shared" si="67"/>
        <v>-1</v>
      </c>
    </row>
    <row r="74" spans="1:26" s="24" customFormat="1" hidden="1" outlineLevel="2" x14ac:dyDescent="0.3">
      <c r="A74" s="27"/>
      <c r="B74" s="11" t="str">
        <f>CONCATENATE("          ", "6376", " - ", "TRAINING")</f>
        <v xml:space="preserve">          6376 - TRAINING</v>
      </c>
      <c r="C74" s="11"/>
      <c r="D74" s="6"/>
      <c r="E74" s="2"/>
      <c r="F74" s="7">
        <f t="shared" si="60"/>
        <v>0</v>
      </c>
      <c r="G74" s="2"/>
      <c r="H74" s="6">
        <v>400</v>
      </c>
      <c r="I74" s="2"/>
      <c r="J74" s="7">
        <f t="shared" si="61"/>
        <v>4.6201540359355572E-2</v>
      </c>
      <c r="K74" s="2"/>
      <c r="L74" s="6">
        <f t="shared" si="62"/>
        <v>-400</v>
      </c>
      <c r="M74" s="2"/>
      <c r="N74" s="7">
        <f t="shared" si="63"/>
        <v>-1</v>
      </c>
      <c r="O74" s="11"/>
      <c r="P74" s="6"/>
      <c r="Q74" s="2"/>
      <c r="R74" s="7">
        <f t="shared" si="64"/>
        <v>0</v>
      </c>
      <c r="S74" s="2"/>
      <c r="T74" s="6">
        <v>400</v>
      </c>
      <c r="U74" s="2"/>
      <c r="V74" s="7">
        <f t="shared" si="65"/>
        <v>1.131736377855088E-2</v>
      </c>
      <c r="W74" s="2"/>
      <c r="X74" s="6">
        <f t="shared" si="66"/>
        <v>-400</v>
      </c>
      <c r="Y74" s="2"/>
      <c r="Z74" s="7">
        <f t="shared" si="67"/>
        <v>-1</v>
      </c>
    </row>
    <row r="75" spans="1:26" s="29" customFormat="1" outlineLevel="1" collapsed="1" x14ac:dyDescent="0.3">
      <c r="A75" s="28"/>
      <c r="B75" s="14" t="str">
        <f>CONCATENATE("     ","Utilities                                         ")</f>
        <v xml:space="preserve">     Utilities                                         </v>
      </c>
      <c r="C75" s="14"/>
      <c r="D75" s="1">
        <f>SUM(OSRRefD22_16x_0)</f>
        <v>2400</v>
      </c>
      <c r="E75" s="1"/>
      <c r="F75" s="5">
        <f t="shared" si="60"/>
        <v>4.3985818971963436E-2</v>
      </c>
      <c r="G75" s="1"/>
      <c r="H75" s="1">
        <f>SUM(OSRRefH22_16x_0)</f>
        <v>2312</v>
      </c>
      <c r="I75" s="1"/>
      <c r="J75" s="5">
        <f t="shared" si="61"/>
        <v>0.2670449032770752</v>
      </c>
      <c r="K75" s="1"/>
      <c r="L75" s="1">
        <f t="shared" si="62"/>
        <v>88</v>
      </c>
      <c r="M75" s="1"/>
      <c r="N75" s="5">
        <f t="shared" si="63"/>
        <v>3.8062283737024222E-2</v>
      </c>
      <c r="O75" s="14"/>
      <c r="P75" s="1">
        <f>SUM(OSRRefP22_16x_0)</f>
        <v>9600</v>
      </c>
      <c r="Q75" s="1"/>
      <c r="R75" s="5">
        <f t="shared" si="64"/>
        <v>3.6369076571340156E-2</v>
      </c>
      <c r="S75" s="1"/>
      <c r="T75" s="1">
        <f>SUM(OSRRefT22_16x_0)</f>
        <v>11512</v>
      </c>
      <c r="U75" s="1"/>
      <c r="V75" s="5">
        <f t="shared" si="65"/>
        <v>0.32571372954669431</v>
      </c>
      <c r="W75" s="1"/>
      <c r="X75" s="1">
        <f t="shared" si="66"/>
        <v>-1912</v>
      </c>
      <c r="Y75" s="1"/>
      <c r="Z75" s="5">
        <f t="shared" si="67"/>
        <v>-0.16608756080611536</v>
      </c>
    </row>
    <row r="76" spans="1:26" s="24" customFormat="1" hidden="1" outlineLevel="2" x14ac:dyDescent="0.3">
      <c r="A76" s="27"/>
      <c r="B76" s="11" t="str">
        <f>CONCATENATE("          ", "6274", " - ", "UTILITIES")</f>
        <v xml:space="preserve">          6274 - UTILITIES</v>
      </c>
      <c r="C76" s="11"/>
      <c r="D76" s="6">
        <v>2400</v>
      </c>
      <c r="E76" s="2"/>
      <c r="F76" s="7">
        <f t="shared" si="60"/>
        <v>4.3985818971963436E-2</v>
      </c>
      <c r="G76" s="2"/>
      <c r="H76" s="6">
        <v>2312</v>
      </c>
      <c r="I76" s="2"/>
      <c r="J76" s="7">
        <f t="shared" si="61"/>
        <v>0.2670449032770752</v>
      </c>
      <c r="K76" s="2"/>
      <c r="L76" s="6">
        <f t="shared" si="62"/>
        <v>88</v>
      </c>
      <c r="M76" s="2"/>
      <c r="N76" s="7">
        <f t="shared" si="63"/>
        <v>3.8062283737024222E-2</v>
      </c>
      <c r="O76" s="11"/>
      <c r="P76" s="6">
        <v>9600</v>
      </c>
      <c r="Q76" s="2"/>
      <c r="R76" s="7">
        <f t="shared" si="64"/>
        <v>3.6369076571340156E-2</v>
      </c>
      <c r="S76" s="2"/>
      <c r="T76" s="6">
        <v>11512</v>
      </c>
      <c r="U76" s="2"/>
      <c r="V76" s="7">
        <f t="shared" si="65"/>
        <v>0.32571372954669431</v>
      </c>
      <c r="W76" s="2"/>
      <c r="X76" s="6">
        <f t="shared" si="66"/>
        <v>-1912</v>
      </c>
      <c r="Y76" s="2"/>
      <c r="Z76" s="7">
        <f t="shared" si="67"/>
        <v>-0.16608756080611536</v>
      </c>
    </row>
    <row r="77" spans="1:26" s="62" customFormat="1" x14ac:dyDescent="0.3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collapsed="1" x14ac:dyDescent="0.3">
      <c r="A78" s="10"/>
      <c r="B78" s="26" t="s">
        <v>292</v>
      </c>
      <c r="C78" s="10"/>
      <c r="D78" s="4">
        <f>SUM(OSRRefD25x_0)</f>
        <v>0</v>
      </c>
      <c r="E78" s="4"/>
      <c r="F78" s="12">
        <f t="shared" ref="F78:F79" si="68">IF(D$12=0,0,D78/D$12)</f>
        <v>0</v>
      </c>
      <c r="G78" s="4"/>
      <c r="H78" s="4">
        <f>SUM(OSRRefH25x_0)</f>
        <v>0</v>
      </c>
      <c r="I78" s="4"/>
      <c r="J78" s="12">
        <f t="shared" ref="J78:J79" si="69">IF(H$12=0,0,H78/H$12)</f>
        <v>0</v>
      </c>
      <c r="K78" s="4"/>
      <c r="L78" s="4">
        <f t="shared" ref="L78:L79" si="70">+D78-H78</f>
        <v>0</v>
      </c>
      <c r="M78" s="4"/>
      <c r="N78" s="12">
        <f t="shared" ref="N78:N79" si="71">IF(H78=0,0,L78/H78)</f>
        <v>0</v>
      </c>
      <c r="O78" s="10"/>
      <c r="P78" s="4">
        <f>SUM(OSRRefP25x_0)</f>
        <v>2.33</v>
      </c>
      <c r="Q78" s="4"/>
      <c r="R78" s="12">
        <f t="shared" ref="R78:R79" si="72">IF(P$12=0,0,P78/P$12)</f>
        <v>8.8270779595023506E-6</v>
      </c>
      <c r="S78" s="4"/>
      <c r="T78" s="4">
        <f>SUM(OSRRefT25x_0)</f>
        <v>0</v>
      </c>
      <c r="U78" s="4"/>
      <c r="V78" s="12">
        <f t="shared" ref="V78:V79" si="73">IF(T$12=0,0,T78/T$12)</f>
        <v>0</v>
      </c>
      <c r="W78" s="4"/>
      <c r="X78" s="4">
        <f t="shared" ref="X78:X79" si="74">+P78-T78</f>
        <v>2.33</v>
      </c>
      <c r="Y78" s="4"/>
      <c r="Z78" s="12">
        <f t="shared" ref="Z78:Z79" si="75">IF(T78=0,0,X78/T78)</f>
        <v>0</v>
      </c>
    </row>
    <row r="79" spans="1:26" s="24" customFormat="1" hidden="1" outlineLevel="1" x14ac:dyDescent="0.3">
      <c r="A79" s="44"/>
      <c r="B79" s="11" t="str">
        <f>CONCATENATE("          ", "9150", " - ", "MISC. INCOME")</f>
        <v xml:space="preserve">          9150 - MISC. INCOME</v>
      </c>
      <c r="C79" s="11"/>
      <c r="D79" s="2">
        <f>0</f>
        <v>0</v>
      </c>
      <c r="E79" s="2"/>
      <c r="F79" s="19">
        <f t="shared" si="68"/>
        <v>0</v>
      </c>
      <c r="G79" s="2"/>
      <c r="H79" s="2">
        <f>0</f>
        <v>0</v>
      </c>
      <c r="I79" s="2"/>
      <c r="J79" s="19">
        <f t="shared" si="69"/>
        <v>0</v>
      </c>
      <c r="K79" s="2"/>
      <c r="L79" s="2">
        <f t="shared" si="70"/>
        <v>0</v>
      </c>
      <c r="M79" s="2"/>
      <c r="N79" s="19">
        <f t="shared" si="71"/>
        <v>0</v>
      </c>
      <c r="O79" s="11"/>
      <c r="P79" s="2">
        <f>--2.33</f>
        <v>2.33</v>
      </c>
      <c r="Q79" s="2"/>
      <c r="R79" s="19">
        <f t="shared" si="72"/>
        <v>8.8270779595023506E-6</v>
      </c>
      <c r="S79" s="2"/>
      <c r="T79" s="2">
        <f>0</f>
        <v>0</v>
      </c>
      <c r="U79" s="2"/>
      <c r="V79" s="19">
        <f t="shared" si="73"/>
        <v>0</v>
      </c>
      <c r="W79" s="2"/>
      <c r="X79" s="2">
        <f t="shared" si="74"/>
        <v>2.33</v>
      </c>
      <c r="Y79" s="2"/>
      <c r="Z79" s="19">
        <f t="shared" si="75"/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+D20-D22+D78</f>
        <v>-39440.800000000017</v>
      </c>
      <c r="E81" s="13"/>
      <c r="F81" s="22">
        <f>IF(D$12=0,0,D81/D$12)</f>
        <v>-0.72284828704559012</v>
      </c>
      <c r="G81" s="13"/>
      <c r="H81" s="21">
        <f>+H20-H22+H78</f>
        <v>-52075.799999999996</v>
      </c>
      <c r="I81" s="13"/>
      <c r="J81" s="22">
        <f>IF(H$12=0,0,H81/H$12)</f>
        <v>-6.0149554386143222</v>
      </c>
      <c r="K81" s="16"/>
      <c r="L81" s="21">
        <f>+D81-H81</f>
        <v>12634.999999999978</v>
      </c>
      <c r="M81" s="16"/>
      <c r="N81" s="22">
        <f>IF(H81=0,0,L81/H81)</f>
        <v>-0.24262709358281542</v>
      </c>
      <c r="O81" s="26"/>
      <c r="P81" s="21">
        <f>+P20-P22+P78</f>
        <v>-207531.23999999993</v>
      </c>
      <c r="Q81" s="13"/>
      <c r="R81" s="22">
        <f>IF(P$12=0,0,P81/P$12)</f>
        <v>-0.78622078734428846</v>
      </c>
      <c r="S81" s="13"/>
      <c r="T81" s="21">
        <f>+T20-T22+T78</f>
        <v>-303115.98000000004</v>
      </c>
      <c r="U81" s="13"/>
      <c r="V81" s="22">
        <f>IF(T$12=0,0,T81/T$12)</f>
        <v>-8.5761845318798837</v>
      </c>
      <c r="W81" s="16"/>
      <c r="X81" s="21">
        <f>+P81-T81</f>
        <v>95584.740000000107</v>
      </c>
      <c r="Y81" s="16"/>
      <c r="Z81" s="22">
        <f>IF(T81=0,0,X81/T81)</f>
        <v>-0.31534048452344904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7236.18</v>
      </c>
      <c r="E83" s="4"/>
      <c r="F83" s="12">
        <f>IF(D$12=0,0,D83/D$12)</f>
        <v>0.13262054313689267</v>
      </c>
      <c r="G83" s="4"/>
      <c r="H83" s="4">
        <v>-164.66</v>
      </c>
      <c r="I83" s="4"/>
      <c r="J83" s="12">
        <f>IF(H$12=0,0,H83/H$12)</f>
        <v>-1.9018864088928722E-2</v>
      </c>
      <c r="K83" s="4"/>
      <c r="L83" s="4">
        <f>+D83-H83</f>
        <v>7400.84</v>
      </c>
      <c r="M83" s="4"/>
      <c r="N83" s="12">
        <f>IF(H83=0,0,L83/H83)</f>
        <v>-44.946192153528486</v>
      </c>
      <c r="O83" s="10"/>
      <c r="P83" s="4">
        <v>31440.799999999999</v>
      </c>
      <c r="Q83" s="4"/>
      <c r="R83" s="12">
        <f>IF(P$12=0,0,P83/P$12)</f>
        <v>0.11911175652751996</v>
      </c>
      <c r="S83" s="4"/>
      <c r="T83" s="4">
        <v>5616.15</v>
      </c>
      <c r="U83" s="4"/>
      <c r="V83" s="12">
        <f>IF(T$12=0,0,T83/T$12)</f>
        <v>0.1589000314622713</v>
      </c>
      <c r="W83" s="4"/>
      <c r="X83" s="4">
        <f>+P83-T83</f>
        <v>25824.65</v>
      </c>
      <c r="Y83" s="4"/>
      <c r="Z83" s="12">
        <f>IF(T83=0,0,X83/T83)</f>
        <v>4.598283521629587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5">
        <f>+D81-D83</f>
        <v>-46676.980000000018</v>
      </c>
      <c r="E85" s="13"/>
      <c r="F85" s="31">
        <f>IF(D$12=0,0,D85/D$12)</f>
        <v>-0.85546883018248276</v>
      </c>
      <c r="G85" s="13"/>
      <c r="H85" s="35">
        <f>+H81-H83</f>
        <v>-51911.139999999992</v>
      </c>
      <c r="I85" s="13"/>
      <c r="J85" s="31">
        <f>IF(H$12=0,0,H85/H$12)</f>
        <v>-5.995936574525393</v>
      </c>
      <c r="K85" s="16"/>
      <c r="L85" s="35">
        <f>D85-H85</f>
        <v>5234.1599999999744</v>
      </c>
      <c r="M85" s="16"/>
      <c r="N85" s="31">
        <f>IF(H85=0,0,L85/H85)</f>
        <v>-0.10082922470976317</v>
      </c>
      <c r="O85" s="26"/>
      <c r="P85" s="35">
        <f>+P81-P83</f>
        <v>-238972.03999999992</v>
      </c>
      <c r="Q85" s="13"/>
      <c r="R85" s="31">
        <f>IF(P$12=0,0,P85/P$12)</f>
        <v>-0.90533254387180839</v>
      </c>
      <c r="S85" s="13"/>
      <c r="T85" s="35">
        <f>+T81-T83</f>
        <v>-308732.13000000006</v>
      </c>
      <c r="U85" s="13"/>
      <c r="V85" s="31">
        <f>IF(T$12=0,0,T85/T$12)</f>
        <v>-8.7350845633421557</v>
      </c>
      <c r="W85" s="16"/>
      <c r="X85" s="35">
        <f>P85-T85</f>
        <v>69760.090000000142</v>
      </c>
      <c r="Y85" s="16"/>
      <c r="Z85" s="31">
        <f>IF(T85=0,0,X85/T85)</f>
        <v>-0.22595668937988453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6">
        <f>SUM(D85:D87)</f>
        <v>-46676.980000000018</v>
      </c>
      <c r="E88" s="13"/>
      <c r="F88" s="33">
        <f>IF(D$12=0,0,D88/D$12)</f>
        <v>-0.85546883018248276</v>
      </c>
      <c r="G88" s="13"/>
      <c r="H88" s="36">
        <f>SUM(H85:H87)</f>
        <v>-51911.139999999992</v>
      </c>
      <c r="I88" s="13"/>
      <c r="J88" s="33">
        <f>IF(H$12=0,0,H88/H$12)</f>
        <v>-5.995936574525393</v>
      </c>
      <c r="K88" s="16"/>
      <c r="L88" s="36">
        <f>+D88-H88</f>
        <v>5234.1599999999744</v>
      </c>
      <c r="M88" s="16"/>
      <c r="N88" s="33">
        <f>IF(H88=0,0,L88/H88)</f>
        <v>-0.10082922470976317</v>
      </c>
      <c r="O88" s="26"/>
      <c r="P88" s="36">
        <f>SUM(P85:P87)</f>
        <v>-238972.03999999992</v>
      </c>
      <c r="Q88" s="13"/>
      <c r="R88" s="33">
        <f>IF(P$12=0,0,P88/P$12)</f>
        <v>-0.90533254387180839</v>
      </c>
      <c r="S88" s="13"/>
      <c r="T88" s="36">
        <f>SUM(T85:T87)</f>
        <v>-308732.13000000006</v>
      </c>
      <c r="U88" s="13"/>
      <c r="V88" s="33">
        <f>IF(T$12=0,0,T88/T$12)</f>
        <v>-8.7350845633421557</v>
      </c>
      <c r="W88" s="16"/>
      <c r="X88" s="36">
        <f>+P88-T88</f>
        <v>69760.090000000142</v>
      </c>
      <c r="Y88" s="16"/>
      <c r="Z88" s="33">
        <f>IF(T88=0,0,X88/T88)</f>
        <v>-0.22595668937988453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2">
        <v>44543.765594675926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9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61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92D050"/>
    <outlinePr summaryBelow="0" summaryRight="0"/>
  </sheetPr>
  <dimension ref="A2:Z7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","418", " - ", "Nugget")</f>
        <v>Department 418 - Nugget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collapsed="1" x14ac:dyDescent="0.3">
      <c r="A14" s="10"/>
      <c r="B14" s="26" t="s">
        <v>256</v>
      </c>
      <c r="C14" s="10"/>
      <c r="D14" s="4">
        <f>SUM(OSRRefD16x_0)</f>
        <v>0</v>
      </c>
      <c r="E14" s="4"/>
      <c r="F14" s="12">
        <f t="shared" ref="F14:F15" si="0">IF(D$12=0,0,D14/D$12)</f>
        <v>0</v>
      </c>
      <c r="G14" s="4"/>
      <c r="H14" s="4">
        <f>SUM(OSRRefH16x_0)</f>
        <v>0</v>
      </c>
      <c r="I14" s="4"/>
      <c r="J14" s="12">
        <f t="shared" ref="J14:J15" si="1">IF(H$12=0,0,H14/H$12)</f>
        <v>0</v>
      </c>
      <c r="K14" s="4"/>
      <c r="L14" s="4">
        <f t="shared" ref="L14:L15" si="2">+D14-H14</f>
        <v>0</v>
      </c>
      <c r="M14" s="4"/>
      <c r="N14" s="12">
        <f t="shared" ref="N14:N15" si="3">IF(H14=0,0,L14/H14)</f>
        <v>0</v>
      </c>
      <c r="O14" s="10"/>
      <c r="P14" s="4">
        <f>SUM(OSRRefP16x_0)</f>
        <v>1126.1199999999999</v>
      </c>
      <c r="Q14" s="4"/>
      <c r="R14" s="12">
        <f t="shared" ref="R14:R15" si="4">IF(P$12=0,0,P14/P$12)</f>
        <v>0</v>
      </c>
      <c r="S14" s="4"/>
      <c r="T14" s="4">
        <f>SUM(OSRRefT16x_0)</f>
        <v>0</v>
      </c>
      <c r="U14" s="4"/>
      <c r="V14" s="12">
        <f t="shared" ref="V14:V15" si="5">IF(T$12=0,0,T14/T$12)</f>
        <v>0</v>
      </c>
      <c r="W14" s="4"/>
      <c r="X14" s="4">
        <f t="shared" ref="X14:X15" si="6">+P14-T14</f>
        <v>1126.1199999999999</v>
      </c>
      <c r="Y14" s="4"/>
      <c r="Z14" s="12">
        <f t="shared" ref="Z14:Z15" si="7">IF(T14=0,0,X14/T14)</f>
        <v>0</v>
      </c>
    </row>
    <row r="15" spans="1:26" s="24" customFormat="1" hidden="1" outlineLevel="1" x14ac:dyDescent="0.3">
      <c r="A15" s="44"/>
      <c r="B15" s="11" t="str">
        <f>CONCATENATE("          ", "5053", " - ", "PURCHASES @ COST-FOOD")</f>
        <v xml:space="preserve">          5053 - PURCHASES @ COST-FOOD</v>
      </c>
      <c r="C15" s="11"/>
      <c r="D15" s="2"/>
      <c r="E15" s="2"/>
      <c r="F15" s="19">
        <f t="shared" si="0"/>
        <v>0</v>
      </c>
      <c r="G15" s="2"/>
      <c r="H15" s="2"/>
      <c r="I15" s="2"/>
      <c r="J15" s="19">
        <f t="shared" si="1"/>
        <v>0</v>
      </c>
      <c r="K15" s="2"/>
      <c r="L15" s="2">
        <f t="shared" si="2"/>
        <v>0</v>
      </c>
      <c r="M15" s="2"/>
      <c r="N15" s="19">
        <f t="shared" si="3"/>
        <v>0</v>
      </c>
      <c r="O15" s="11"/>
      <c r="P15" s="2">
        <v>1126.1199999999999</v>
      </c>
      <c r="Q15" s="2"/>
      <c r="R15" s="19">
        <f t="shared" si="4"/>
        <v>0</v>
      </c>
      <c r="S15" s="2"/>
      <c r="T15" s="2"/>
      <c r="U15" s="2"/>
      <c r="V15" s="19">
        <f t="shared" si="5"/>
        <v>0</v>
      </c>
      <c r="W15" s="2"/>
      <c r="X15" s="2">
        <f t="shared" si="6"/>
        <v>1126.1199999999999</v>
      </c>
      <c r="Y15" s="2"/>
      <c r="Z15" s="19">
        <f t="shared" si="7"/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D12-D14</f>
        <v>0</v>
      </c>
      <c r="E17" s="13"/>
      <c r="F17" s="22">
        <f>IF(D$12=0,0,D17/D$12)</f>
        <v>0</v>
      </c>
      <c r="G17" s="13"/>
      <c r="H17" s="21">
        <f>H12-H14</f>
        <v>0</v>
      </c>
      <c r="I17" s="13"/>
      <c r="J17" s="22">
        <f>IF(H$12=0,0,H17/H$12)</f>
        <v>0</v>
      </c>
      <c r="K17" s="16"/>
      <c r="L17" s="21">
        <f>+D17-H17</f>
        <v>0</v>
      </c>
      <c r="M17" s="16"/>
      <c r="N17" s="22">
        <f>IF(H17=0,0,L17/H17)</f>
        <v>0</v>
      </c>
      <c r="O17" s="26"/>
      <c r="P17" s="21">
        <f>P12-P14</f>
        <v>-1126.1199999999999</v>
      </c>
      <c r="Q17" s="13"/>
      <c r="R17" s="22">
        <f>IF(P$12=0,0,P17/P$12)</f>
        <v>0</v>
      </c>
      <c r="S17" s="13"/>
      <c r="T17" s="21">
        <f>T12-T14</f>
        <v>0</v>
      </c>
      <c r="U17" s="13"/>
      <c r="V17" s="22">
        <f>IF(T$12=0,0,T17/T$12)</f>
        <v>0</v>
      </c>
      <c r="W17" s="16"/>
      <c r="X17" s="21">
        <f>+P17-T17</f>
        <v>-1126.1199999999999</v>
      </c>
      <c r="Y17" s="16"/>
      <c r="Z17" s="22">
        <f>IF(T17=0,0,X17/T17)</f>
        <v>0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10905.94</v>
      </c>
      <c r="E19" s="20"/>
      <c r="F19" s="32">
        <f t="shared" ref="F19:F28" si="8">IF(D$12=0,0,D19/D$12)</f>
        <v>0</v>
      </c>
      <c r="G19" s="20"/>
      <c r="H19" s="20">
        <f>SUM(OSRRefH22x_0)</f>
        <v>6747.53</v>
      </c>
      <c r="I19" s="20"/>
      <c r="J19" s="32">
        <f t="shared" ref="J19:J28" si="9">IF(H$12=0,0,H19/H$12)</f>
        <v>0</v>
      </c>
      <c r="K19" s="4"/>
      <c r="L19" s="20">
        <f t="shared" ref="L19:L28" si="10">+D19-H19</f>
        <v>4158.4100000000008</v>
      </c>
      <c r="M19" s="4"/>
      <c r="N19" s="32">
        <f t="shared" ref="N19:N28" si="11">IF(H19=0,0,L19/H19)</f>
        <v>0.61628625585955166</v>
      </c>
      <c r="O19" s="10"/>
      <c r="P19" s="20">
        <f>SUM(OSRRefP22x_0)</f>
        <v>84839.510000000009</v>
      </c>
      <c r="Q19" s="20"/>
      <c r="R19" s="32">
        <f t="shared" ref="R19:R28" si="12">IF(P$12=0,0,P19/P$12)</f>
        <v>0</v>
      </c>
      <c r="S19" s="20"/>
      <c r="T19" s="20">
        <f>SUM(OSRRefT22x_0)</f>
        <v>45337.62000000001</v>
      </c>
      <c r="U19" s="20"/>
      <c r="V19" s="32">
        <f t="shared" ref="V19:V28" si="13">IF(T$12=0,0,T19/T$12)</f>
        <v>0</v>
      </c>
      <c r="W19" s="4"/>
      <c r="X19" s="20">
        <f t="shared" ref="X19:X28" si="14">+P19-T19</f>
        <v>39501.89</v>
      </c>
      <c r="Y19" s="4"/>
      <c r="Z19" s="32">
        <f t="shared" ref="Z19:Z28" si="15">IF(T19=0,0,X19/T19)</f>
        <v>0.87128283310857502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480.97</v>
      </c>
      <c r="E20" s="1"/>
      <c r="F20" s="5">
        <f t="shared" si="8"/>
        <v>0</v>
      </c>
      <c r="G20" s="1"/>
      <c r="H20" s="1">
        <f>SUM(OSRRefH22_0x_0)</f>
        <v>2.36</v>
      </c>
      <c r="I20" s="1"/>
      <c r="J20" s="5">
        <f t="shared" si="9"/>
        <v>0</v>
      </c>
      <c r="K20" s="1"/>
      <c r="L20" s="1">
        <f t="shared" si="10"/>
        <v>478.61</v>
      </c>
      <c r="M20" s="1"/>
      <c r="N20" s="5">
        <f t="shared" si="11"/>
        <v>202.80084745762713</v>
      </c>
      <c r="O20" s="14"/>
      <c r="P20" s="1">
        <f>SUM(OSRRefP22_0x_0)</f>
        <v>15214.17</v>
      </c>
      <c r="Q20" s="1"/>
      <c r="R20" s="5">
        <f t="shared" si="12"/>
        <v>0</v>
      </c>
      <c r="S20" s="1"/>
      <c r="T20" s="1">
        <f>SUM(OSRRefT22_0x_0)</f>
        <v>6086.32</v>
      </c>
      <c r="U20" s="1"/>
      <c r="V20" s="5">
        <f t="shared" si="13"/>
        <v>0</v>
      </c>
      <c r="W20" s="1"/>
      <c r="X20" s="1">
        <f t="shared" si="14"/>
        <v>9127.85</v>
      </c>
      <c r="Y20" s="1"/>
      <c r="Z20" s="5">
        <f t="shared" si="15"/>
        <v>1.4997321862800512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139.52000000000001</v>
      </c>
      <c r="E21" s="2"/>
      <c r="F21" s="7">
        <f t="shared" si="8"/>
        <v>0</v>
      </c>
      <c r="G21" s="2"/>
      <c r="H21" s="6">
        <v>2.36</v>
      </c>
      <c r="I21" s="2"/>
      <c r="J21" s="7">
        <f t="shared" si="9"/>
        <v>0</v>
      </c>
      <c r="K21" s="2"/>
      <c r="L21" s="6">
        <f t="shared" si="10"/>
        <v>137.16</v>
      </c>
      <c r="M21" s="2"/>
      <c r="N21" s="7">
        <f t="shared" si="11"/>
        <v>58.118644067796609</v>
      </c>
      <c r="O21" s="11"/>
      <c r="P21" s="6">
        <v>1917.87</v>
      </c>
      <c r="Q21" s="2"/>
      <c r="R21" s="7">
        <f t="shared" si="12"/>
        <v>0</v>
      </c>
      <c r="S21" s="2"/>
      <c r="T21" s="6">
        <v>237.51</v>
      </c>
      <c r="U21" s="2"/>
      <c r="V21" s="7">
        <f t="shared" si="13"/>
        <v>0</v>
      </c>
      <c r="W21" s="2"/>
      <c r="X21" s="6">
        <f t="shared" si="14"/>
        <v>1680.36</v>
      </c>
      <c r="Y21" s="2"/>
      <c r="Z21" s="7">
        <f t="shared" si="15"/>
        <v>7.0749021093848681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29.9</v>
      </c>
      <c r="E22" s="2"/>
      <c r="F22" s="7">
        <f t="shared" si="8"/>
        <v>0</v>
      </c>
      <c r="G22" s="2"/>
      <c r="H22" s="6"/>
      <c r="I22" s="2"/>
      <c r="J22" s="7">
        <f t="shared" si="9"/>
        <v>0</v>
      </c>
      <c r="K22" s="2"/>
      <c r="L22" s="6">
        <f t="shared" si="10"/>
        <v>29.9</v>
      </c>
      <c r="M22" s="2"/>
      <c r="N22" s="7">
        <f t="shared" si="11"/>
        <v>0</v>
      </c>
      <c r="O22" s="11"/>
      <c r="P22" s="6">
        <v>800.38</v>
      </c>
      <c r="Q22" s="2"/>
      <c r="R22" s="7">
        <f t="shared" si="12"/>
        <v>0</v>
      </c>
      <c r="S22" s="2"/>
      <c r="T22" s="6"/>
      <c r="U22" s="2"/>
      <c r="V22" s="7">
        <f t="shared" si="13"/>
        <v>0</v>
      </c>
      <c r="W22" s="2"/>
      <c r="X22" s="6">
        <f t="shared" si="14"/>
        <v>800.38</v>
      </c>
      <c r="Y22" s="2"/>
      <c r="Z22" s="7">
        <f t="shared" si="15"/>
        <v>0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10053.08</v>
      </c>
      <c r="Q23" s="2"/>
      <c r="R23" s="7">
        <f t="shared" si="12"/>
        <v>0</v>
      </c>
      <c r="S23" s="2"/>
      <c r="T23" s="6">
        <v>4780.67</v>
      </c>
      <c r="U23" s="2"/>
      <c r="V23" s="7">
        <f t="shared" si="13"/>
        <v>0</v>
      </c>
      <c r="W23" s="2"/>
      <c r="X23" s="6">
        <f t="shared" si="14"/>
        <v>5272.41</v>
      </c>
      <c r="Y23" s="2"/>
      <c r="Z23" s="7">
        <f t="shared" si="15"/>
        <v>1.1028600593640641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2.16</v>
      </c>
      <c r="E24" s="2"/>
      <c r="F24" s="7">
        <f t="shared" si="8"/>
        <v>0</v>
      </c>
      <c r="G24" s="2"/>
      <c r="H24" s="6"/>
      <c r="I24" s="2"/>
      <c r="J24" s="7">
        <f t="shared" si="9"/>
        <v>0</v>
      </c>
      <c r="K24" s="2"/>
      <c r="L24" s="6">
        <f t="shared" si="10"/>
        <v>2.16</v>
      </c>
      <c r="M24" s="2"/>
      <c r="N24" s="7">
        <f t="shared" si="11"/>
        <v>0</v>
      </c>
      <c r="O24" s="11"/>
      <c r="P24" s="6">
        <v>59.17</v>
      </c>
      <c r="Q24" s="2"/>
      <c r="R24" s="7">
        <f t="shared" si="12"/>
        <v>0</v>
      </c>
      <c r="S24" s="2"/>
      <c r="T24" s="6"/>
      <c r="U24" s="2"/>
      <c r="V24" s="7">
        <f t="shared" si="13"/>
        <v>0</v>
      </c>
      <c r="W24" s="2"/>
      <c r="X24" s="6">
        <f t="shared" si="14"/>
        <v>59.17</v>
      </c>
      <c r="Y24" s="2"/>
      <c r="Z24" s="7">
        <f t="shared" si="15"/>
        <v>0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63.05</v>
      </c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63.05</v>
      </c>
      <c r="M25" s="2"/>
      <c r="N25" s="7">
        <f t="shared" si="11"/>
        <v>0</v>
      </c>
      <c r="O25" s="11"/>
      <c r="P25" s="6">
        <v>63.05</v>
      </c>
      <c r="Q25" s="2"/>
      <c r="R25" s="7">
        <f t="shared" si="12"/>
        <v>0</v>
      </c>
      <c r="S25" s="2"/>
      <c r="T25" s="6">
        <v>678.15</v>
      </c>
      <c r="U25" s="2"/>
      <c r="V25" s="7">
        <f t="shared" si="13"/>
        <v>0</v>
      </c>
      <c r="W25" s="2"/>
      <c r="X25" s="6">
        <f t="shared" si="14"/>
        <v>-615.1</v>
      </c>
      <c r="Y25" s="2"/>
      <c r="Z25" s="7">
        <f t="shared" si="15"/>
        <v>-0.90702646907026474</v>
      </c>
    </row>
    <row r="26" spans="1:26" s="24" customFormat="1" hidden="1" outlineLevel="2" x14ac:dyDescent="0.3">
      <c r="A26" s="27"/>
      <c r="B26" s="11" t="str">
        <f>CONCATENATE("          ", "6118", " - ", "VACATION")</f>
        <v xml:space="preserve">          6118 - VACATION</v>
      </c>
      <c r="C26" s="11"/>
      <c r="D26" s="6">
        <v>106.62</v>
      </c>
      <c r="E26" s="2"/>
      <c r="F26" s="7">
        <f t="shared" si="8"/>
        <v>0</v>
      </c>
      <c r="G26" s="2"/>
      <c r="H26" s="6"/>
      <c r="I26" s="2"/>
      <c r="J26" s="7">
        <f t="shared" si="9"/>
        <v>0</v>
      </c>
      <c r="K26" s="2"/>
      <c r="L26" s="6">
        <f t="shared" si="10"/>
        <v>106.62</v>
      </c>
      <c r="M26" s="2"/>
      <c r="N26" s="7">
        <f t="shared" si="11"/>
        <v>0</v>
      </c>
      <c r="O26" s="11"/>
      <c r="P26" s="6">
        <v>817.94</v>
      </c>
      <c r="Q26" s="2"/>
      <c r="R26" s="7">
        <f t="shared" si="12"/>
        <v>0</v>
      </c>
      <c r="S26" s="2"/>
      <c r="T26" s="6">
        <v>248.21</v>
      </c>
      <c r="U26" s="2"/>
      <c r="V26" s="7">
        <f t="shared" si="13"/>
        <v>0</v>
      </c>
      <c r="W26" s="2"/>
      <c r="X26" s="6">
        <f t="shared" si="14"/>
        <v>569.73</v>
      </c>
      <c r="Y26" s="2"/>
      <c r="Z26" s="7">
        <f t="shared" si="15"/>
        <v>2.2953547399379559</v>
      </c>
    </row>
    <row r="27" spans="1:26" s="24" customFormat="1" hidden="1" outlineLevel="2" x14ac:dyDescent="0.3">
      <c r="A27" s="27"/>
      <c r="B27" s="11" t="str">
        <f>CONCATENATE("          ", "6119", " - ", "SICK LEAVE")</f>
        <v xml:space="preserve">          6119 - SICK LEAVE</v>
      </c>
      <c r="C27" s="11"/>
      <c r="D27" s="6">
        <v>127.73</v>
      </c>
      <c r="E27" s="2"/>
      <c r="F27" s="7">
        <f t="shared" si="8"/>
        <v>0</v>
      </c>
      <c r="G27" s="2"/>
      <c r="H27" s="6"/>
      <c r="I27" s="2"/>
      <c r="J27" s="7">
        <f t="shared" si="9"/>
        <v>0</v>
      </c>
      <c r="K27" s="2"/>
      <c r="L27" s="6">
        <f t="shared" si="10"/>
        <v>127.73</v>
      </c>
      <c r="M27" s="2"/>
      <c r="N27" s="7">
        <f t="shared" si="11"/>
        <v>0</v>
      </c>
      <c r="O27" s="11"/>
      <c r="P27" s="6">
        <v>801.19</v>
      </c>
      <c r="Q27" s="2"/>
      <c r="R27" s="7">
        <f t="shared" si="12"/>
        <v>0</v>
      </c>
      <c r="S27" s="2"/>
      <c r="T27" s="6">
        <v>141.78</v>
      </c>
      <c r="U27" s="2"/>
      <c r="V27" s="7">
        <f t="shared" si="13"/>
        <v>0</v>
      </c>
      <c r="W27" s="2"/>
      <c r="X27" s="6">
        <f t="shared" si="14"/>
        <v>659.41000000000008</v>
      </c>
      <c r="Y27" s="2"/>
      <c r="Z27" s="7">
        <f t="shared" si="15"/>
        <v>4.6509380730709555</v>
      </c>
    </row>
    <row r="28" spans="1:26" s="24" customFormat="1" hidden="1" outlineLevel="2" x14ac:dyDescent="0.3">
      <c r="A28" s="27"/>
      <c r="B28" s="11" t="str">
        <f>CONCATENATE("          ", "6156", " - ", "EMPLOYEE MEALS")</f>
        <v xml:space="preserve">          6156 - EMPLOYEE MEALS</v>
      </c>
      <c r="C28" s="11"/>
      <c r="D28" s="6">
        <v>11.99</v>
      </c>
      <c r="E28" s="2"/>
      <c r="F28" s="7">
        <f t="shared" si="8"/>
        <v>0</v>
      </c>
      <c r="G28" s="2"/>
      <c r="H28" s="6"/>
      <c r="I28" s="2"/>
      <c r="J28" s="7">
        <f t="shared" si="9"/>
        <v>0</v>
      </c>
      <c r="K28" s="2"/>
      <c r="L28" s="6">
        <f t="shared" si="10"/>
        <v>11.99</v>
      </c>
      <c r="M28" s="2"/>
      <c r="N28" s="7">
        <f t="shared" si="11"/>
        <v>0</v>
      </c>
      <c r="O28" s="11"/>
      <c r="P28" s="6">
        <v>701.49</v>
      </c>
      <c r="Q28" s="2"/>
      <c r="R28" s="7">
        <f t="shared" si="12"/>
        <v>0</v>
      </c>
      <c r="S28" s="2"/>
      <c r="T28" s="6"/>
      <c r="U28" s="2"/>
      <c r="V28" s="7">
        <f t="shared" si="13"/>
        <v>0</v>
      </c>
      <c r="W28" s="2"/>
      <c r="X28" s="6">
        <f t="shared" si="14"/>
        <v>701.49</v>
      </c>
      <c r="Y28" s="2"/>
      <c r="Z28" s="7">
        <f t="shared" si="15"/>
        <v>0</v>
      </c>
    </row>
    <row r="29" spans="1:26" s="29" customFormat="1" outlineLevel="1" collapsed="1" x14ac:dyDescent="0.3">
      <c r="A29" s="28"/>
      <c r="B29" s="14" t="str">
        <f>CONCATENATE("     ","*Payroll                                          ")</f>
        <v xml:space="preserve">     *Payroll                                          </v>
      </c>
      <c r="C29" s="14"/>
      <c r="D29" s="1">
        <f>SUM(OSRRefD22_1x_0)</f>
        <v>1823.85</v>
      </c>
      <c r="E29" s="1"/>
      <c r="F29" s="5">
        <f t="shared" ref="F29:F33" si="16">IF(D$12=0,0,D29/D$12)</f>
        <v>0</v>
      </c>
      <c r="G29" s="1"/>
      <c r="H29" s="1">
        <f>SUM(OSRRefH22_1x_0)</f>
        <v>0</v>
      </c>
      <c r="I29" s="1"/>
      <c r="J29" s="5">
        <f t="shared" ref="J29:J33" si="17">IF(H$12=0,0,H29/H$12)</f>
        <v>0</v>
      </c>
      <c r="K29" s="1"/>
      <c r="L29" s="1">
        <f t="shared" ref="L29:L33" si="18">+D29-H29</f>
        <v>1823.85</v>
      </c>
      <c r="M29" s="1"/>
      <c r="N29" s="5">
        <f t="shared" ref="N29:N33" si="19">IF(H29=0,0,L29/H29)</f>
        <v>0</v>
      </c>
      <c r="O29" s="14"/>
      <c r="P29" s="1">
        <f>SUM(OSRRefP22_1x_0)</f>
        <v>23447.46</v>
      </c>
      <c r="Q29" s="1"/>
      <c r="R29" s="5">
        <f t="shared" ref="R29:R33" si="20">IF(P$12=0,0,P29/P$12)</f>
        <v>0</v>
      </c>
      <c r="S29" s="1"/>
      <c r="T29" s="1">
        <f>SUM(OSRRefT22_1x_0)</f>
        <v>2151.69</v>
      </c>
      <c r="U29" s="1"/>
      <c r="V29" s="5">
        <f t="shared" ref="V29:V33" si="21">IF(T$12=0,0,T29/T$12)</f>
        <v>0</v>
      </c>
      <c r="W29" s="1"/>
      <c r="X29" s="1">
        <f t="shared" ref="X29:X33" si="22">+P29-T29</f>
        <v>21295.77</v>
      </c>
      <c r="Y29" s="1"/>
      <c r="Z29" s="5">
        <f t="shared" ref="Z29:Z33" si="23">IF(T29=0,0,X29/T29)</f>
        <v>9.8972296195083871</v>
      </c>
    </row>
    <row r="30" spans="1:26" s="24" customFormat="1" hidden="1" outlineLevel="2" x14ac:dyDescent="0.3">
      <c r="A30" s="27"/>
      <c r="B30" s="11" t="str">
        <f>CONCATENATE("          ", "6002", " - ", "STAFF SALARIES")</f>
        <v xml:space="preserve">          6002 - STAFF SALARIES</v>
      </c>
      <c r="C30" s="11"/>
      <c r="D30" s="6">
        <v>830.76</v>
      </c>
      <c r="E30" s="2"/>
      <c r="F30" s="7">
        <f t="shared" si="16"/>
        <v>0</v>
      </c>
      <c r="G30" s="2"/>
      <c r="H30" s="6"/>
      <c r="I30" s="2"/>
      <c r="J30" s="7">
        <f t="shared" si="17"/>
        <v>0</v>
      </c>
      <c r="K30" s="2"/>
      <c r="L30" s="6">
        <f t="shared" si="18"/>
        <v>830.76</v>
      </c>
      <c r="M30" s="2"/>
      <c r="N30" s="7">
        <f t="shared" si="19"/>
        <v>0</v>
      </c>
      <c r="O30" s="11"/>
      <c r="P30" s="6">
        <v>830.76</v>
      </c>
      <c r="Q30" s="2"/>
      <c r="R30" s="7">
        <f t="shared" si="20"/>
        <v>0</v>
      </c>
      <c r="S30" s="2"/>
      <c r="T30" s="6">
        <v>2151.69</v>
      </c>
      <c r="U30" s="2"/>
      <c r="V30" s="7">
        <f t="shared" si="21"/>
        <v>0</v>
      </c>
      <c r="W30" s="2"/>
      <c r="X30" s="6">
        <f t="shared" si="22"/>
        <v>-1320.93</v>
      </c>
      <c r="Y30" s="2"/>
      <c r="Z30" s="7">
        <f t="shared" si="23"/>
        <v>-0.61390348981498266</v>
      </c>
    </row>
    <row r="31" spans="1:26" s="24" customFormat="1" hidden="1" outlineLevel="2" x14ac:dyDescent="0.3">
      <c r="A31" s="27"/>
      <c r="B31" s="11" t="str">
        <f>CONCATENATE("          ", "6004", " - ", "STAFF HOURLY")</f>
        <v xml:space="preserve">          6004 - STAFF HOURLY</v>
      </c>
      <c r="C31" s="11"/>
      <c r="D31" s="6">
        <v>993.09</v>
      </c>
      <c r="E31" s="2"/>
      <c r="F31" s="7">
        <f t="shared" si="16"/>
        <v>0</v>
      </c>
      <c r="G31" s="2"/>
      <c r="H31" s="6"/>
      <c r="I31" s="2"/>
      <c r="J31" s="7">
        <f t="shared" si="17"/>
        <v>0</v>
      </c>
      <c r="K31" s="2"/>
      <c r="L31" s="6">
        <f t="shared" si="18"/>
        <v>993.09</v>
      </c>
      <c r="M31" s="2"/>
      <c r="N31" s="7">
        <f t="shared" si="19"/>
        <v>0</v>
      </c>
      <c r="O31" s="11"/>
      <c r="P31" s="6">
        <v>14370.65</v>
      </c>
      <c r="Q31" s="2"/>
      <c r="R31" s="7">
        <f t="shared" si="20"/>
        <v>0</v>
      </c>
      <c r="S31" s="2"/>
      <c r="T31" s="6"/>
      <c r="U31" s="2"/>
      <c r="V31" s="7">
        <f t="shared" si="21"/>
        <v>0</v>
      </c>
      <c r="W31" s="2"/>
      <c r="X31" s="6">
        <f t="shared" si="22"/>
        <v>14370.65</v>
      </c>
      <c r="Y31" s="2"/>
      <c r="Z31" s="7">
        <f t="shared" si="23"/>
        <v>0</v>
      </c>
    </row>
    <row r="32" spans="1:26" s="24" customFormat="1" hidden="1" outlineLevel="2" x14ac:dyDescent="0.3">
      <c r="A32" s="27"/>
      <c r="B32" s="11" t="str">
        <f>CONCATENATE("          ", "6005", " - ", "TEMPORARY WAGES-HOURLY")</f>
        <v xml:space="preserve">          6005 - TEMPORARY WAGES-HOURLY</v>
      </c>
      <c r="C32" s="11"/>
      <c r="D32" s="6"/>
      <c r="E32" s="2"/>
      <c r="F32" s="7">
        <f t="shared" si="16"/>
        <v>0</v>
      </c>
      <c r="G32" s="2"/>
      <c r="H32" s="6"/>
      <c r="I32" s="2"/>
      <c r="J32" s="7">
        <f t="shared" si="17"/>
        <v>0</v>
      </c>
      <c r="K32" s="2"/>
      <c r="L32" s="6">
        <f t="shared" si="18"/>
        <v>0</v>
      </c>
      <c r="M32" s="2"/>
      <c r="N32" s="7">
        <f t="shared" si="19"/>
        <v>0</v>
      </c>
      <c r="O32" s="11"/>
      <c r="P32" s="6">
        <v>8246.0499999999993</v>
      </c>
      <c r="Q32" s="2"/>
      <c r="R32" s="7">
        <f t="shared" si="20"/>
        <v>0</v>
      </c>
      <c r="S32" s="2"/>
      <c r="T32" s="6"/>
      <c r="U32" s="2"/>
      <c r="V32" s="7">
        <f t="shared" si="21"/>
        <v>0</v>
      </c>
      <c r="W32" s="2"/>
      <c r="X32" s="6">
        <f t="shared" si="22"/>
        <v>8246.0499999999993</v>
      </c>
      <c r="Y32" s="2"/>
      <c r="Z32" s="7">
        <f t="shared" si="23"/>
        <v>0</v>
      </c>
    </row>
    <row r="33" spans="1:26" s="24" customFormat="1" hidden="1" outlineLevel="2" x14ac:dyDescent="0.3">
      <c r="A33" s="27"/>
      <c r="B33" s="11" t="str">
        <f>CONCATENATE("          ", "6007", " - ", "STUDENT HOURLY")</f>
        <v xml:space="preserve">          6007 - STUDENT HOURLY</v>
      </c>
      <c r="C33" s="11"/>
      <c r="D33" s="6"/>
      <c r="E33" s="2"/>
      <c r="F33" s="7">
        <f t="shared" si="16"/>
        <v>0</v>
      </c>
      <c r="G33" s="2"/>
      <c r="H33" s="6"/>
      <c r="I33" s="2"/>
      <c r="J33" s="7">
        <f t="shared" si="17"/>
        <v>0</v>
      </c>
      <c r="K33" s="2"/>
      <c r="L33" s="6">
        <f t="shared" si="18"/>
        <v>0</v>
      </c>
      <c r="M33" s="2"/>
      <c r="N33" s="7">
        <f t="shared" si="19"/>
        <v>0</v>
      </c>
      <c r="O33" s="11"/>
      <c r="P33" s="6">
        <v>0</v>
      </c>
      <c r="Q33" s="2"/>
      <c r="R33" s="7">
        <f t="shared" si="20"/>
        <v>0</v>
      </c>
      <c r="S33" s="2"/>
      <c r="T33" s="6"/>
      <c r="U33" s="2"/>
      <c r="V33" s="7">
        <f t="shared" si="21"/>
        <v>0</v>
      </c>
      <c r="W33" s="2"/>
      <c r="X33" s="6">
        <f t="shared" si="22"/>
        <v>0</v>
      </c>
      <c r="Y33" s="2"/>
      <c r="Z33" s="7">
        <f t="shared" si="23"/>
        <v>0</v>
      </c>
    </row>
    <row r="34" spans="1:26" s="29" customFormat="1" outlineLevel="1" collapsed="1" x14ac:dyDescent="0.3">
      <c r="A34" s="28"/>
      <c r="B34" s="14" t="str">
        <f>CONCATENATE("     ","Advertising/Promo                                 ")</f>
        <v xml:space="preserve">     Advertising/Promo                                 </v>
      </c>
      <c r="C34" s="14"/>
      <c r="D34" s="1">
        <f>SUM(OSRRefD22_2x_0)</f>
        <v>9.76</v>
      </c>
      <c r="E34" s="1"/>
      <c r="F34" s="5">
        <f t="shared" ref="F34:F40" si="24">IF(D$12=0,0,D34/D$12)</f>
        <v>0</v>
      </c>
      <c r="G34" s="1"/>
      <c r="H34" s="1">
        <f>SUM(OSRRefH22_2x_0)</f>
        <v>0</v>
      </c>
      <c r="I34" s="1"/>
      <c r="J34" s="5">
        <f t="shared" ref="J34:J40" si="25">IF(H$12=0,0,H34/H$12)</f>
        <v>0</v>
      </c>
      <c r="K34" s="1"/>
      <c r="L34" s="1">
        <f t="shared" ref="L34:L40" si="26">+D34-H34</f>
        <v>9.76</v>
      </c>
      <c r="M34" s="1"/>
      <c r="N34" s="5">
        <f t="shared" ref="N34:N40" si="27">IF(H34=0,0,L34/H34)</f>
        <v>0</v>
      </c>
      <c r="O34" s="14"/>
      <c r="P34" s="1">
        <f>SUM(OSRRefP22_2x_0)</f>
        <v>263.58</v>
      </c>
      <c r="Q34" s="1"/>
      <c r="R34" s="5">
        <f t="shared" ref="R34:R40" si="28">IF(P$12=0,0,P34/P$12)</f>
        <v>0</v>
      </c>
      <c r="S34" s="1"/>
      <c r="T34" s="1">
        <f>SUM(OSRRefT22_2x_0)</f>
        <v>0</v>
      </c>
      <c r="U34" s="1"/>
      <c r="V34" s="5">
        <f t="shared" ref="V34:V40" si="29">IF(T$12=0,0,T34/T$12)</f>
        <v>0</v>
      </c>
      <c r="W34" s="1"/>
      <c r="X34" s="1">
        <f t="shared" ref="X34:X40" si="30">+P34-T34</f>
        <v>263.58</v>
      </c>
      <c r="Y34" s="1"/>
      <c r="Z34" s="5">
        <f t="shared" ref="Z34:Z40" si="31">IF(T34=0,0,X34/T34)</f>
        <v>0</v>
      </c>
    </row>
    <row r="35" spans="1:26" s="24" customFormat="1" hidden="1" outlineLevel="2" x14ac:dyDescent="0.3">
      <c r="A35" s="27"/>
      <c r="B35" s="11" t="str">
        <f>CONCATENATE("          ", "6362", " - ", "ADVERTISING EXPENSE")</f>
        <v xml:space="preserve">          6362 - ADVERTISING EXPENSE</v>
      </c>
      <c r="C35" s="11"/>
      <c r="D35" s="6">
        <v>9.76</v>
      </c>
      <c r="E35" s="2"/>
      <c r="F35" s="7">
        <f t="shared" si="24"/>
        <v>0</v>
      </c>
      <c r="G35" s="2"/>
      <c r="H35" s="6"/>
      <c r="I35" s="2"/>
      <c r="J35" s="7">
        <f t="shared" si="25"/>
        <v>0</v>
      </c>
      <c r="K35" s="2"/>
      <c r="L35" s="6">
        <f t="shared" si="26"/>
        <v>9.76</v>
      </c>
      <c r="M35" s="2"/>
      <c r="N35" s="7">
        <f t="shared" si="27"/>
        <v>0</v>
      </c>
      <c r="O35" s="11"/>
      <c r="P35" s="6">
        <v>263.58</v>
      </c>
      <c r="Q35" s="2"/>
      <c r="R35" s="7">
        <f t="shared" si="28"/>
        <v>0</v>
      </c>
      <c r="S35" s="2"/>
      <c r="T35" s="6"/>
      <c r="U35" s="2"/>
      <c r="V35" s="7">
        <f t="shared" si="29"/>
        <v>0</v>
      </c>
      <c r="W35" s="2"/>
      <c r="X35" s="6">
        <f t="shared" si="30"/>
        <v>263.58</v>
      </c>
      <c r="Y35" s="2"/>
      <c r="Z35" s="7">
        <f t="shared" si="31"/>
        <v>0</v>
      </c>
    </row>
    <row r="36" spans="1:26" s="29" customFormat="1" outlineLevel="1" collapsed="1" x14ac:dyDescent="0.3">
      <c r="A36" s="28"/>
      <c r="B36" s="14" t="str">
        <f>CONCATENATE("     ","Bank/card Fees                                    ")</f>
        <v xml:space="preserve">     Bank/card Fees                                    </v>
      </c>
      <c r="C36" s="14"/>
      <c r="D36" s="1">
        <f>SUM(OSRRefD22_3x_0)</f>
        <v>0</v>
      </c>
      <c r="E36" s="1"/>
      <c r="F36" s="5">
        <f t="shared" si="24"/>
        <v>0</v>
      </c>
      <c r="G36" s="1"/>
      <c r="H36" s="1">
        <f>SUM(OSRRefH22_3x_0)</f>
        <v>0</v>
      </c>
      <c r="I36" s="1"/>
      <c r="J36" s="5">
        <f t="shared" si="25"/>
        <v>0</v>
      </c>
      <c r="K36" s="1"/>
      <c r="L36" s="1">
        <f t="shared" si="26"/>
        <v>0</v>
      </c>
      <c r="M36" s="1"/>
      <c r="N36" s="5">
        <f t="shared" si="27"/>
        <v>0</v>
      </c>
      <c r="O36" s="14"/>
      <c r="P36" s="1">
        <f>SUM(OSRRefP22_3x_0)</f>
        <v>0.37</v>
      </c>
      <c r="Q36" s="1"/>
      <c r="R36" s="5">
        <f t="shared" si="28"/>
        <v>0</v>
      </c>
      <c r="S36" s="1"/>
      <c r="T36" s="1">
        <f>SUM(OSRRefT22_3x_0)</f>
        <v>0</v>
      </c>
      <c r="U36" s="1"/>
      <c r="V36" s="5">
        <f t="shared" si="29"/>
        <v>0</v>
      </c>
      <c r="W36" s="1"/>
      <c r="X36" s="1">
        <f t="shared" si="30"/>
        <v>0.37</v>
      </c>
      <c r="Y36" s="1"/>
      <c r="Z36" s="5">
        <f t="shared" si="31"/>
        <v>0</v>
      </c>
    </row>
    <row r="37" spans="1:26" s="24" customFormat="1" hidden="1" outlineLevel="2" x14ac:dyDescent="0.3">
      <c r="A37" s="27"/>
      <c r="B37" s="11" t="str">
        <f>CONCATENATE("          ", "6381", " - ", "BANK/CREDIT CARD FEES")</f>
        <v xml:space="preserve">          6381 - BANK/CREDIT CARD FEES</v>
      </c>
      <c r="C37" s="11"/>
      <c r="D37" s="6"/>
      <c r="E37" s="2"/>
      <c r="F37" s="7">
        <f t="shared" si="24"/>
        <v>0</v>
      </c>
      <c r="G37" s="2"/>
      <c r="H37" s="6"/>
      <c r="I37" s="2"/>
      <c r="J37" s="7">
        <f t="shared" si="25"/>
        <v>0</v>
      </c>
      <c r="K37" s="2"/>
      <c r="L37" s="6">
        <f t="shared" si="26"/>
        <v>0</v>
      </c>
      <c r="M37" s="2"/>
      <c r="N37" s="7">
        <f t="shared" si="27"/>
        <v>0</v>
      </c>
      <c r="O37" s="11"/>
      <c r="P37" s="6">
        <v>0.37</v>
      </c>
      <c r="Q37" s="2"/>
      <c r="R37" s="7">
        <f t="shared" si="28"/>
        <v>0</v>
      </c>
      <c r="S37" s="2"/>
      <c r="T37" s="6"/>
      <c r="U37" s="2"/>
      <c r="V37" s="7">
        <f t="shared" si="29"/>
        <v>0</v>
      </c>
      <c r="W37" s="2"/>
      <c r="X37" s="6">
        <f t="shared" si="30"/>
        <v>0.37</v>
      </c>
      <c r="Y37" s="2"/>
      <c r="Z37" s="7">
        <f t="shared" si="31"/>
        <v>0</v>
      </c>
    </row>
    <row r="38" spans="1:26" s="29" customFormat="1" outlineLevel="1" collapsed="1" x14ac:dyDescent="0.3">
      <c r="A38" s="28"/>
      <c r="B38" s="14" t="str">
        <f>CONCATENATE("     ","Depreciation                                      ")</f>
        <v xml:space="preserve">     Depreciation                                      </v>
      </c>
      <c r="C38" s="14"/>
      <c r="D38" s="1">
        <f>SUM(OSRRefD22_4x_0)</f>
        <v>6701.08</v>
      </c>
      <c r="E38" s="1"/>
      <c r="F38" s="5">
        <f t="shared" si="24"/>
        <v>0</v>
      </c>
      <c r="G38" s="1"/>
      <c r="H38" s="1">
        <f>SUM(OSRRefH22_4x_0)</f>
        <v>6745.17</v>
      </c>
      <c r="I38" s="1"/>
      <c r="J38" s="5">
        <f t="shared" si="25"/>
        <v>0</v>
      </c>
      <c r="K38" s="1"/>
      <c r="L38" s="1">
        <f t="shared" si="26"/>
        <v>-44.090000000000146</v>
      </c>
      <c r="M38" s="1"/>
      <c r="N38" s="5">
        <f t="shared" si="27"/>
        <v>-6.5365291015645486E-3</v>
      </c>
      <c r="O38" s="14"/>
      <c r="P38" s="1">
        <f>SUM(OSRRefP22_4x_0)</f>
        <v>33593.54</v>
      </c>
      <c r="Q38" s="1"/>
      <c r="R38" s="5">
        <f t="shared" si="28"/>
        <v>0</v>
      </c>
      <c r="S38" s="1"/>
      <c r="T38" s="1">
        <f>SUM(OSRRefT22_4x_0)</f>
        <v>35023</v>
      </c>
      <c r="U38" s="1"/>
      <c r="V38" s="5">
        <f t="shared" si="29"/>
        <v>0</v>
      </c>
      <c r="W38" s="1"/>
      <c r="X38" s="1">
        <f t="shared" si="30"/>
        <v>-1429.4599999999991</v>
      </c>
      <c r="Y38" s="1"/>
      <c r="Z38" s="5">
        <f t="shared" si="31"/>
        <v>-4.0814893070268088E-2</v>
      </c>
    </row>
    <row r="39" spans="1:26" s="24" customFormat="1" hidden="1" outlineLevel="2" x14ac:dyDescent="0.3">
      <c r="A39" s="27"/>
      <c r="B39" s="11" t="str">
        <f>CONCATENATE("          ", "6321", " - ", "BUILDING DEPRECIATION")</f>
        <v xml:space="preserve">          6321 - BUILDING DEPRECIATION</v>
      </c>
      <c r="C39" s="11"/>
      <c r="D39" s="6">
        <v>6492.96</v>
      </c>
      <c r="E39" s="2"/>
      <c r="F39" s="7">
        <f t="shared" si="24"/>
        <v>0</v>
      </c>
      <c r="G39" s="2"/>
      <c r="H39" s="6">
        <v>6537.05</v>
      </c>
      <c r="I39" s="2"/>
      <c r="J39" s="7">
        <f t="shared" si="25"/>
        <v>0</v>
      </c>
      <c r="K39" s="2"/>
      <c r="L39" s="6">
        <f t="shared" si="26"/>
        <v>-44.090000000000146</v>
      </c>
      <c r="M39" s="2"/>
      <c r="N39" s="7">
        <f t="shared" si="27"/>
        <v>-6.7446325177259077E-3</v>
      </c>
      <c r="O39" s="11"/>
      <c r="P39" s="6">
        <v>32552.94</v>
      </c>
      <c r="Q39" s="2"/>
      <c r="R39" s="7">
        <f t="shared" si="28"/>
        <v>0</v>
      </c>
      <c r="S39" s="2"/>
      <c r="T39" s="6">
        <v>32685.25</v>
      </c>
      <c r="U39" s="2"/>
      <c r="V39" s="7">
        <f t="shared" si="29"/>
        <v>0</v>
      </c>
      <c r="W39" s="2"/>
      <c r="X39" s="6">
        <f t="shared" si="30"/>
        <v>-132.31000000000131</v>
      </c>
      <c r="Y39" s="2"/>
      <c r="Z39" s="7">
        <f t="shared" si="31"/>
        <v>-4.0480033042427799E-3</v>
      </c>
    </row>
    <row r="40" spans="1:26" s="24" customFormat="1" hidden="1" outlineLevel="2" x14ac:dyDescent="0.3">
      <c r="A40" s="27"/>
      <c r="B40" s="11" t="str">
        <f>CONCATENATE("          ", "6322", " - ", "EQUIPMENT DEPRECIATION EXPENSE")</f>
        <v xml:space="preserve">          6322 - EQUIPMENT DEPRECIATION EXPENSE</v>
      </c>
      <c r="C40" s="11"/>
      <c r="D40" s="6">
        <v>208.12</v>
      </c>
      <c r="E40" s="2"/>
      <c r="F40" s="7">
        <f t="shared" si="24"/>
        <v>0</v>
      </c>
      <c r="G40" s="2"/>
      <c r="H40" s="6">
        <v>208.12</v>
      </c>
      <c r="I40" s="2"/>
      <c r="J40" s="7">
        <f t="shared" si="25"/>
        <v>0</v>
      </c>
      <c r="K40" s="2"/>
      <c r="L40" s="6">
        <f t="shared" si="26"/>
        <v>0</v>
      </c>
      <c r="M40" s="2"/>
      <c r="N40" s="7">
        <f t="shared" si="27"/>
        <v>0</v>
      </c>
      <c r="O40" s="11"/>
      <c r="P40" s="6">
        <v>1040.5999999999999</v>
      </c>
      <c r="Q40" s="2"/>
      <c r="R40" s="7">
        <f t="shared" si="28"/>
        <v>0</v>
      </c>
      <c r="S40" s="2"/>
      <c r="T40" s="6">
        <v>2337.75</v>
      </c>
      <c r="U40" s="2"/>
      <c r="V40" s="7">
        <f t="shared" si="29"/>
        <v>0</v>
      </c>
      <c r="W40" s="2"/>
      <c r="X40" s="6">
        <f t="shared" si="30"/>
        <v>-1297.1500000000001</v>
      </c>
      <c r="Y40" s="2"/>
      <c r="Z40" s="7">
        <f t="shared" si="31"/>
        <v>-0.55487113677681532</v>
      </c>
    </row>
    <row r="41" spans="1:26" s="29" customFormat="1" outlineLevel="1" collapsed="1" x14ac:dyDescent="0.3">
      <c r="A41" s="28"/>
      <c r="B41" s="14" t="str">
        <f>CONCATENATE("     ","Employees' Appreciation                           ")</f>
        <v xml:space="preserve">     Employees' Appreciation                           </v>
      </c>
      <c r="C41" s="14"/>
      <c r="D41" s="1">
        <f>SUM(OSRRefD22_5x_0)</f>
        <v>0</v>
      </c>
      <c r="E41" s="1"/>
      <c r="F41" s="5">
        <f t="shared" ref="F41:F49" si="32">IF(D$12=0,0,D41/D$12)</f>
        <v>0</v>
      </c>
      <c r="G41" s="1"/>
      <c r="H41" s="1">
        <f>SUM(OSRRefH22_5x_0)</f>
        <v>0</v>
      </c>
      <c r="I41" s="1"/>
      <c r="J41" s="5">
        <f t="shared" ref="J41:J49" si="33">IF(H$12=0,0,H41/H$12)</f>
        <v>0</v>
      </c>
      <c r="K41" s="1"/>
      <c r="L41" s="1">
        <f t="shared" ref="L41:L49" si="34">+D41-H41</f>
        <v>0</v>
      </c>
      <c r="M41" s="1"/>
      <c r="N41" s="5">
        <f t="shared" ref="N41:N49" si="35">IF(H41=0,0,L41/H41)</f>
        <v>0</v>
      </c>
      <c r="O41" s="14"/>
      <c r="P41" s="1">
        <f>SUM(OSRRefP22_5x_0)</f>
        <v>49.95</v>
      </c>
      <c r="Q41" s="1"/>
      <c r="R41" s="5">
        <f t="shared" ref="R41:R49" si="36">IF(P$12=0,0,P41/P$12)</f>
        <v>0</v>
      </c>
      <c r="S41" s="1"/>
      <c r="T41" s="1">
        <f>SUM(OSRRefT22_5x_0)</f>
        <v>0</v>
      </c>
      <c r="U41" s="1"/>
      <c r="V41" s="5">
        <f t="shared" ref="V41:V49" si="37">IF(T$12=0,0,T41/T$12)</f>
        <v>0</v>
      </c>
      <c r="W41" s="1"/>
      <c r="X41" s="1">
        <f t="shared" ref="X41:X49" si="38">+P41-T41</f>
        <v>49.95</v>
      </c>
      <c r="Y41" s="1"/>
      <c r="Z41" s="5">
        <f t="shared" ref="Z41:Z49" si="39">IF(T41=0,0,X41/T41)</f>
        <v>0</v>
      </c>
    </row>
    <row r="42" spans="1:26" s="24" customFormat="1" hidden="1" outlineLevel="2" x14ac:dyDescent="0.3">
      <c r="A42" s="27"/>
      <c r="B42" s="11" t="str">
        <f>CONCATENATE("          ", "6277", " - ", "EMPLOYEE APPRECIATION")</f>
        <v xml:space="preserve">          6277 - EMPLOYEE APPRECIATION</v>
      </c>
      <c r="C42" s="11"/>
      <c r="D42" s="6"/>
      <c r="E42" s="2"/>
      <c r="F42" s="7">
        <f t="shared" si="32"/>
        <v>0</v>
      </c>
      <c r="G42" s="2"/>
      <c r="H42" s="6"/>
      <c r="I42" s="2"/>
      <c r="J42" s="7">
        <f t="shared" si="33"/>
        <v>0</v>
      </c>
      <c r="K42" s="2"/>
      <c r="L42" s="6">
        <f t="shared" si="34"/>
        <v>0</v>
      </c>
      <c r="M42" s="2"/>
      <c r="N42" s="7">
        <f t="shared" si="35"/>
        <v>0</v>
      </c>
      <c r="O42" s="11"/>
      <c r="P42" s="6">
        <v>49.95</v>
      </c>
      <c r="Q42" s="2"/>
      <c r="R42" s="7">
        <f t="shared" si="36"/>
        <v>0</v>
      </c>
      <c r="S42" s="2"/>
      <c r="T42" s="6"/>
      <c r="U42" s="2"/>
      <c r="V42" s="7">
        <f t="shared" si="37"/>
        <v>0</v>
      </c>
      <c r="W42" s="2"/>
      <c r="X42" s="6">
        <f t="shared" si="38"/>
        <v>49.95</v>
      </c>
      <c r="Y42" s="2"/>
      <c r="Z42" s="7">
        <f t="shared" si="39"/>
        <v>0</v>
      </c>
    </row>
    <row r="43" spans="1:26" s="29" customFormat="1" outlineLevel="1" collapsed="1" x14ac:dyDescent="0.3">
      <c r="A43" s="28"/>
      <c r="B43" s="14" t="str">
        <f>CONCATENATE("     ","Equipment Rental                                  ")</f>
        <v xml:space="preserve">     Equipment Rental                                  </v>
      </c>
      <c r="C43" s="14"/>
      <c r="D43" s="1">
        <f>SUM(OSRRefD22_6x_0)</f>
        <v>516.80999999999995</v>
      </c>
      <c r="E43" s="1"/>
      <c r="F43" s="5">
        <f t="shared" si="32"/>
        <v>0</v>
      </c>
      <c r="G43" s="1"/>
      <c r="H43" s="1">
        <f>SUM(OSRRefH22_6x_0)</f>
        <v>0</v>
      </c>
      <c r="I43" s="1"/>
      <c r="J43" s="5">
        <f t="shared" si="33"/>
        <v>0</v>
      </c>
      <c r="K43" s="1"/>
      <c r="L43" s="1">
        <f t="shared" si="34"/>
        <v>516.80999999999995</v>
      </c>
      <c r="M43" s="1"/>
      <c r="N43" s="5">
        <f t="shared" si="35"/>
        <v>0</v>
      </c>
      <c r="O43" s="14"/>
      <c r="P43" s="1">
        <f>SUM(OSRRefP22_6x_0)</f>
        <v>2217.39</v>
      </c>
      <c r="Q43" s="1"/>
      <c r="R43" s="5">
        <f t="shared" si="36"/>
        <v>0</v>
      </c>
      <c r="S43" s="1"/>
      <c r="T43" s="1">
        <f>SUM(OSRRefT22_6x_0)</f>
        <v>263.72000000000003</v>
      </c>
      <c r="U43" s="1"/>
      <c r="V43" s="5">
        <f t="shared" si="37"/>
        <v>0</v>
      </c>
      <c r="W43" s="1"/>
      <c r="X43" s="1">
        <f t="shared" si="38"/>
        <v>1953.6699999999998</v>
      </c>
      <c r="Y43" s="1"/>
      <c r="Z43" s="5">
        <f t="shared" si="39"/>
        <v>7.408122250872136</v>
      </c>
    </row>
    <row r="44" spans="1:26" s="24" customFormat="1" hidden="1" outlineLevel="2" x14ac:dyDescent="0.3">
      <c r="A44" s="27"/>
      <c r="B44" s="11" t="str">
        <f>CONCATENATE("          ", "6351", " - ", "EQUIPMENT RENTAL")</f>
        <v xml:space="preserve">          6351 - EQUIPMENT RENTAL</v>
      </c>
      <c r="C44" s="11"/>
      <c r="D44" s="6">
        <v>516.80999999999995</v>
      </c>
      <c r="E44" s="2"/>
      <c r="F44" s="7">
        <f t="shared" si="32"/>
        <v>0</v>
      </c>
      <c r="G44" s="2"/>
      <c r="H44" s="6"/>
      <c r="I44" s="2"/>
      <c r="J44" s="7">
        <f t="shared" si="33"/>
        <v>0</v>
      </c>
      <c r="K44" s="2"/>
      <c r="L44" s="6">
        <f t="shared" si="34"/>
        <v>516.80999999999995</v>
      </c>
      <c r="M44" s="2"/>
      <c r="N44" s="7">
        <f t="shared" si="35"/>
        <v>0</v>
      </c>
      <c r="O44" s="11"/>
      <c r="P44" s="6">
        <v>2217.39</v>
      </c>
      <c r="Q44" s="2"/>
      <c r="R44" s="7">
        <f t="shared" si="36"/>
        <v>0</v>
      </c>
      <c r="S44" s="2"/>
      <c r="T44" s="6">
        <v>263.72000000000003</v>
      </c>
      <c r="U44" s="2"/>
      <c r="V44" s="7">
        <f t="shared" si="37"/>
        <v>0</v>
      </c>
      <c r="W44" s="2"/>
      <c r="X44" s="6">
        <f t="shared" si="38"/>
        <v>1953.6699999999998</v>
      </c>
      <c r="Y44" s="2"/>
      <c r="Z44" s="7">
        <f t="shared" si="39"/>
        <v>7.408122250872136</v>
      </c>
    </row>
    <row r="45" spans="1:26" s="29" customFormat="1" outlineLevel="1" collapsed="1" x14ac:dyDescent="0.3">
      <c r="A45" s="28"/>
      <c r="B45" s="14" t="str">
        <f>CONCATENATE("     ","General                                           ")</f>
        <v xml:space="preserve">     General                                           </v>
      </c>
      <c r="C45" s="14"/>
      <c r="D45" s="1">
        <f>SUM(OSRRefD22_7x_0)</f>
        <v>0</v>
      </c>
      <c r="E45" s="1"/>
      <c r="F45" s="5">
        <f t="shared" si="32"/>
        <v>0</v>
      </c>
      <c r="G45" s="1"/>
      <c r="H45" s="1">
        <f>SUM(OSRRefH22_7x_0)</f>
        <v>0</v>
      </c>
      <c r="I45" s="1"/>
      <c r="J45" s="5">
        <f t="shared" si="33"/>
        <v>0</v>
      </c>
      <c r="K45" s="1"/>
      <c r="L45" s="1">
        <f t="shared" si="34"/>
        <v>0</v>
      </c>
      <c r="M45" s="1"/>
      <c r="N45" s="5">
        <f t="shared" si="35"/>
        <v>0</v>
      </c>
      <c r="O45" s="14"/>
      <c r="P45" s="1">
        <f>SUM(OSRRefP22_7x_0)</f>
        <v>1314.55</v>
      </c>
      <c r="Q45" s="1"/>
      <c r="R45" s="5">
        <f t="shared" si="36"/>
        <v>0</v>
      </c>
      <c r="S45" s="1"/>
      <c r="T45" s="1">
        <f>SUM(OSRRefT22_7x_0)</f>
        <v>1284.55</v>
      </c>
      <c r="U45" s="1"/>
      <c r="V45" s="5">
        <f t="shared" si="37"/>
        <v>0</v>
      </c>
      <c r="W45" s="1"/>
      <c r="X45" s="1">
        <f t="shared" si="38"/>
        <v>30</v>
      </c>
      <c r="Y45" s="1"/>
      <c r="Z45" s="5">
        <f t="shared" si="39"/>
        <v>2.3354482114359115E-2</v>
      </c>
    </row>
    <row r="46" spans="1:26" s="24" customFormat="1" hidden="1" outlineLevel="2" x14ac:dyDescent="0.3">
      <c r="A46" s="27"/>
      <c r="B46" s="11" t="str">
        <f>CONCATENATE("          ", "6279", " - ", "GENERAL EXPENSE")</f>
        <v xml:space="preserve">          6279 - GENERAL EXPENSE</v>
      </c>
      <c r="C46" s="11"/>
      <c r="D46" s="6"/>
      <c r="E46" s="2"/>
      <c r="F46" s="7">
        <f t="shared" si="32"/>
        <v>0</v>
      </c>
      <c r="G46" s="2"/>
      <c r="H46" s="6"/>
      <c r="I46" s="2"/>
      <c r="J46" s="7">
        <f t="shared" si="33"/>
        <v>0</v>
      </c>
      <c r="K46" s="2"/>
      <c r="L46" s="6">
        <f t="shared" si="34"/>
        <v>0</v>
      </c>
      <c r="M46" s="2"/>
      <c r="N46" s="7">
        <f t="shared" si="35"/>
        <v>0</v>
      </c>
      <c r="O46" s="11"/>
      <c r="P46" s="6">
        <v>1314.55</v>
      </c>
      <c r="Q46" s="2"/>
      <c r="R46" s="7">
        <f t="shared" si="36"/>
        <v>0</v>
      </c>
      <c r="S46" s="2"/>
      <c r="T46" s="6">
        <v>1284.55</v>
      </c>
      <c r="U46" s="2"/>
      <c r="V46" s="7">
        <f t="shared" si="37"/>
        <v>0</v>
      </c>
      <c r="W46" s="2"/>
      <c r="X46" s="6">
        <f t="shared" si="38"/>
        <v>30</v>
      </c>
      <c r="Y46" s="2"/>
      <c r="Z46" s="7">
        <f t="shared" si="39"/>
        <v>2.3354482114359115E-2</v>
      </c>
    </row>
    <row r="47" spans="1:26" s="29" customFormat="1" outlineLevel="1" collapsed="1" x14ac:dyDescent="0.3">
      <c r="A47" s="28"/>
      <c r="B47" s="14" t="str">
        <f>CONCATENATE("     ","Repair and Maintenance                            ")</f>
        <v xml:space="preserve">     Repair and Maintenance                            </v>
      </c>
      <c r="C47" s="14"/>
      <c r="D47" s="1">
        <f>SUM(OSRRefD22_8x_0)</f>
        <v>1176.51</v>
      </c>
      <c r="E47" s="1"/>
      <c r="F47" s="5">
        <f t="shared" si="32"/>
        <v>0</v>
      </c>
      <c r="G47" s="1"/>
      <c r="H47" s="1">
        <f>SUM(OSRRefH22_8x_0)</f>
        <v>0</v>
      </c>
      <c r="I47" s="1"/>
      <c r="J47" s="5">
        <f t="shared" si="33"/>
        <v>0</v>
      </c>
      <c r="K47" s="1"/>
      <c r="L47" s="1">
        <f t="shared" si="34"/>
        <v>1176.51</v>
      </c>
      <c r="M47" s="1"/>
      <c r="N47" s="5">
        <f t="shared" si="35"/>
        <v>0</v>
      </c>
      <c r="O47" s="14"/>
      <c r="P47" s="1">
        <f>SUM(OSRRefP22_8x_0)</f>
        <v>5611.55</v>
      </c>
      <c r="Q47" s="1"/>
      <c r="R47" s="5">
        <f t="shared" si="36"/>
        <v>0</v>
      </c>
      <c r="S47" s="1"/>
      <c r="T47" s="1">
        <f>SUM(OSRRefT22_8x_0)</f>
        <v>277.47000000000003</v>
      </c>
      <c r="U47" s="1"/>
      <c r="V47" s="5">
        <f t="shared" si="37"/>
        <v>0</v>
      </c>
      <c r="W47" s="1"/>
      <c r="X47" s="1">
        <f t="shared" si="38"/>
        <v>5334.08</v>
      </c>
      <c r="Y47" s="1"/>
      <c r="Z47" s="5">
        <f t="shared" si="39"/>
        <v>19.223988178902221</v>
      </c>
    </row>
    <row r="48" spans="1:26" s="24" customFormat="1" hidden="1" outlineLevel="2" x14ac:dyDescent="0.3">
      <c r="A48" s="27"/>
      <c r="B48" s="11" t="str">
        <f>CONCATENATE("          ", "6373", " - ", "MAINTENANCE CONTRACTS")</f>
        <v xml:space="preserve">          6373 - MAINTENANCE CONTRACTS</v>
      </c>
      <c r="C48" s="11"/>
      <c r="D48" s="6">
        <v>612.6</v>
      </c>
      <c r="E48" s="2"/>
      <c r="F48" s="7">
        <f t="shared" si="32"/>
        <v>0</v>
      </c>
      <c r="G48" s="2"/>
      <c r="H48" s="6"/>
      <c r="I48" s="2"/>
      <c r="J48" s="7">
        <f t="shared" si="33"/>
        <v>0</v>
      </c>
      <c r="K48" s="2"/>
      <c r="L48" s="6">
        <f t="shared" si="34"/>
        <v>612.6</v>
      </c>
      <c r="M48" s="2"/>
      <c r="N48" s="7">
        <f t="shared" si="35"/>
        <v>0</v>
      </c>
      <c r="O48" s="11"/>
      <c r="P48" s="6">
        <v>2015.27</v>
      </c>
      <c r="Q48" s="2"/>
      <c r="R48" s="7">
        <f t="shared" si="36"/>
        <v>0</v>
      </c>
      <c r="S48" s="2"/>
      <c r="T48" s="6">
        <v>277.47000000000003</v>
      </c>
      <c r="U48" s="2"/>
      <c r="V48" s="7">
        <f t="shared" si="37"/>
        <v>0</v>
      </c>
      <c r="W48" s="2"/>
      <c r="X48" s="6">
        <f t="shared" si="38"/>
        <v>1737.8</v>
      </c>
      <c r="Y48" s="2"/>
      <c r="Z48" s="7">
        <f t="shared" si="39"/>
        <v>6.2630194255234795</v>
      </c>
    </row>
    <row r="49" spans="1:26" s="24" customFormat="1" hidden="1" outlineLevel="2" x14ac:dyDescent="0.3">
      <c r="A49" s="27"/>
      <c r="B49" s="11" t="str">
        <f>CONCATENATE("          ", "6375", " - ", "OUTSIDE REPAIRS &amp; MAINTENANCE")</f>
        <v xml:space="preserve">          6375 - OUTSIDE REPAIRS &amp; MAINTENANCE</v>
      </c>
      <c r="C49" s="11"/>
      <c r="D49" s="6">
        <v>563.91</v>
      </c>
      <c r="E49" s="2"/>
      <c r="F49" s="7">
        <f t="shared" si="32"/>
        <v>0</v>
      </c>
      <c r="G49" s="2"/>
      <c r="H49" s="6"/>
      <c r="I49" s="2"/>
      <c r="J49" s="7">
        <f t="shared" si="33"/>
        <v>0</v>
      </c>
      <c r="K49" s="2"/>
      <c r="L49" s="6">
        <f t="shared" si="34"/>
        <v>563.91</v>
      </c>
      <c r="M49" s="2"/>
      <c r="N49" s="7">
        <f t="shared" si="35"/>
        <v>0</v>
      </c>
      <c r="O49" s="11"/>
      <c r="P49" s="6">
        <v>3596.28</v>
      </c>
      <c r="Q49" s="2"/>
      <c r="R49" s="7">
        <f t="shared" si="36"/>
        <v>0</v>
      </c>
      <c r="S49" s="2"/>
      <c r="T49" s="6"/>
      <c r="U49" s="2"/>
      <c r="V49" s="7">
        <f t="shared" si="37"/>
        <v>0</v>
      </c>
      <c r="W49" s="2"/>
      <c r="X49" s="6">
        <f t="shared" si="38"/>
        <v>3596.28</v>
      </c>
      <c r="Y49" s="2"/>
      <c r="Z49" s="7">
        <f t="shared" si="39"/>
        <v>0</v>
      </c>
    </row>
    <row r="50" spans="1:26" s="29" customFormat="1" outlineLevel="1" collapsed="1" x14ac:dyDescent="0.3">
      <c r="A50" s="28"/>
      <c r="B50" s="14" t="str">
        <f>CONCATENATE("     ","Services                                          ")</f>
        <v xml:space="preserve">     Services                                          </v>
      </c>
      <c r="C50" s="14"/>
      <c r="D50" s="1">
        <f>SUM(OSRRefD22_9x_0)</f>
        <v>0</v>
      </c>
      <c r="E50" s="1"/>
      <c r="F50" s="5">
        <f t="shared" ref="F50:F59" si="40">IF(D$12=0,0,D50/D$12)</f>
        <v>0</v>
      </c>
      <c r="G50" s="1"/>
      <c r="H50" s="1">
        <f>SUM(OSRRefH22_9x_0)</f>
        <v>0</v>
      </c>
      <c r="I50" s="1"/>
      <c r="J50" s="5">
        <f t="shared" ref="J50:J59" si="41">IF(H$12=0,0,H50/H$12)</f>
        <v>0</v>
      </c>
      <c r="K50" s="1"/>
      <c r="L50" s="1">
        <f t="shared" ref="L50:L59" si="42">+D50-H50</f>
        <v>0</v>
      </c>
      <c r="M50" s="1"/>
      <c r="N50" s="5">
        <f t="shared" ref="N50:N59" si="43">IF(H50=0,0,L50/H50)</f>
        <v>0</v>
      </c>
      <c r="O50" s="14"/>
      <c r="P50" s="1">
        <f>SUM(OSRRefP22_9x_0)</f>
        <v>260</v>
      </c>
      <c r="Q50" s="1"/>
      <c r="R50" s="5">
        <f t="shared" ref="R50:R59" si="44">IF(P$12=0,0,P50/P$12)</f>
        <v>0</v>
      </c>
      <c r="S50" s="1"/>
      <c r="T50" s="1">
        <f>SUM(OSRRefT22_9x_0)</f>
        <v>0</v>
      </c>
      <c r="U50" s="1"/>
      <c r="V50" s="5">
        <f t="shared" ref="V50:V59" si="45">IF(T$12=0,0,T50/T$12)</f>
        <v>0</v>
      </c>
      <c r="W50" s="1"/>
      <c r="X50" s="1">
        <f t="shared" ref="X50:X59" si="46">+P50-T50</f>
        <v>260</v>
      </c>
      <c r="Y50" s="1"/>
      <c r="Z50" s="5">
        <f t="shared" ref="Z50:Z59" si="47">IF(T50=0,0,X50/T50)</f>
        <v>0</v>
      </c>
    </row>
    <row r="51" spans="1:26" s="24" customFormat="1" hidden="1" outlineLevel="2" x14ac:dyDescent="0.3">
      <c r="A51" s="27"/>
      <c r="B51" s="11" t="str">
        <f>CONCATENATE("          ", "6285", " - ", "JANITORIAL SERVICES")</f>
        <v xml:space="preserve">          6285 - JANITORIAL SERVICES</v>
      </c>
      <c r="C51" s="11"/>
      <c r="D51" s="6"/>
      <c r="E51" s="2"/>
      <c r="F51" s="7">
        <f t="shared" si="40"/>
        <v>0</v>
      </c>
      <c r="G51" s="2"/>
      <c r="H51" s="6"/>
      <c r="I51" s="2"/>
      <c r="J51" s="7">
        <f t="shared" si="41"/>
        <v>0</v>
      </c>
      <c r="K51" s="2"/>
      <c r="L51" s="6">
        <f t="shared" si="42"/>
        <v>0</v>
      </c>
      <c r="M51" s="2"/>
      <c r="N51" s="7">
        <f t="shared" si="43"/>
        <v>0</v>
      </c>
      <c r="O51" s="11"/>
      <c r="P51" s="6">
        <v>260</v>
      </c>
      <c r="Q51" s="2"/>
      <c r="R51" s="7">
        <f t="shared" si="44"/>
        <v>0</v>
      </c>
      <c r="S51" s="2"/>
      <c r="T51" s="6"/>
      <c r="U51" s="2"/>
      <c r="V51" s="7">
        <f t="shared" si="45"/>
        <v>0</v>
      </c>
      <c r="W51" s="2"/>
      <c r="X51" s="6">
        <f t="shared" si="46"/>
        <v>260</v>
      </c>
      <c r="Y51" s="2"/>
      <c r="Z51" s="7">
        <f t="shared" si="47"/>
        <v>0</v>
      </c>
    </row>
    <row r="52" spans="1:26" s="29" customFormat="1" outlineLevel="1" collapsed="1" x14ac:dyDescent="0.3">
      <c r="A52" s="28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1">
        <f>SUM(OSRRefD22_10x_0)</f>
        <v>196.96</v>
      </c>
      <c r="E52" s="1"/>
      <c r="F52" s="5">
        <f t="shared" si="40"/>
        <v>0</v>
      </c>
      <c r="G52" s="1"/>
      <c r="H52" s="1">
        <f>SUM(OSRRefH22_10x_0)</f>
        <v>0</v>
      </c>
      <c r="I52" s="1"/>
      <c r="J52" s="5">
        <f t="shared" si="41"/>
        <v>0</v>
      </c>
      <c r="K52" s="1"/>
      <c r="L52" s="1">
        <f t="shared" si="42"/>
        <v>196.96</v>
      </c>
      <c r="M52" s="1"/>
      <c r="N52" s="5">
        <f t="shared" si="43"/>
        <v>0</v>
      </c>
      <c r="O52" s="14"/>
      <c r="P52" s="1">
        <f>SUM(OSRRefP22_10x_0)</f>
        <v>590.66999999999996</v>
      </c>
      <c r="Q52" s="1"/>
      <c r="R52" s="5">
        <f t="shared" si="44"/>
        <v>0</v>
      </c>
      <c r="S52" s="1"/>
      <c r="T52" s="1">
        <f>SUM(OSRRefT22_10x_0)</f>
        <v>0</v>
      </c>
      <c r="U52" s="1"/>
      <c r="V52" s="5">
        <f t="shared" si="45"/>
        <v>0</v>
      </c>
      <c r="W52" s="1"/>
      <c r="X52" s="1">
        <f t="shared" si="46"/>
        <v>590.66999999999996</v>
      </c>
      <c r="Y52" s="1"/>
      <c r="Z52" s="5">
        <f t="shared" si="47"/>
        <v>0</v>
      </c>
    </row>
    <row r="53" spans="1:26" s="24" customFormat="1" hidden="1" outlineLevel="2" x14ac:dyDescent="0.3">
      <c r="A53" s="27"/>
      <c r="B53" s="11" t="str">
        <f>CONCATENATE("          ", "6275", " - ", "SUBSCRIPTIONS")</f>
        <v xml:space="preserve">          6275 - SUBSCRIPTIONS</v>
      </c>
      <c r="C53" s="11"/>
      <c r="D53" s="6">
        <v>196.96</v>
      </c>
      <c r="E53" s="2"/>
      <c r="F53" s="7">
        <f t="shared" si="40"/>
        <v>0</v>
      </c>
      <c r="G53" s="2"/>
      <c r="H53" s="6"/>
      <c r="I53" s="2"/>
      <c r="J53" s="7">
        <f t="shared" si="41"/>
        <v>0</v>
      </c>
      <c r="K53" s="2"/>
      <c r="L53" s="6">
        <f t="shared" si="42"/>
        <v>196.96</v>
      </c>
      <c r="M53" s="2"/>
      <c r="N53" s="7">
        <f t="shared" si="43"/>
        <v>0</v>
      </c>
      <c r="O53" s="11"/>
      <c r="P53" s="6">
        <v>590.66999999999996</v>
      </c>
      <c r="Q53" s="2"/>
      <c r="R53" s="7">
        <f t="shared" si="44"/>
        <v>0</v>
      </c>
      <c r="S53" s="2"/>
      <c r="T53" s="6"/>
      <c r="U53" s="2"/>
      <c r="V53" s="7">
        <f t="shared" si="45"/>
        <v>0</v>
      </c>
      <c r="W53" s="2"/>
      <c r="X53" s="6">
        <f t="shared" si="46"/>
        <v>590.66999999999996</v>
      </c>
      <c r="Y53" s="2"/>
      <c r="Z53" s="7">
        <f t="shared" si="47"/>
        <v>0</v>
      </c>
    </row>
    <row r="54" spans="1:26" s="29" customFormat="1" outlineLevel="1" collapsed="1" x14ac:dyDescent="0.3">
      <c r="A54" s="28"/>
      <c r="B54" s="14" t="str">
        <f>CONCATENATE("     ","Supplies                                          ")</f>
        <v xml:space="preserve">     Supplies                                          </v>
      </c>
      <c r="C54" s="14"/>
      <c r="D54" s="1">
        <f>SUM(OSRRefD22_11x_0)</f>
        <v>0</v>
      </c>
      <c r="E54" s="1"/>
      <c r="F54" s="5">
        <f t="shared" si="40"/>
        <v>0</v>
      </c>
      <c r="G54" s="1"/>
      <c r="H54" s="1">
        <f>SUM(OSRRefH22_11x_0)</f>
        <v>0</v>
      </c>
      <c r="I54" s="1"/>
      <c r="J54" s="5">
        <f t="shared" si="41"/>
        <v>0</v>
      </c>
      <c r="K54" s="1"/>
      <c r="L54" s="1">
        <f t="shared" si="42"/>
        <v>0</v>
      </c>
      <c r="M54" s="1"/>
      <c r="N54" s="5">
        <f t="shared" si="43"/>
        <v>0</v>
      </c>
      <c r="O54" s="14"/>
      <c r="P54" s="1">
        <f>SUM(OSRRefP22_11x_0)</f>
        <v>2201.2800000000002</v>
      </c>
      <c r="Q54" s="1"/>
      <c r="R54" s="5">
        <f t="shared" si="44"/>
        <v>0</v>
      </c>
      <c r="S54" s="1"/>
      <c r="T54" s="1">
        <f>SUM(OSRRefT22_11x_0)</f>
        <v>0</v>
      </c>
      <c r="U54" s="1"/>
      <c r="V54" s="5">
        <f t="shared" si="45"/>
        <v>0</v>
      </c>
      <c r="W54" s="1"/>
      <c r="X54" s="1">
        <f t="shared" si="46"/>
        <v>2201.2800000000002</v>
      </c>
      <c r="Y54" s="1"/>
      <c r="Z54" s="5">
        <f t="shared" si="47"/>
        <v>0</v>
      </c>
    </row>
    <row r="55" spans="1:26" s="24" customFormat="1" hidden="1" outlineLevel="2" x14ac:dyDescent="0.3">
      <c r="A55" s="27"/>
      <c r="B55" s="11" t="str">
        <f>CONCATENATE("          ", "6237", " - ", "JANITORIAL SUPPLIES")</f>
        <v xml:space="preserve">          6237 - JANITORIAL SUPPLIES</v>
      </c>
      <c r="C55" s="11"/>
      <c r="D55" s="6"/>
      <c r="E55" s="2"/>
      <c r="F55" s="7">
        <f t="shared" si="40"/>
        <v>0</v>
      </c>
      <c r="G55" s="2"/>
      <c r="H55" s="6"/>
      <c r="I55" s="2"/>
      <c r="J55" s="7">
        <f t="shared" si="41"/>
        <v>0</v>
      </c>
      <c r="K55" s="2"/>
      <c r="L55" s="6">
        <f t="shared" si="42"/>
        <v>0</v>
      </c>
      <c r="M55" s="2"/>
      <c r="N55" s="7">
        <f t="shared" si="43"/>
        <v>0</v>
      </c>
      <c r="O55" s="11"/>
      <c r="P55" s="6">
        <v>796.76</v>
      </c>
      <c r="Q55" s="2"/>
      <c r="R55" s="7">
        <f t="shared" si="44"/>
        <v>0</v>
      </c>
      <c r="S55" s="2"/>
      <c r="T55" s="6"/>
      <c r="U55" s="2"/>
      <c r="V55" s="7">
        <f t="shared" si="45"/>
        <v>0</v>
      </c>
      <c r="W55" s="2"/>
      <c r="X55" s="6">
        <f t="shared" si="46"/>
        <v>796.76</v>
      </c>
      <c r="Y55" s="2"/>
      <c r="Z55" s="7">
        <f t="shared" si="47"/>
        <v>0</v>
      </c>
    </row>
    <row r="56" spans="1:26" s="24" customFormat="1" hidden="1" outlineLevel="2" x14ac:dyDescent="0.3">
      <c r="A56" s="27"/>
      <c r="B56" s="11" t="str">
        <f>CONCATENATE("          ", "6239", " - ", "KITCHEN SUPPLIES")</f>
        <v xml:space="preserve">          6239 - KITCHEN SUPPLIES</v>
      </c>
      <c r="C56" s="11"/>
      <c r="D56" s="6"/>
      <c r="E56" s="2"/>
      <c r="F56" s="7">
        <f t="shared" si="40"/>
        <v>0</v>
      </c>
      <c r="G56" s="2"/>
      <c r="H56" s="6"/>
      <c r="I56" s="2"/>
      <c r="J56" s="7">
        <f t="shared" si="41"/>
        <v>0</v>
      </c>
      <c r="K56" s="2"/>
      <c r="L56" s="6">
        <f t="shared" si="42"/>
        <v>0</v>
      </c>
      <c r="M56" s="2"/>
      <c r="N56" s="7">
        <f t="shared" si="43"/>
        <v>0</v>
      </c>
      <c r="O56" s="11"/>
      <c r="P56" s="6">
        <v>69.62</v>
      </c>
      <c r="Q56" s="2"/>
      <c r="R56" s="7">
        <f t="shared" si="44"/>
        <v>0</v>
      </c>
      <c r="S56" s="2"/>
      <c r="T56" s="6"/>
      <c r="U56" s="2"/>
      <c r="V56" s="7">
        <f t="shared" si="45"/>
        <v>0</v>
      </c>
      <c r="W56" s="2"/>
      <c r="X56" s="6">
        <f t="shared" si="46"/>
        <v>69.62</v>
      </c>
      <c r="Y56" s="2"/>
      <c r="Z56" s="7">
        <f t="shared" si="47"/>
        <v>0</v>
      </c>
    </row>
    <row r="57" spans="1:26" s="24" customFormat="1" hidden="1" outlineLevel="2" x14ac:dyDescent="0.3">
      <c r="A57" s="27"/>
      <c r="B57" s="11" t="str">
        <f>CONCATENATE("          ", "6241", " - ", "OFFICE EXPENSE")</f>
        <v xml:space="preserve">          6241 - OFFICE EXPENSE</v>
      </c>
      <c r="C57" s="11"/>
      <c r="D57" s="6"/>
      <c r="E57" s="2"/>
      <c r="F57" s="7">
        <f t="shared" si="40"/>
        <v>0</v>
      </c>
      <c r="G57" s="2"/>
      <c r="H57" s="6"/>
      <c r="I57" s="2"/>
      <c r="J57" s="7">
        <f t="shared" si="41"/>
        <v>0</v>
      </c>
      <c r="K57" s="2"/>
      <c r="L57" s="6">
        <f t="shared" si="42"/>
        <v>0</v>
      </c>
      <c r="M57" s="2"/>
      <c r="N57" s="7">
        <f t="shared" si="43"/>
        <v>0</v>
      </c>
      <c r="O57" s="11"/>
      <c r="P57" s="6">
        <v>858.71</v>
      </c>
      <c r="Q57" s="2"/>
      <c r="R57" s="7">
        <f t="shared" si="44"/>
        <v>0</v>
      </c>
      <c r="S57" s="2"/>
      <c r="T57" s="6"/>
      <c r="U57" s="2"/>
      <c r="V57" s="7">
        <f t="shared" si="45"/>
        <v>0</v>
      </c>
      <c r="W57" s="2"/>
      <c r="X57" s="6">
        <f t="shared" si="46"/>
        <v>858.71</v>
      </c>
      <c r="Y57" s="2"/>
      <c r="Z57" s="7">
        <f t="shared" si="47"/>
        <v>0</v>
      </c>
    </row>
    <row r="58" spans="1:26" s="24" customFormat="1" hidden="1" outlineLevel="2" x14ac:dyDescent="0.3">
      <c r="A58" s="27"/>
      <c r="B58" s="11" t="str">
        <f>CONCATENATE("          ", "6243", " - ", "PAPER SUPPLIES")</f>
        <v xml:space="preserve">          6243 - PAPER SUPPLIES</v>
      </c>
      <c r="C58" s="11"/>
      <c r="D58" s="6"/>
      <c r="E58" s="2"/>
      <c r="F58" s="7">
        <f t="shared" si="40"/>
        <v>0</v>
      </c>
      <c r="G58" s="2"/>
      <c r="H58" s="6"/>
      <c r="I58" s="2"/>
      <c r="J58" s="7">
        <f t="shared" si="41"/>
        <v>0</v>
      </c>
      <c r="K58" s="2"/>
      <c r="L58" s="6">
        <f t="shared" si="42"/>
        <v>0</v>
      </c>
      <c r="M58" s="2"/>
      <c r="N58" s="7">
        <f t="shared" si="43"/>
        <v>0</v>
      </c>
      <c r="O58" s="11"/>
      <c r="P58" s="6">
        <v>138.19</v>
      </c>
      <c r="Q58" s="2"/>
      <c r="R58" s="7">
        <f t="shared" si="44"/>
        <v>0</v>
      </c>
      <c r="S58" s="2"/>
      <c r="T58" s="6"/>
      <c r="U58" s="2"/>
      <c r="V58" s="7">
        <f t="shared" si="45"/>
        <v>0</v>
      </c>
      <c r="W58" s="2"/>
      <c r="X58" s="6">
        <f t="shared" si="46"/>
        <v>138.19</v>
      </c>
      <c r="Y58" s="2"/>
      <c r="Z58" s="7">
        <f t="shared" si="47"/>
        <v>0</v>
      </c>
    </row>
    <row r="59" spans="1:26" s="24" customFormat="1" hidden="1" outlineLevel="2" x14ac:dyDescent="0.3">
      <c r="A59" s="27"/>
      <c r="B59" s="11" t="str">
        <f>CONCATENATE("          ", "6245", " - ", "PRINTING")</f>
        <v xml:space="preserve">          6245 - PRINTING</v>
      </c>
      <c r="C59" s="11"/>
      <c r="D59" s="6"/>
      <c r="E59" s="2"/>
      <c r="F59" s="7">
        <f t="shared" si="40"/>
        <v>0</v>
      </c>
      <c r="G59" s="2"/>
      <c r="H59" s="6"/>
      <c r="I59" s="2"/>
      <c r="J59" s="7">
        <f t="shared" si="41"/>
        <v>0</v>
      </c>
      <c r="K59" s="2"/>
      <c r="L59" s="6">
        <f t="shared" si="42"/>
        <v>0</v>
      </c>
      <c r="M59" s="2"/>
      <c r="N59" s="7">
        <f t="shared" si="43"/>
        <v>0</v>
      </c>
      <c r="O59" s="11"/>
      <c r="P59" s="6">
        <v>338</v>
      </c>
      <c r="Q59" s="2"/>
      <c r="R59" s="7">
        <f t="shared" si="44"/>
        <v>0</v>
      </c>
      <c r="S59" s="2"/>
      <c r="T59" s="6"/>
      <c r="U59" s="2"/>
      <c r="V59" s="7">
        <f t="shared" si="45"/>
        <v>0</v>
      </c>
      <c r="W59" s="2"/>
      <c r="X59" s="6">
        <f t="shared" si="46"/>
        <v>338</v>
      </c>
      <c r="Y59" s="2"/>
      <c r="Z59" s="7">
        <f t="shared" si="47"/>
        <v>0</v>
      </c>
    </row>
    <row r="60" spans="1:26" s="29" customFormat="1" outlineLevel="1" collapsed="1" x14ac:dyDescent="0.3">
      <c r="A60" s="28"/>
      <c r="B60" s="14" t="str">
        <f>CONCATENATE("     ","Telephone/Data Lines                              ")</f>
        <v xml:space="preserve">     Telephone/Data Lines                              </v>
      </c>
      <c r="C60" s="14"/>
      <c r="D60" s="1">
        <f>SUM(OSRRefD22_12x_0)</f>
        <v>0</v>
      </c>
      <c r="E60" s="1"/>
      <c r="F60" s="5">
        <f t="shared" ref="F60:F61" si="48">IF(D$12=0,0,D60/D$12)</f>
        <v>0</v>
      </c>
      <c r="G60" s="1"/>
      <c r="H60" s="1">
        <f>SUM(OSRRefH22_12x_0)</f>
        <v>0</v>
      </c>
      <c r="I60" s="1"/>
      <c r="J60" s="5">
        <f t="shared" ref="J60:J61" si="49">IF(H$12=0,0,H60/H$12)</f>
        <v>0</v>
      </c>
      <c r="K60" s="1"/>
      <c r="L60" s="1">
        <f t="shared" ref="L60:L61" si="50">+D60-H60</f>
        <v>0</v>
      </c>
      <c r="M60" s="1"/>
      <c r="N60" s="5">
        <f t="shared" ref="N60:N61" si="51">IF(H60=0,0,L60/H60)</f>
        <v>0</v>
      </c>
      <c r="O60" s="14"/>
      <c r="P60" s="1">
        <f>SUM(OSRRefP22_12x_0)</f>
        <v>75</v>
      </c>
      <c r="Q60" s="1"/>
      <c r="R60" s="5">
        <f t="shared" ref="R60:R61" si="52">IF(P$12=0,0,P60/P$12)</f>
        <v>0</v>
      </c>
      <c r="S60" s="1"/>
      <c r="T60" s="1">
        <f>SUM(OSRRefT22_12x_0)</f>
        <v>250.87</v>
      </c>
      <c r="U60" s="1"/>
      <c r="V60" s="5">
        <f t="shared" ref="V60:V61" si="53">IF(T$12=0,0,T60/T$12)</f>
        <v>0</v>
      </c>
      <c r="W60" s="1"/>
      <c r="X60" s="1">
        <f t="shared" ref="X60:X61" si="54">+P60-T60</f>
        <v>-175.87</v>
      </c>
      <c r="Y60" s="1"/>
      <c r="Z60" s="5">
        <f t="shared" ref="Z60:Z61" si="55">IF(T60=0,0,X60/T60)</f>
        <v>-0.70104037947941167</v>
      </c>
    </row>
    <row r="61" spans="1:26" s="24" customFormat="1" hidden="1" outlineLevel="2" x14ac:dyDescent="0.3">
      <c r="A61" s="27"/>
      <c r="B61" s="11" t="str">
        <f>CONCATENATE("          ", "6309", " - ", "TELEPHONE")</f>
        <v xml:space="preserve">          6309 - TELEPHONE</v>
      </c>
      <c r="C61" s="11"/>
      <c r="D61" s="6">
        <v>0</v>
      </c>
      <c r="E61" s="2"/>
      <c r="F61" s="7">
        <f t="shared" si="48"/>
        <v>0</v>
      </c>
      <c r="G61" s="2"/>
      <c r="H61" s="6"/>
      <c r="I61" s="2"/>
      <c r="J61" s="7">
        <f t="shared" si="49"/>
        <v>0</v>
      </c>
      <c r="K61" s="2"/>
      <c r="L61" s="6">
        <f t="shared" si="50"/>
        <v>0</v>
      </c>
      <c r="M61" s="2"/>
      <c r="N61" s="7">
        <f t="shared" si="51"/>
        <v>0</v>
      </c>
      <c r="O61" s="11"/>
      <c r="P61" s="6">
        <v>75</v>
      </c>
      <c r="Q61" s="2"/>
      <c r="R61" s="7">
        <f t="shared" si="52"/>
        <v>0</v>
      </c>
      <c r="S61" s="2"/>
      <c r="T61" s="6">
        <v>250.87</v>
      </c>
      <c r="U61" s="2"/>
      <c r="V61" s="7">
        <f t="shared" si="53"/>
        <v>0</v>
      </c>
      <c r="W61" s="2"/>
      <c r="X61" s="6">
        <f t="shared" si="54"/>
        <v>-175.87</v>
      </c>
      <c r="Y61" s="2"/>
      <c r="Z61" s="7">
        <f t="shared" si="55"/>
        <v>-0.70104037947941167</v>
      </c>
    </row>
    <row r="62" spans="1:26" s="62" customFormat="1" x14ac:dyDescent="0.3">
      <c r="A62" s="37"/>
      <c r="B62" s="37"/>
      <c r="C62" s="37"/>
      <c r="D62" s="1"/>
      <c r="E62" s="1"/>
      <c r="F62" s="5"/>
      <c r="G62" s="1"/>
      <c r="H62" s="1"/>
      <c r="I62" s="1"/>
      <c r="J62" s="5"/>
      <c r="K62" s="1"/>
      <c r="L62" s="1"/>
      <c r="M62" s="1"/>
      <c r="N62" s="5"/>
      <c r="O62" s="37"/>
      <c r="P62" s="1"/>
      <c r="Q62" s="1"/>
      <c r="R62" s="5"/>
      <c r="S62" s="1"/>
      <c r="T62" s="1"/>
      <c r="U62" s="1"/>
      <c r="V62" s="5"/>
      <c r="W62" s="1"/>
      <c r="X62" s="1"/>
      <c r="Y62" s="1"/>
      <c r="Z62" s="5"/>
    </row>
    <row r="63" spans="1:26" s="23" customFormat="1" collapsed="1" x14ac:dyDescent="0.3">
      <c r="A63" s="10"/>
      <c r="B63" s="26" t="s">
        <v>292</v>
      </c>
      <c r="C63" s="10"/>
      <c r="D63" s="4">
        <f>SUM(OSRRefD25x_0)</f>
        <v>0</v>
      </c>
      <c r="E63" s="4"/>
      <c r="F63" s="12">
        <f t="shared" ref="F63:F64" si="56">IF(D$12=0,0,D63/D$12)</f>
        <v>0</v>
      </c>
      <c r="G63" s="4"/>
      <c r="H63" s="4">
        <f>SUM(OSRRefH25x_0)</f>
        <v>0</v>
      </c>
      <c r="I63" s="4"/>
      <c r="J63" s="12">
        <f t="shared" ref="J63:J64" si="57">IF(H$12=0,0,H63/H$12)</f>
        <v>0</v>
      </c>
      <c r="K63" s="4"/>
      <c r="L63" s="4">
        <f t="shared" ref="L63:L64" si="58">+D63-H63</f>
        <v>0</v>
      </c>
      <c r="M63" s="4"/>
      <c r="N63" s="12">
        <f t="shared" ref="N63:N64" si="59">IF(H63=0,0,L63/H63)</f>
        <v>0</v>
      </c>
      <c r="O63" s="10"/>
      <c r="P63" s="4">
        <f>SUM(OSRRefP25x_0)</f>
        <v>341.5</v>
      </c>
      <c r="Q63" s="4"/>
      <c r="R63" s="12">
        <f t="shared" ref="R63:R64" si="60">IF(P$12=0,0,P63/P$12)</f>
        <v>0</v>
      </c>
      <c r="S63" s="4"/>
      <c r="T63" s="4">
        <f>SUM(OSRRefT25x_0)</f>
        <v>111.42</v>
      </c>
      <c r="U63" s="4"/>
      <c r="V63" s="12">
        <f t="shared" ref="V63:V64" si="61">IF(T$12=0,0,T63/T$12)</f>
        <v>0</v>
      </c>
      <c r="W63" s="4"/>
      <c r="X63" s="4">
        <f t="shared" ref="X63:X64" si="62">+P63-T63</f>
        <v>230.07999999999998</v>
      </c>
      <c r="Y63" s="4"/>
      <c r="Z63" s="12">
        <f t="shared" ref="Z63:Z64" si="63">IF(T63=0,0,X63/T63)</f>
        <v>2.0649793573864654</v>
      </c>
    </row>
    <row r="64" spans="1:26" s="24" customFormat="1" hidden="1" outlineLevel="1" x14ac:dyDescent="0.3">
      <c r="A64" s="44"/>
      <c r="B64" s="11" t="str">
        <f>CONCATENATE("          ", "9150", " - ", "MISC. INCOME")</f>
        <v xml:space="preserve">          9150 - MISC. INCOME</v>
      </c>
      <c r="C64" s="11"/>
      <c r="D64" s="2">
        <f>0</f>
        <v>0</v>
      </c>
      <c r="E64" s="2"/>
      <c r="F64" s="19">
        <f t="shared" si="56"/>
        <v>0</v>
      </c>
      <c r="G64" s="2"/>
      <c r="H64" s="2">
        <f>0</f>
        <v>0</v>
      </c>
      <c r="I64" s="2"/>
      <c r="J64" s="19">
        <f t="shared" si="57"/>
        <v>0</v>
      </c>
      <c r="K64" s="2"/>
      <c r="L64" s="2">
        <f t="shared" si="58"/>
        <v>0</v>
      </c>
      <c r="M64" s="2"/>
      <c r="N64" s="19">
        <f t="shared" si="59"/>
        <v>0</v>
      </c>
      <c r="O64" s="11"/>
      <c r="P64" s="2">
        <f>--341.5</f>
        <v>341.5</v>
      </c>
      <c r="Q64" s="2"/>
      <c r="R64" s="19">
        <f t="shared" si="60"/>
        <v>0</v>
      </c>
      <c r="S64" s="2"/>
      <c r="T64" s="2">
        <f>--111.42</f>
        <v>111.42</v>
      </c>
      <c r="U64" s="2"/>
      <c r="V64" s="19">
        <f t="shared" si="61"/>
        <v>0</v>
      </c>
      <c r="W64" s="2"/>
      <c r="X64" s="2">
        <f t="shared" si="62"/>
        <v>230.07999999999998</v>
      </c>
      <c r="Y64" s="2"/>
      <c r="Z64" s="19">
        <f t="shared" si="63"/>
        <v>2.0649793573864654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x14ac:dyDescent="0.3">
      <c r="A66" s="10"/>
      <c r="B66" s="25" t="s">
        <v>276</v>
      </c>
      <c r="C66" s="25"/>
      <c r="D66" s="21">
        <f>+D17-D19+D63</f>
        <v>-10905.94</v>
      </c>
      <c r="E66" s="13"/>
      <c r="F66" s="22">
        <f>IF(D$12=0,0,D66/D$12)</f>
        <v>0</v>
      </c>
      <c r="G66" s="13"/>
      <c r="H66" s="21">
        <f>+H17-H19+H63</f>
        <v>-6747.53</v>
      </c>
      <c r="I66" s="13"/>
      <c r="J66" s="22">
        <f>IF(H$12=0,0,H66/H$12)</f>
        <v>0</v>
      </c>
      <c r="K66" s="16"/>
      <c r="L66" s="21">
        <f>+D66-H66</f>
        <v>-4158.4100000000008</v>
      </c>
      <c r="M66" s="16"/>
      <c r="N66" s="22">
        <f>IF(H66=0,0,L66/H66)</f>
        <v>0.61628625585955166</v>
      </c>
      <c r="O66" s="26"/>
      <c r="P66" s="21">
        <f>+P17-P19+P63</f>
        <v>-85624.13</v>
      </c>
      <c r="Q66" s="13"/>
      <c r="R66" s="22">
        <f>IF(P$12=0,0,P66/P$12)</f>
        <v>0</v>
      </c>
      <c r="S66" s="13"/>
      <c r="T66" s="21">
        <f>+T17-T19+T63</f>
        <v>-45226.200000000012</v>
      </c>
      <c r="U66" s="13"/>
      <c r="V66" s="22">
        <f>IF(T$12=0,0,T66/T$12)</f>
        <v>0</v>
      </c>
      <c r="W66" s="16"/>
      <c r="X66" s="21">
        <f>+P66-T66</f>
        <v>-40397.929999999993</v>
      </c>
      <c r="Y66" s="16"/>
      <c r="Z66" s="22">
        <f>IF(T66=0,0,X66/T66)</f>
        <v>0.89324174925153965</v>
      </c>
    </row>
    <row r="67" spans="1:26" x14ac:dyDescent="0.3">
      <c r="A67" s="9"/>
      <c r="B67" s="10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s="23" customFormat="1" x14ac:dyDescent="0.3">
      <c r="A68" s="51"/>
      <c r="B68" s="10" t="s">
        <v>127</v>
      </c>
      <c r="C68" s="10"/>
      <c r="D68" s="4"/>
      <c r="E68" s="4"/>
      <c r="F68" s="12">
        <f>IF(D$12=0,0,D68/D$12)</f>
        <v>0</v>
      </c>
      <c r="G68" s="4"/>
      <c r="H68" s="4"/>
      <c r="I68" s="4"/>
      <c r="J68" s="12">
        <f>IF(H$12=0,0,H68/H$12)</f>
        <v>0</v>
      </c>
      <c r="K68" s="4"/>
      <c r="L68" s="4">
        <f>+D68-H68</f>
        <v>0</v>
      </c>
      <c r="M68" s="4"/>
      <c r="N68" s="12">
        <f>IF(H68=0,0,L68/H68)</f>
        <v>0</v>
      </c>
      <c r="O68" s="10"/>
      <c r="P68" s="4"/>
      <c r="Q68" s="4"/>
      <c r="R68" s="12">
        <f>IF(P$12=0,0,P68/P$12)</f>
        <v>0</v>
      </c>
      <c r="S68" s="4"/>
      <c r="T68" s="4"/>
      <c r="U68" s="4"/>
      <c r="V68" s="12">
        <f>IF(T$12=0,0,T68/T$12)</f>
        <v>0</v>
      </c>
      <c r="W68" s="4"/>
      <c r="X68" s="4">
        <f>+P68-T68</f>
        <v>0</v>
      </c>
      <c r="Y68" s="4"/>
      <c r="Z68" s="12">
        <f>IF(T68=0,0,X68/T68)</f>
        <v>0</v>
      </c>
    </row>
    <row r="69" spans="1:26" x14ac:dyDescent="0.3">
      <c r="A69" s="9"/>
      <c r="B69" s="10"/>
      <c r="C69" s="10"/>
      <c r="D69" s="3"/>
      <c r="E69" s="3"/>
      <c r="F69" s="8"/>
      <c r="G69" s="3"/>
      <c r="H69" s="3"/>
      <c r="I69" s="3"/>
      <c r="J69" s="8"/>
      <c r="K69" s="3"/>
      <c r="L69" s="3"/>
      <c r="M69" s="3"/>
      <c r="N69" s="8"/>
      <c r="O69" s="10"/>
      <c r="P69" s="3"/>
      <c r="Q69" s="3"/>
      <c r="R69" s="8"/>
      <c r="S69" s="3"/>
      <c r="T69" s="3"/>
      <c r="U69" s="3"/>
      <c r="V69" s="8"/>
      <c r="W69" s="3"/>
      <c r="X69" s="3"/>
      <c r="Y69" s="3"/>
      <c r="Z69" s="8"/>
    </row>
    <row r="70" spans="1:26" s="23" customFormat="1" ht="15" thickBot="1" x14ac:dyDescent="0.35">
      <c r="A70" s="10"/>
      <c r="B70" s="25" t="s">
        <v>125</v>
      </c>
      <c r="C70" s="25"/>
      <c r="D70" s="35">
        <f>+D66-D68</f>
        <v>-10905.94</v>
      </c>
      <c r="E70" s="13"/>
      <c r="F70" s="31">
        <f>IF(D$12=0,0,D70/D$12)</f>
        <v>0</v>
      </c>
      <c r="G70" s="13"/>
      <c r="H70" s="35">
        <f>+H66-H68</f>
        <v>-6747.53</v>
      </c>
      <c r="I70" s="13"/>
      <c r="J70" s="31">
        <f>IF(H$12=0,0,H70/H$12)</f>
        <v>0</v>
      </c>
      <c r="K70" s="16"/>
      <c r="L70" s="35">
        <f>D70-H70</f>
        <v>-4158.4100000000008</v>
      </c>
      <c r="M70" s="16"/>
      <c r="N70" s="31">
        <f>IF(H70=0,0,L70/H70)</f>
        <v>0.61628625585955166</v>
      </c>
      <c r="O70" s="26"/>
      <c r="P70" s="35">
        <f>+P66-P68</f>
        <v>-85624.13</v>
      </c>
      <c r="Q70" s="13"/>
      <c r="R70" s="31">
        <f>IF(P$12=0,0,P70/P$12)</f>
        <v>0</v>
      </c>
      <c r="S70" s="13"/>
      <c r="T70" s="35">
        <f>+T66-T68</f>
        <v>-45226.200000000012</v>
      </c>
      <c r="U70" s="13"/>
      <c r="V70" s="31">
        <f>IF(T$12=0,0,T70/T$12)</f>
        <v>0</v>
      </c>
      <c r="W70" s="16"/>
      <c r="X70" s="35">
        <f>P70-T70</f>
        <v>-40397.929999999993</v>
      </c>
      <c r="Y70" s="16"/>
      <c r="Z70" s="31">
        <f>IF(T70=0,0,X70/T70)</f>
        <v>0.89324174925153965</v>
      </c>
    </row>
    <row r="71" spans="1:26" ht="15" thickTop="1" x14ac:dyDescent="0.3">
      <c r="A71" s="9"/>
      <c r="B71" s="9"/>
      <c r="C71" s="9"/>
      <c r="D71" s="3"/>
      <c r="E71" s="3"/>
      <c r="F71" s="8"/>
      <c r="G71" s="3"/>
      <c r="H71" s="3"/>
      <c r="I71" s="3"/>
      <c r="J71" s="8"/>
      <c r="K71" s="3"/>
      <c r="L71" s="3"/>
      <c r="M71" s="3"/>
      <c r="N71" s="8"/>
      <c r="P71" s="3"/>
      <c r="Q71" s="3"/>
      <c r="R71" s="8"/>
      <c r="S71" s="3"/>
      <c r="T71" s="3"/>
      <c r="U71" s="3"/>
      <c r="V71" s="8"/>
      <c r="W71" s="3"/>
      <c r="X71" s="3"/>
      <c r="Y71" s="3"/>
      <c r="Z71" s="8"/>
    </row>
    <row r="72" spans="1:26" x14ac:dyDescent="0.3">
      <c r="A72" s="9"/>
      <c r="B72" s="9"/>
      <c r="C72" s="9"/>
      <c r="D72" s="3"/>
      <c r="E72" s="3"/>
      <c r="F72" s="8"/>
      <c r="G72" s="3"/>
      <c r="H72" s="3"/>
      <c r="I72" s="3"/>
      <c r="J72" s="8"/>
      <c r="K72" s="3"/>
      <c r="L72" s="3"/>
      <c r="M72" s="3"/>
      <c r="N72" s="8"/>
      <c r="P72" s="3"/>
      <c r="Q72" s="3"/>
      <c r="R72" s="8"/>
      <c r="S72" s="3"/>
      <c r="T72" s="3"/>
      <c r="U72" s="3"/>
      <c r="V72" s="8"/>
      <c r="W72" s="3"/>
      <c r="X72" s="3"/>
      <c r="Y72" s="3"/>
      <c r="Z72" s="8"/>
    </row>
    <row r="73" spans="1:26" s="23" customFormat="1" ht="15" thickBot="1" x14ac:dyDescent="0.35">
      <c r="A73" s="10"/>
      <c r="B73" s="25" t="s">
        <v>293</v>
      </c>
      <c r="C73" s="25"/>
      <c r="D73" s="36">
        <f>SUM(D70:D72)</f>
        <v>-10905.94</v>
      </c>
      <c r="E73" s="13"/>
      <c r="F73" s="33">
        <f>IF(D$12=0,0,D73/D$12)</f>
        <v>0</v>
      </c>
      <c r="G73" s="13"/>
      <c r="H73" s="36">
        <f>SUM(H70:H72)</f>
        <v>-6747.53</v>
      </c>
      <c r="I73" s="13"/>
      <c r="J73" s="33">
        <f>IF(H$12=0,0,H73/H$12)</f>
        <v>0</v>
      </c>
      <c r="K73" s="16"/>
      <c r="L73" s="36">
        <f>+D73-H73</f>
        <v>-4158.4100000000008</v>
      </c>
      <c r="M73" s="16"/>
      <c r="N73" s="33">
        <f>IF(H73=0,0,L73/H73)</f>
        <v>0.61628625585955166</v>
      </c>
      <c r="O73" s="26"/>
      <c r="P73" s="36">
        <f>SUM(P70:P72)</f>
        <v>-85624.13</v>
      </c>
      <c r="Q73" s="13"/>
      <c r="R73" s="33">
        <f>IF(P$12=0,0,P73/P$12)</f>
        <v>0</v>
      </c>
      <c r="S73" s="13"/>
      <c r="T73" s="36">
        <f>SUM(T70:T72)</f>
        <v>-45226.200000000012</v>
      </c>
      <c r="U73" s="13"/>
      <c r="V73" s="33">
        <f>IF(T$12=0,0,T73/T$12)</f>
        <v>0</v>
      </c>
      <c r="W73" s="16"/>
      <c r="X73" s="36">
        <f>+P73-T73</f>
        <v>-40397.929999999993</v>
      </c>
      <c r="Y73" s="16"/>
      <c r="Z73" s="33">
        <f>IF(T73=0,0,X73/T73)</f>
        <v>0.89324174925153965</v>
      </c>
    </row>
    <row r="74" spans="1:26" ht="15" thickTop="1" x14ac:dyDescent="0.3">
      <c r="A74" s="9"/>
      <c r="C74" s="9"/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  <row r="75" spans="1:26" x14ac:dyDescent="0.3">
      <c r="A75" s="9"/>
      <c r="B75" s="52">
        <v>44543.765594675926</v>
      </c>
      <c r="D75" s="17"/>
      <c r="E75" s="17"/>
      <c r="G75" s="17"/>
      <c r="H75" s="17"/>
      <c r="I75" s="17"/>
      <c r="J75" s="42"/>
      <c r="K75" s="17"/>
      <c r="L75" s="17"/>
      <c r="M75" s="17"/>
      <c r="P75" s="17"/>
      <c r="Q75" s="17"/>
      <c r="R75" s="42"/>
      <c r="S75" s="17"/>
      <c r="T75" s="17"/>
      <c r="U75" s="17"/>
      <c r="V75" s="42"/>
      <c r="W75" s="17"/>
      <c r="X75" s="17"/>
    </row>
    <row r="76" spans="1:26" x14ac:dyDescent="0.3">
      <c r="A76" s="9"/>
      <c r="B76" s="59" t="s">
        <v>56</v>
      </c>
      <c r="D76" s="17"/>
      <c r="E76" s="17"/>
      <c r="G76" s="17"/>
      <c r="H76" s="17"/>
      <c r="I76" s="17"/>
      <c r="J76" s="42"/>
      <c r="K76" s="17"/>
      <c r="L76" s="17"/>
      <c r="M76" s="17"/>
      <c r="P76" s="17"/>
      <c r="Q76" s="17"/>
      <c r="R76" s="42"/>
      <c r="S76" s="17"/>
      <c r="T76" s="17"/>
      <c r="U76" s="17"/>
      <c r="V76" s="42"/>
      <c r="W76" s="17"/>
      <c r="X76" s="17"/>
    </row>
    <row r="77" spans="1:26" x14ac:dyDescent="0.3">
      <c r="A77" s="9"/>
      <c r="B77" s="61"/>
      <c r="D77" s="17"/>
      <c r="E77" s="17"/>
      <c r="G77" s="17"/>
      <c r="H77" s="17"/>
      <c r="I77" s="17"/>
      <c r="J77" s="42"/>
      <c r="K77" s="17"/>
      <c r="L77" s="17"/>
      <c r="M77" s="17"/>
      <c r="P77" s="17"/>
      <c r="Q77" s="17"/>
      <c r="R77" s="42"/>
      <c r="S77" s="17"/>
      <c r="T77" s="17"/>
      <c r="U77" s="17"/>
      <c r="V77" s="42"/>
      <c r="W77" s="17"/>
      <c r="X77" s="17"/>
    </row>
    <row r="78" spans="1:26" x14ac:dyDescent="0.3">
      <c r="D78" s="17"/>
      <c r="E78" s="17"/>
      <c r="G78" s="17"/>
      <c r="H78" s="17"/>
      <c r="I78" s="17"/>
      <c r="J78" s="42"/>
      <c r="K78" s="17"/>
      <c r="L78" s="17"/>
      <c r="M78" s="17"/>
      <c r="P78" s="17"/>
      <c r="Q78" s="17"/>
      <c r="R78" s="42"/>
      <c r="S78" s="17"/>
      <c r="T78" s="17"/>
      <c r="U78" s="17"/>
      <c r="V78" s="42"/>
      <c r="W78" s="17"/>
      <c r="X78" s="17"/>
    </row>
  </sheetData>
  <pageMargins left="0.25" right="0.25" top="0.75" bottom="0.75" header="0.3" footer="0.3"/>
  <pageSetup scale="55" fitToWidth="2" orientation="landscape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92D050"/>
    <outlinePr summaryBelow="0" summaryRight="0"/>
  </sheetPr>
  <dimension ref="A2:Z37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","420", " - ", "Catering")</f>
        <v>Department 420 - Catering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0</v>
      </c>
      <c r="E12" s="4"/>
      <c r="F12" s="12"/>
      <c r="G12" s="4"/>
      <c r="H12" s="4">
        <f>SUM(OSRRefH13x_0)</f>
        <v>55493.87</v>
      </c>
      <c r="I12" s="4"/>
      <c r="J12" s="12"/>
      <c r="K12" s="4"/>
      <c r="L12" s="4">
        <f t="shared" ref="L12:L13" si="0">+D12-H12</f>
        <v>-55493.87</v>
      </c>
      <c r="M12" s="4"/>
      <c r="N12" s="12">
        <f t="shared" ref="N12:N13" si="1">IF(H12=0,0,L12/H12)</f>
        <v>-1</v>
      </c>
      <c r="O12" s="10"/>
      <c r="P12" s="4">
        <f>SUM(OSRRefP13x_0)</f>
        <v>0</v>
      </c>
      <c r="Q12" s="4"/>
      <c r="R12" s="12"/>
      <c r="S12" s="4"/>
      <c r="T12" s="4">
        <f>SUM(OSRRefT13x_0)</f>
        <v>85725.16</v>
      </c>
      <c r="U12" s="4"/>
      <c r="V12" s="12"/>
      <c r="W12" s="4"/>
      <c r="X12" s="4">
        <f t="shared" ref="X12:X13" si="2">+P12-T12</f>
        <v>-85725.16</v>
      </c>
      <c r="Y12" s="4"/>
      <c r="Z12" s="12">
        <f t="shared" ref="Z12:Z13" si="3">IF(T12=0,0,X12/T12)</f>
        <v>-1</v>
      </c>
    </row>
    <row r="13" spans="1:26" s="24" customFormat="1" hidden="1" outlineLevel="1" x14ac:dyDescent="0.3">
      <c r="A13" s="44"/>
      <c r="B13" s="11" t="str">
        <f>CONCATENATE("          ", "4052", " - ", "TAXABLE SALES-FOOD")</f>
        <v xml:space="preserve">          4052 - TAXABLE SALES-FOOD</v>
      </c>
      <c r="C13" s="11"/>
      <c r="D13" s="2">
        <f>0</f>
        <v>0</v>
      </c>
      <c r="E13" s="2"/>
      <c r="F13" s="19"/>
      <c r="G13" s="2"/>
      <c r="H13" s="2">
        <f>--55493.87</f>
        <v>55493.87</v>
      </c>
      <c r="I13" s="2"/>
      <c r="J13" s="19"/>
      <c r="K13" s="2"/>
      <c r="L13" s="2">
        <f t="shared" si="0"/>
        <v>-55493.87</v>
      </c>
      <c r="M13" s="2"/>
      <c r="N13" s="19">
        <f t="shared" si="1"/>
        <v>-1</v>
      </c>
      <c r="O13" s="11"/>
      <c r="P13" s="2">
        <f>0</f>
        <v>0</v>
      </c>
      <c r="Q13" s="2"/>
      <c r="R13" s="19"/>
      <c r="S13" s="2"/>
      <c r="T13" s="2">
        <f>--85725.16</f>
        <v>85725.16</v>
      </c>
      <c r="U13" s="2"/>
      <c r="V13" s="19"/>
      <c r="W13" s="2"/>
      <c r="X13" s="2">
        <f t="shared" si="2"/>
        <v>-85725.16</v>
      </c>
      <c r="Y13" s="2"/>
      <c r="Z13" s="19">
        <f t="shared" si="3"/>
        <v>-1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0</v>
      </c>
      <c r="E17" s="13"/>
      <c r="F17" s="22">
        <f>IF(D$12=0,0,D17/D$12)</f>
        <v>0</v>
      </c>
      <c r="G17" s="13"/>
      <c r="H17" s="21">
        <f>H12-H15</f>
        <v>55493.87</v>
      </c>
      <c r="I17" s="13"/>
      <c r="J17" s="22">
        <f>IF(H$12=0,0,H17/H$12)</f>
        <v>1</v>
      </c>
      <c r="K17" s="16"/>
      <c r="L17" s="21">
        <f>+D17-H17</f>
        <v>-55493.87</v>
      </c>
      <c r="M17" s="16"/>
      <c r="N17" s="22">
        <f>IF(H17=0,0,L17/H17)</f>
        <v>-1</v>
      </c>
      <c r="O17" s="26"/>
      <c r="P17" s="21">
        <f>P12-P15</f>
        <v>0</v>
      </c>
      <c r="Q17" s="13"/>
      <c r="R17" s="22">
        <f>IF(P$12=0,0,P17/P$12)</f>
        <v>0</v>
      </c>
      <c r="S17" s="13"/>
      <c r="T17" s="21">
        <f>T12-T15</f>
        <v>85725.16</v>
      </c>
      <c r="U17" s="13"/>
      <c r="V17" s="22">
        <f>IF(T$12=0,0,T17/T$12)</f>
        <v>1</v>
      </c>
      <c r="W17" s="16"/>
      <c r="X17" s="21">
        <f>+P17-T17</f>
        <v>-85725.16</v>
      </c>
      <c r="Y17" s="16"/>
      <c r="Z17" s="22">
        <f>IF(T17=0,0,X17/T17)</f>
        <v>-1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0</v>
      </c>
      <c r="E19" s="20"/>
      <c r="F19" s="32">
        <f t="shared" ref="F19:F21" si="4">IF(D$12=0,0,D19/D$12)</f>
        <v>0</v>
      </c>
      <c r="G19" s="20"/>
      <c r="H19" s="20">
        <f>SUM(OSRRefH22x_0)</f>
        <v>7.86</v>
      </c>
      <c r="I19" s="20"/>
      <c r="J19" s="32">
        <f t="shared" ref="J19:J21" si="5">IF(H$12=0,0,H19/H$12)</f>
        <v>1.4163726552139902E-4</v>
      </c>
      <c r="K19" s="4"/>
      <c r="L19" s="20">
        <f t="shared" ref="L19:L21" si="6">+D19-H19</f>
        <v>-7.86</v>
      </c>
      <c r="M19" s="4"/>
      <c r="N19" s="32">
        <f t="shared" ref="N19:N21" si="7">IF(H19=0,0,L19/H19)</f>
        <v>-1</v>
      </c>
      <c r="O19" s="10"/>
      <c r="P19" s="20">
        <f>SUM(OSRRefP22x_0)</f>
        <v>0</v>
      </c>
      <c r="Q19" s="20"/>
      <c r="R19" s="32">
        <f t="shared" ref="R19:R21" si="8">IF(P$12=0,0,P19/P$12)</f>
        <v>0</v>
      </c>
      <c r="S19" s="20"/>
      <c r="T19" s="20">
        <f>SUM(OSRRefT22x_0)</f>
        <v>7.86</v>
      </c>
      <c r="U19" s="20"/>
      <c r="V19" s="32">
        <f t="shared" ref="V19:V21" si="9">IF(T$12=0,0,T19/T$12)</f>
        <v>9.1688367802404805E-5</v>
      </c>
      <c r="W19" s="4"/>
      <c r="X19" s="20">
        <f t="shared" ref="X19:X21" si="10">+P19-T19</f>
        <v>-7.86</v>
      </c>
      <c r="Y19" s="4"/>
      <c r="Z19" s="32">
        <f t="shared" ref="Z19:Z21" si="11">IF(T19=0,0,X19/T19)</f>
        <v>-1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0</v>
      </c>
      <c r="E20" s="1"/>
      <c r="F20" s="5">
        <f t="shared" si="4"/>
        <v>0</v>
      </c>
      <c r="G20" s="1"/>
      <c r="H20" s="1">
        <f>SUM(OSRRefH22_0x_0)</f>
        <v>7.86</v>
      </c>
      <c r="I20" s="1"/>
      <c r="J20" s="5">
        <f t="shared" si="5"/>
        <v>1.4163726552139902E-4</v>
      </c>
      <c r="K20" s="1"/>
      <c r="L20" s="1">
        <f t="shared" si="6"/>
        <v>-7.86</v>
      </c>
      <c r="M20" s="1"/>
      <c r="N20" s="5">
        <f t="shared" si="7"/>
        <v>-1</v>
      </c>
      <c r="O20" s="14"/>
      <c r="P20" s="1">
        <f>SUM(OSRRefP22_0x_0)</f>
        <v>0</v>
      </c>
      <c r="Q20" s="1"/>
      <c r="R20" s="5">
        <f t="shared" si="8"/>
        <v>0</v>
      </c>
      <c r="S20" s="1"/>
      <c r="T20" s="1">
        <f>SUM(OSRRefT22_0x_0)</f>
        <v>7.86</v>
      </c>
      <c r="U20" s="1"/>
      <c r="V20" s="5">
        <f t="shared" si="9"/>
        <v>9.1688367802404805E-5</v>
      </c>
      <c r="W20" s="1"/>
      <c r="X20" s="1">
        <f t="shared" si="10"/>
        <v>-7.86</v>
      </c>
      <c r="Y20" s="1"/>
      <c r="Z20" s="5">
        <f t="shared" si="11"/>
        <v>-1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/>
      <c r="E21" s="2"/>
      <c r="F21" s="7">
        <f t="shared" si="4"/>
        <v>0</v>
      </c>
      <c r="G21" s="2"/>
      <c r="H21" s="6">
        <v>7.86</v>
      </c>
      <c r="I21" s="2"/>
      <c r="J21" s="7">
        <f t="shared" si="5"/>
        <v>1.4163726552139902E-4</v>
      </c>
      <c r="K21" s="2"/>
      <c r="L21" s="6">
        <f t="shared" si="6"/>
        <v>-7.86</v>
      </c>
      <c r="M21" s="2"/>
      <c r="N21" s="7">
        <f t="shared" si="7"/>
        <v>-1</v>
      </c>
      <c r="O21" s="11"/>
      <c r="P21" s="6"/>
      <c r="Q21" s="2"/>
      <c r="R21" s="7">
        <f t="shared" si="8"/>
        <v>0</v>
      </c>
      <c r="S21" s="2"/>
      <c r="T21" s="6">
        <v>7.86</v>
      </c>
      <c r="U21" s="2"/>
      <c r="V21" s="7">
        <f t="shared" si="9"/>
        <v>9.1688367802404805E-5</v>
      </c>
      <c r="W21" s="2"/>
      <c r="X21" s="6">
        <f t="shared" si="10"/>
        <v>-7.86</v>
      </c>
      <c r="Y21" s="2"/>
      <c r="Z21" s="7">
        <f t="shared" si="11"/>
        <v>-1</v>
      </c>
    </row>
    <row r="22" spans="1:26" s="62" customFormat="1" x14ac:dyDescent="0.3">
      <c r="A22" s="37"/>
      <c r="B22" s="37"/>
      <c r="C22" s="37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292</v>
      </c>
      <c r="C23" s="10"/>
      <c r="D23" s="4">
        <f>SUM(0)</f>
        <v>0</v>
      </c>
      <c r="E23" s="4"/>
      <c r="F23" s="12">
        <f>IF(D$12=0,0,D23/D$12)</f>
        <v>0</v>
      </c>
      <c r="G23" s="4"/>
      <c r="H23" s="4">
        <f>SUM(0)</f>
        <v>0</v>
      </c>
      <c r="I23" s="4"/>
      <c r="J23" s="12">
        <f>IF(H$12=0,0,H23/H$12)</f>
        <v>0</v>
      </c>
      <c r="K23" s="4"/>
      <c r="L23" s="4">
        <f>+D23-H23</f>
        <v>0</v>
      </c>
      <c r="M23" s="4"/>
      <c r="N23" s="12">
        <f>IF(H23=0,0,L23/H23)</f>
        <v>0</v>
      </c>
      <c r="O23" s="10"/>
      <c r="P23" s="4">
        <f>SUM(0)</f>
        <v>0</v>
      </c>
      <c r="Q23" s="4"/>
      <c r="R23" s="12">
        <f>IF(P$12=0,0,P23/P$12)</f>
        <v>0</v>
      </c>
      <c r="S23" s="4"/>
      <c r="T23" s="4">
        <f>SUM(0)</f>
        <v>0</v>
      </c>
      <c r="U23" s="4"/>
      <c r="V23" s="12">
        <f>IF(T$12=0,0,T23/T$12)</f>
        <v>0</v>
      </c>
      <c r="W23" s="4"/>
      <c r="X23" s="4">
        <f>+P23-T23</f>
        <v>0</v>
      </c>
      <c r="Y23" s="4"/>
      <c r="Z23" s="12">
        <f>IF(T23=0,0,X23/T23)</f>
        <v>0</v>
      </c>
    </row>
    <row r="24" spans="1:26" x14ac:dyDescent="0.3">
      <c r="A24" s="9"/>
      <c r="B24" s="10"/>
      <c r="C24" s="10"/>
      <c r="D24" s="3"/>
      <c r="E24" s="3"/>
      <c r="F24" s="8"/>
      <c r="G24" s="3"/>
      <c r="H24" s="3"/>
      <c r="I24" s="3"/>
      <c r="J24" s="8"/>
      <c r="K24" s="3"/>
      <c r="L24" s="3"/>
      <c r="M24" s="3"/>
      <c r="N24" s="8"/>
      <c r="O24" s="10"/>
      <c r="P24" s="3"/>
      <c r="Q24" s="3"/>
      <c r="R24" s="8"/>
      <c r="S24" s="3"/>
      <c r="T24" s="3"/>
      <c r="U24" s="3"/>
      <c r="V24" s="8"/>
      <c r="W24" s="3"/>
      <c r="X24" s="3"/>
      <c r="Y24" s="3"/>
      <c r="Z24" s="8"/>
    </row>
    <row r="25" spans="1:26" s="23" customFormat="1" x14ac:dyDescent="0.3">
      <c r="A25" s="10"/>
      <c r="B25" s="25" t="s">
        <v>276</v>
      </c>
      <c r="C25" s="25"/>
      <c r="D25" s="21">
        <f>+D17-D19+D23</f>
        <v>0</v>
      </c>
      <c r="E25" s="13"/>
      <c r="F25" s="22">
        <f>IF(D$12=0,0,D25/D$12)</f>
        <v>0</v>
      </c>
      <c r="G25" s="13"/>
      <c r="H25" s="21">
        <f>+H17-H19+H23</f>
        <v>55486.01</v>
      </c>
      <c r="I25" s="13"/>
      <c r="J25" s="22">
        <f>IF(H$12=0,0,H25/H$12)</f>
        <v>0.99985836273447859</v>
      </c>
      <c r="K25" s="16"/>
      <c r="L25" s="21">
        <f>+D25-H25</f>
        <v>-55486.01</v>
      </c>
      <c r="M25" s="16"/>
      <c r="N25" s="22">
        <f>IF(H25=0,0,L25/H25)</f>
        <v>-1</v>
      </c>
      <c r="O25" s="26"/>
      <c r="P25" s="21">
        <f>+P17-P19+P23</f>
        <v>0</v>
      </c>
      <c r="Q25" s="13"/>
      <c r="R25" s="22">
        <f>IF(P$12=0,0,P25/P$12)</f>
        <v>0</v>
      </c>
      <c r="S25" s="13"/>
      <c r="T25" s="21">
        <f>+T17-T19+T23</f>
        <v>85717.3</v>
      </c>
      <c r="U25" s="13"/>
      <c r="V25" s="22">
        <f>IF(T$12=0,0,T25/T$12)</f>
        <v>0.99990831163219762</v>
      </c>
      <c r="W25" s="16"/>
      <c r="X25" s="21">
        <f>+P25-T25</f>
        <v>-85717.3</v>
      </c>
      <c r="Y25" s="16"/>
      <c r="Z25" s="22">
        <f>IF(T25=0,0,X25/T25)</f>
        <v>-1</v>
      </c>
    </row>
    <row r="26" spans="1:26" x14ac:dyDescent="0.3">
      <c r="A26" s="9"/>
      <c r="B26" s="10"/>
      <c r="C26" s="9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51"/>
      <c r="B27" s="10" t="s">
        <v>127</v>
      </c>
      <c r="C27" s="10"/>
      <c r="D27" s="4"/>
      <c r="E27" s="4"/>
      <c r="F27" s="12">
        <f>IF(D$12=0,0,D27/D$12)</f>
        <v>0</v>
      </c>
      <c r="G27" s="4"/>
      <c r="H27" s="4">
        <v>7072.98</v>
      </c>
      <c r="I27" s="4"/>
      <c r="J27" s="12">
        <f>IF(H$12=0,0,H27/H$12)</f>
        <v>0.12745515856075634</v>
      </c>
      <c r="K27" s="4"/>
      <c r="L27" s="4">
        <f>+D27-H27</f>
        <v>-7072.98</v>
      </c>
      <c r="M27" s="4"/>
      <c r="N27" s="12">
        <f>IF(H27=0,0,L27/H27)</f>
        <v>-1</v>
      </c>
      <c r="O27" s="10"/>
      <c r="P27" s="4"/>
      <c r="Q27" s="4"/>
      <c r="R27" s="12">
        <f>IF(P$12=0,0,P27/P$12)</f>
        <v>0</v>
      </c>
      <c r="S27" s="4"/>
      <c r="T27" s="4">
        <v>13621.73</v>
      </c>
      <c r="U27" s="4"/>
      <c r="V27" s="12">
        <f>IF(T$12=0,0,T27/T$12)</f>
        <v>0.15890002421692767</v>
      </c>
      <c r="W27" s="4"/>
      <c r="X27" s="4">
        <f>+P27-T27</f>
        <v>-13621.73</v>
      </c>
      <c r="Y27" s="4"/>
      <c r="Z27" s="12">
        <f>IF(T27=0,0,X27/T27)</f>
        <v>-1</v>
      </c>
    </row>
    <row r="28" spans="1:26" x14ac:dyDescent="0.3">
      <c r="A28" s="9"/>
      <c r="B28" s="10"/>
      <c r="C28" s="10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O28" s="10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ht="15" thickBot="1" x14ac:dyDescent="0.35">
      <c r="A29" s="10"/>
      <c r="B29" s="25" t="s">
        <v>125</v>
      </c>
      <c r="C29" s="25"/>
      <c r="D29" s="35">
        <f>+D25-D27</f>
        <v>0</v>
      </c>
      <c r="E29" s="13"/>
      <c r="F29" s="31">
        <f>IF(D$12=0,0,D29/D$12)</f>
        <v>0</v>
      </c>
      <c r="G29" s="13"/>
      <c r="H29" s="35">
        <f>+H25-H27</f>
        <v>48413.03</v>
      </c>
      <c r="I29" s="13"/>
      <c r="J29" s="31">
        <f>IF(H$12=0,0,H29/H$12)</f>
        <v>0.87240320417372219</v>
      </c>
      <c r="K29" s="16"/>
      <c r="L29" s="35">
        <f>D29-H29</f>
        <v>-48413.03</v>
      </c>
      <c r="M29" s="16"/>
      <c r="N29" s="31">
        <f>IF(H29=0,0,L29/H29)</f>
        <v>-1</v>
      </c>
      <c r="O29" s="26"/>
      <c r="P29" s="35">
        <f>+P25-P27</f>
        <v>0</v>
      </c>
      <c r="Q29" s="13"/>
      <c r="R29" s="31">
        <f>IF(P$12=0,0,P29/P$12)</f>
        <v>0</v>
      </c>
      <c r="S29" s="13"/>
      <c r="T29" s="35">
        <f>+T25-T27</f>
        <v>72095.570000000007</v>
      </c>
      <c r="U29" s="13"/>
      <c r="V29" s="31">
        <f>IF(T$12=0,0,T29/T$12)</f>
        <v>0.84100828741527001</v>
      </c>
      <c r="W29" s="16"/>
      <c r="X29" s="35">
        <f>P29-T29</f>
        <v>-72095.570000000007</v>
      </c>
      <c r="Y29" s="16"/>
      <c r="Z29" s="31">
        <f>IF(T29=0,0,X29/T29)</f>
        <v>-1</v>
      </c>
    </row>
    <row r="30" spans="1:26" ht="15" thickTop="1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x14ac:dyDescent="0.3">
      <c r="A31" s="9"/>
      <c r="B31" s="9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ht="15" thickBot="1" x14ac:dyDescent="0.35">
      <c r="A32" s="10"/>
      <c r="B32" s="25" t="s">
        <v>293</v>
      </c>
      <c r="C32" s="25"/>
      <c r="D32" s="36">
        <f>SUM(D29:D31)</f>
        <v>0</v>
      </c>
      <c r="E32" s="13"/>
      <c r="F32" s="33">
        <f>IF(D$12=0,0,D32/D$12)</f>
        <v>0</v>
      </c>
      <c r="G32" s="13"/>
      <c r="H32" s="36">
        <f>SUM(H29:H31)</f>
        <v>48413.03</v>
      </c>
      <c r="I32" s="13"/>
      <c r="J32" s="33">
        <f>IF(H$12=0,0,H32/H$12)</f>
        <v>0.87240320417372219</v>
      </c>
      <c r="K32" s="16"/>
      <c r="L32" s="36">
        <f>+D32-H32</f>
        <v>-48413.03</v>
      </c>
      <c r="M32" s="16"/>
      <c r="N32" s="33">
        <f>IF(H32=0,0,L32/H32)</f>
        <v>-1</v>
      </c>
      <c r="O32" s="26"/>
      <c r="P32" s="36">
        <f>SUM(P29:P31)</f>
        <v>0</v>
      </c>
      <c r="Q32" s="13"/>
      <c r="R32" s="33">
        <f>IF(P$12=0,0,P32/P$12)</f>
        <v>0</v>
      </c>
      <c r="S32" s="13"/>
      <c r="T32" s="36">
        <f>SUM(T29:T31)</f>
        <v>72095.570000000007</v>
      </c>
      <c r="U32" s="13"/>
      <c r="V32" s="33">
        <f>IF(T$12=0,0,T32/T$12)</f>
        <v>0.84100828741527001</v>
      </c>
      <c r="W32" s="16"/>
      <c r="X32" s="36">
        <f>+P32-T32</f>
        <v>-72095.570000000007</v>
      </c>
      <c r="Y32" s="16"/>
      <c r="Z32" s="33">
        <f>IF(T32=0,0,X32/T32)</f>
        <v>-1</v>
      </c>
    </row>
    <row r="33" spans="1:24" ht="15" thickTop="1" x14ac:dyDescent="0.3">
      <c r="A33" s="9"/>
      <c r="C33" s="9"/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2">
        <v>44543.765594675926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59" t="s">
        <v>56</v>
      </c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A36" s="9"/>
      <c r="B36" s="61"/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  <row r="37" spans="1:24" x14ac:dyDescent="0.3"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</sheetData>
  <pageMargins left="0.25" right="0.25" top="0.75" bottom="0.75" header="0.3" footer="0.3"/>
  <pageSetup scale="55" fitToWidth="2" orientation="landscape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92D050"/>
    <outlinePr summaryBelow="0" summaryRight="0"/>
  </sheetPr>
  <dimension ref="A2:Z4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","423", " - ", "Contract/Vending Revenue")</f>
        <v>Department 423 - Contract/Vending Revenue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90.539999999999992</v>
      </c>
      <c r="E18" s="20"/>
      <c r="F18" s="32">
        <f t="shared" ref="F18:F21" si="0">IF(D$12=0,0,D18/D$12)</f>
        <v>0</v>
      </c>
      <c r="G18" s="20"/>
      <c r="H18" s="20">
        <f>SUM(OSRRefH22x_0)</f>
        <v>361</v>
      </c>
      <c r="I18" s="20"/>
      <c r="J18" s="32">
        <f t="shared" ref="J18:J21" si="1">IF(H$12=0,0,H18/H$12)</f>
        <v>0</v>
      </c>
      <c r="K18" s="4"/>
      <c r="L18" s="20">
        <f t="shared" ref="L18:L21" si="2">+D18-H18</f>
        <v>-270.46000000000004</v>
      </c>
      <c r="M18" s="4"/>
      <c r="N18" s="32">
        <f t="shared" ref="N18:N21" si="3">IF(H18=0,0,L18/H18)</f>
        <v>-0.74919667590027705</v>
      </c>
      <c r="O18" s="10"/>
      <c r="P18" s="20">
        <f>SUM(OSRRefP22x_0)</f>
        <v>8088.05</v>
      </c>
      <c r="Q18" s="20"/>
      <c r="R18" s="32">
        <f t="shared" ref="R18:R21" si="4">IF(P$12=0,0,P18/P$12)</f>
        <v>0</v>
      </c>
      <c r="S18" s="20"/>
      <c r="T18" s="20">
        <f>SUM(OSRRefT22x_0)</f>
        <v>2941.43</v>
      </c>
      <c r="U18" s="20"/>
      <c r="V18" s="32">
        <f t="shared" ref="V18:V21" si="5">IF(T$12=0,0,T18/T$12)</f>
        <v>0</v>
      </c>
      <c r="W18" s="4"/>
      <c r="X18" s="20">
        <f t="shared" ref="X18:X21" si="6">+P18-T18</f>
        <v>5146.6200000000008</v>
      </c>
      <c r="Y18" s="4"/>
      <c r="Z18" s="32">
        <f t="shared" ref="Z18:Z21" si="7">IF(T18=0,0,X18/T18)</f>
        <v>1.749699975862081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2478.73</v>
      </c>
      <c r="U19" s="1"/>
      <c r="V19" s="5">
        <f t="shared" si="5"/>
        <v>0</v>
      </c>
      <c r="W19" s="1"/>
      <c r="X19" s="1">
        <f t="shared" si="6"/>
        <v>-2478.73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"6113", " - ", "GROUP INSURANCE")</f>
        <v xml:space="preserve">          6113 - GROUP INSURANCE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1868.2</v>
      </c>
      <c r="U20" s="2"/>
      <c r="V20" s="7">
        <f t="shared" si="5"/>
        <v>0</v>
      </c>
      <c r="W20" s="2"/>
      <c r="X20" s="6">
        <f t="shared" si="6"/>
        <v>-1868.2</v>
      </c>
      <c r="Y20" s="2"/>
      <c r="Z20" s="7">
        <f t="shared" si="7"/>
        <v>-1</v>
      </c>
    </row>
    <row r="21" spans="1:26" s="24" customFormat="1" hidden="1" outlineLevel="2" x14ac:dyDescent="0.3">
      <c r="A21" s="27"/>
      <c r="B21" s="11" t="str">
        <f>CONCATENATE("          ", "6115", " - ", "P.E.R.S.")</f>
        <v xml:space="preserve">          6115 - P.E.R.S.</v>
      </c>
      <c r="C21" s="11"/>
      <c r="D21" s="6"/>
      <c r="E21" s="2"/>
      <c r="F21" s="7">
        <f t="shared" si="0"/>
        <v>0</v>
      </c>
      <c r="G21" s="2"/>
      <c r="H21" s="6"/>
      <c r="I21" s="2"/>
      <c r="J21" s="7">
        <f t="shared" si="1"/>
        <v>0</v>
      </c>
      <c r="K21" s="2"/>
      <c r="L21" s="6">
        <f t="shared" si="2"/>
        <v>0</v>
      </c>
      <c r="M21" s="2"/>
      <c r="N21" s="7">
        <f t="shared" si="3"/>
        <v>0</v>
      </c>
      <c r="O21" s="11"/>
      <c r="P21" s="6"/>
      <c r="Q21" s="2"/>
      <c r="R21" s="7">
        <f t="shared" si="4"/>
        <v>0</v>
      </c>
      <c r="S21" s="2"/>
      <c r="T21" s="6">
        <v>610.53</v>
      </c>
      <c r="U21" s="2"/>
      <c r="V21" s="7">
        <f t="shared" si="5"/>
        <v>0</v>
      </c>
      <c r="W21" s="2"/>
      <c r="X21" s="6">
        <f t="shared" si="6"/>
        <v>-610.53</v>
      </c>
      <c r="Y21" s="2"/>
      <c r="Z21" s="7">
        <f t="shared" si="7"/>
        <v>-1</v>
      </c>
    </row>
    <row r="22" spans="1:26" s="29" customFormat="1" outlineLevel="1" collapsed="1" x14ac:dyDescent="0.3">
      <c r="A22" s="28"/>
      <c r="B22" s="14" t="str">
        <f>CONCATENATE("     ","General                                           ")</f>
        <v xml:space="preserve">     General                                           </v>
      </c>
      <c r="C22" s="14"/>
      <c r="D22" s="1">
        <f>SUM(OSRRefD22_1x_0)</f>
        <v>0</v>
      </c>
      <c r="E22" s="1"/>
      <c r="F22" s="5">
        <f t="shared" ref="F22:F27" si="8">IF(D$12=0,0,D22/D$12)</f>
        <v>0</v>
      </c>
      <c r="G22" s="1"/>
      <c r="H22" s="1">
        <f>SUM(OSRRefH22_1x_0)</f>
        <v>0</v>
      </c>
      <c r="I22" s="1"/>
      <c r="J22" s="5">
        <f t="shared" ref="J22:J27" si="9">IF(H$12=0,0,H22/H$12)</f>
        <v>0</v>
      </c>
      <c r="K22" s="1"/>
      <c r="L22" s="1">
        <f t="shared" ref="L22:L27" si="10">+D22-H22</f>
        <v>0</v>
      </c>
      <c r="M22" s="1"/>
      <c r="N22" s="5">
        <f t="shared" ref="N22:N27" si="11">IF(H22=0,0,L22/H22)</f>
        <v>0</v>
      </c>
      <c r="O22" s="14"/>
      <c r="P22" s="1">
        <f>SUM(OSRRefP22_1x_0)</f>
        <v>7489.93</v>
      </c>
      <c r="Q22" s="1"/>
      <c r="R22" s="5">
        <f t="shared" ref="R22:R27" si="12">IF(P$12=0,0,P22/P$12)</f>
        <v>0</v>
      </c>
      <c r="S22" s="1"/>
      <c r="T22" s="1">
        <f>SUM(OSRRefT22_1x_0)</f>
        <v>0</v>
      </c>
      <c r="U22" s="1"/>
      <c r="V22" s="5">
        <f t="shared" ref="V22:V27" si="13">IF(T$12=0,0,T22/T$12)</f>
        <v>0</v>
      </c>
      <c r="W22" s="1"/>
      <c r="X22" s="1">
        <f t="shared" ref="X22:X27" si="14">+P22-T22</f>
        <v>7489.93</v>
      </c>
      <c r="Y22" s="1"/>
      <c r="Z22" s="5">
        <f t="shared" ref="Z22:Z27" si="15">IF(T22=0,0,X22/T22)</f>
        <v>0</v>
      </c>
    </row>
    <row r="23" spans="1:26" s="24" customFormat="1" hidden="1" outlineLevel="2" x14ac:dyDescent="0.3">
      <c r="A23" s="27"/>
      <c r="B23" s="11" t="str">
        <f>CONCATENATE("          ", "6279", " - ", "GENERAL EXPENSE")</f>
        <v xml:space="preserve">          6279 - GENERAL EXPENSE</v>
      </c>
      <c r="C23" s="11"/>
      <c r="D23" s="6"/>
      <c r="E23" s="2"/>
      <c r="F23" s="7">
        <f t="shared" si="8"/>
        <v>0</v>
      </c>
      <c r="G23" s="2"/>
      <c r="H23" s="6"/>
      <c r="I23" s="2"/>
      <c r="J23" s="7">
        <f t="shared" si="9"/>
        <v>0</v>
      </c>
      <c r="K23" s="2"/>
      <c r="L23" s="6">
        <f t="shared" si="10"/>
        <v>0</v>
      </c>
      <c r="M23" s="2"/>
      <c r="N23" s="7">
        <f t="shared" si="11"/>
        <v>0</v>
      </c>
      <c r="O23" s="11"/>
      <c r="P23" s="6">
        <v>7489.93</v>
      </c>
      <c r="Q23" s="2"/>
      <c r="R23" s="7">
        <f t="shared" si="12"/>
        <v>0</v>
      </c>
      <c r="S23" s="2"/>
      <c r="T23" s="6"/>
      <c r="U23" s="2"/>
      <c r="V23" s="7">
        <f t="shared" si="13"/>
        <v>0</v>
      </c>
      <c r="W23" s="2"/>
      <c r="X23" s="6">
        <f t="shared" si="14"/>
        <v>7489.93</v>
      </c>
      <c r="Y23" s="2"/>
      <c r="Z23" s="7">
        <f t="shared" si="15"/>
        <v>0</v>
      </c>
    </row>
    <row r="24" spans="1:26" s="29" customFormat="1" outlineLevel="1" collapsed="1" x14ac:dyDescent="0.3">
      <c r="A24" s="28"/>
      <c r="B24" s="14" t="str">
        <f>CONCATENATE("     ","Supplies                                          ")</f>
        <v xml:space="preserve">     Supplies                                          </v>
      </c>
      <c r="C24" s="14"/>
      <c r="D24" s="1">
        <f>SUM(OSRRefD22_2x_0)</f>
        <v>22.04</v>
      </c>
      <c r="E24" s="1"/>
      <c r="F24" s="5">
        <f t="shared" si="8"/>
        <v>0</v>
      </c>
      <c r="G24" s="1"/>
      <c r="H24" s="1">
        <f>SUM(OSRRefH22_2x_0)</f>
        <v>0</v>
      </c>
      <c r="I24" s="1"/>
      <c r="J24" s="5">
        <f t="shared" si="9"/>
        <v>0</v>
      </c>
      <c r="K24" s="1"/>
      <c r="L24" s="1">
        <f t="shared" si="10"/>
        <v>22.04</v>
      </c>
      <c r="M24" s="1"/>
      <c r="N24" s="5">
        <f t="shared" si="11"/>
        <v>0</v>
      </c>
      <c r="O24" s="14"/>
      <c r="P24" s="1">
        <f>SUM(OSRRefP22_2x_0)</f>
        <v>520.62</v>
      </c>
      <c r="Q24" s="1"/>
      <c r="R24" s="5">
        <f t="shared" si="12"/>
        <v>0</v>
      </c>
      <c r="S24" s="1"/>
      <c r="T24" s="1">
        <f>SUM(OSRRefT22_2x_0)</f>
        <v>-56.3</v>
      </c>
      <c r="U24" s="1"/>
      <c r="V24" s="5">
        <f t="shared" si="13"/>
        <v>0</v>
      </c>
      <c r="W24" s="1"/>
      <c r="X24" s="1">
        <f t="shared" si="14"/>
        <v>576.91999999999996</v>
      </c>
      <c r="Y24" s="1"/>
      <c r="Z24" s="5">
        <f t="shared" si="15"/>
        <v>-10.247246891651864</v>
      </c>
    </row>
    <row r="25" spans="1:26" s="24" customFormat="1" hidden="1" outlineLevel="2" x14ac:dyDescent="0.3">
      <c r="A25" s="27"/>
      <c r="B25" s="11" t="str">
        <f>CONCATENATE("          ", "6241", " - ", "OFFICE EXPENSE")</f>
        <v xml:space="preserve">          6241 - OFFICE EXPENSE</v>
      </c>
      <c r="C25" s="11"/>
      <c r="D25" s="6">
        <v>22.04</v>
      </c>
      <c r="E25" s="2"/>
      <c r="F25" s="7">
        <f t="shared" si="8"/>
        <v>0</v>
      </c>
      <c r="G25" s="2"/>
      <c r="H25" s="6"/>
      <c r="I25" s="2"/>
      <c r="J25" s="7">
        <f t="shared" si="9"/>
        <v>0</v>
      </c>
      <c r="K25" s="2"/>
      <c r="L25" s="6">
        <f t="shared" si="10"/>
        <v>22.04</v>
      </c>
      <c r="M25" s="2"/>
      <c r="N25" s="7">
        <f t="shared" si="11"/>
        <v>0</v>
      </c>
      <c r="O25" s="11"/>
      <c r="P25" s="6">
        <v>520.62</v>
      </c>
      <c r="Q25" s="2"/>
      <c r="R25" s="7">
        <f t="shared" si="12"/>
        <v>0</v>
      </c>
      <c r="S25" s="2"/>
      <c r="T25" s="6">
        <v>-56.3</v>
      </c>
      <c r="U25" s="2"/>
      <c r="V25" s="7">
        <f t="shared" si="13"/>
        <v>0</v>
      </c>
      <c r="W25" s="2"/>
      <c r="X25" s="6">
        <f t="shared" si="14"/>
        <v>576.91999999999996</v>
      </c>
      <c r="Y25" s="2"/>
      <c r="Z25" s="7">
        <f t="shared" si="15"/>
        <v>-10.247246891651864</v>
      </c>
    </row>
    <row r="26" spans="1:26" s="29" customFormat="1" outlineLevel="1" collapsed="1" x14ac:dyDescent="0.3">
      <c r="A26" s="28"/>
      <c r="B26" s="14" t="str">
        <f>CONCATENATE("     ","Telephone/Data Lines                              ")</f>
        <v xml:space="preserve">     Telephone/Data Lines                              </v>
      </c>
      <c r="C26" s="14"/>
      <c r="D26" s="1">
        <f>SUM(OSRRefD22_3x_0)</f>
        <v>68.5</v>
      </c>
      <c r="E26" s="1"/>
      <c r="F26" s="5">
        <f t="shared" si="8"/>
        <v>0</v>
      </c>
      <c r="G26" s="1"/>
      <c r="H26" s="1">
        <f>SUM(OSRRefH22_3x_0)</f>
        <v>361</v>
      </c>
      <c r="I26" s="1"/>
      <c r="J26" s="5">
        <f t="shared" si="9"/>
        <v>0</v>
      </c>
      <c r="K26" s="1"/>
      <c r="L26" s="1">
        <f t="shared" si="10"/>
        <v>-292.5</v>
      </c>
      <c r="M26" s="1"/>
      <c r="N26" s="5">
        <f t="shared" si="11"/>
        <v>-0.81024930747922441</v>
      </c>
      <c r="O26" s="14"/>
      <c r="P26" s="1">
        <f>SUM(OSRRefP22_3x_0)</f>
        <v>77.5</v>
      </c>
      <c r="Q26" s="1"/>
      <c r="R26" s="5">
        <f t="shared" si="12"/>
        <v>0</v>
      </c>
      <c r="S26" s="1"/>
      <c r="T26" s="1">
        <f>SUM(OSRRefT22_3x_0)</f>
        <v>519</v>
      </c>
      <c r="U26" s="1"/>
      <c r="V26" s="5">
        <f t="shared" si="13"/>
        <v>0</v>
      </c>
      <c r="W26" s="1"/>
      <c r="X26" s="1">
        <f t="shared" si="14"/>
        <v>-441.5</v>
      </c>
      <c r="Y26" s="1"/>
      <c r="Z26" s="5">
        <f t="shared" si="15"/>
        <v>-0.85067437379576105</v>
      </c>
    </row>
    <row r="27" spans="1:26" s="24" customFormat="1" hidden="1" outlineLevel="2" x14ac:dyDescent="0.3">
      <c r="A27" s="27"/>
      <c r="B27" s="11" t="str">
        <f>CONCATENATE("          ", "6309", " - ", "TELEPHONE")</f>
        <v xml:space="preserve">          6309 - TELEPHONE</v>
      </c>
      <c r="C27" s="11"/>
      <c r="D27" s="6">
        <v>68.5</v>
      </c>
      <c r="E27" s="2"/>
      <c r="F27" s="7">
        <f t="shared" si="8"/>
        <v>0</v>
      </c>
      <c r="G27" s="2"/>
      <c r="H27" s="6">
        <v>361</v>
      </c>
      <c r="I27" s="2"/>
      <c r="J27" s="7">
        <f t="shared" si="9"/>
        <v>0</v>
      </c>
      <c r="K27" s="2"/>
      <c r="L27" s="6">
        <f t="shared" si="10"/>
        <v>-292.5</v>
      </c>
      <c r="M27" s="2"/>
      <c r="N27" s="7">
        <f t="shared" si="11"/>
        <v>-0.81024930747922441</v>
      </c>
      <c r="O27" s="11"/>
      <c r="P27" s="6">
        <v>77.5</v>
      </c>
      <c r="Q27" s="2"/>
      <c r="R27" s="7">
        <f t="shared" si="12"/>
        <v>0</v>
      </c>
      <c r="S27" s="2"/>
      <c r="T27" s="6">
        <v>519</v>
      </c>
      <c r="U27" s="2"/>
      <c r="V27" s="7">
        <f t="shared" si="13"/>
        <v>0</v>
      </c>
      <c r="W27" s="2"/>
      <c r="X27" s="6">
        <f t="shared" si="14"/>
        <v>-441.5</v>
      </c>
      <c r="Y27" s="2"/>
      <c r="Z27" s="7">
        <f t="shared" si="15"/>
        <v>-0.85067437379576105</v>
      </c>
    </row>
    <row r="28" spans="1:26" s="62" customFormat="1" x14ac:dyDescent="0.3">
      <c r="A28" s="37"/>
      <c r="B28" s="37"/>
      <c r="C28" s="37"/>
      <c r="D28" s="1"/>
      <c r="E28" s="1"/>
      <c r="F28" s="5"/>
      <c r="G28" s="1"/>
      <c r="H28" s="1"/>
      <c r="I28" s="1"/>
      <c r="J28" s="5"/>
      <c r="K28" s="1"/>
      <c r="L28" s="1"/>
      <c r="M28" s="1"/>
      <c r="N28" s="5"/>
      <c r="O28" s="37"/>
      <c r="P28" s="1"/>
      <c r="Q28" s="1"/>
      <c r="R28" s="5"/>
      <c r="S28" s="1"/>
      <c r="T28" s="1"/>
      <c r="U28" s="1"/>
      <c r="V28" s="5"/>
      <c r="W28" s="1"/>
      <c r="X28" s="1"/>
      <c r="Y28" s="1"/>
      <c r="Z28" s="5"/>
    </row>
    <row r="29" spans="1:26" s="23" customFormat="1" collapsed="1" x14ac:dyDescent="0.3">
      <c r="A29" s="10"/>
      <c r="B29" s="26" t="s">
        <v>292</v>
      </c>
      <c r="C29" s="10"/>
      <c r="D29" s="4">
        <f>SUM(OSRRefD25x_0)</f>
        <v>5819.63</v>
      </c>
      <c r="E29" s="4"/>
      <c r="F29" s="12">
        <f t="shared" ref="F29:F30" si="16">IF(D$12=0,0,D29/D$12)</f>
        <v>0</v>
      </c>
      <c r="G29" s="4"/>
      <c r="H29" s="4">
        <f>SUM(OSRRefH25x_0)</f>
        <v>0</v>
      </c>
      <c r="I29" s="4"/>
      <c r="J29" s="12">
        <f t="shared" ref="J29:J30" si="17">IF(H$12=0,0,H29/H$12)</f>
        <v>0</v>
      </c>
      <c r="K29" s="4"/>
      <c r="L29" s="4">
        <f t="shared" ref="L29:L30" si="18">+D29-H29</f>
        <v>5819.63</v>
      </c>
      <c r="M29" s="4"/>
      <c r="N29" s="12">
        <f t="shared" ref="N29:N30" si="19">IF(H29=0,0,L29/H29)</f>
        <v>0</v>
      </c>
      <c r="O29" s="10"/>
      <c r="P29" s="4">
        <f>SUM(OSRRefP25x_0)</f>
        <v>25936.57</v>
      </c>
      <c r="Q29" s="4"/>
      <c r="R29" s="12">
        <f t="shared" ref="R29:R30" si="20">IF(P$12=0,0,P29/P$12)</f>
        <v>0</v>
      </c>
      <c r="S29" s="4"/>
      <c r="T29" s="4">
        <f>SUM(OSRRefT25x_0)</f>
        <v>0</v>
      </c>
      <c r="U29" s="4"/>
      <c r="V29" s="12">
        <f t="shared" ref="V29:V30" si="21">IF(T$12=0,0,T29/T$12)</f>
        <v>0</v>
      </c>
      <c r="W29" s="4"/>
      <c r="X29" s="4">
        <f t="shared" ref="X29:X30" si="22">+P29-T29</f>
        <v>25936.57</v>
      </c>
      <c r="Y29" s="4"/>
      <c r="Z29" s="12">
        <f t="shared" ref="Z29:Z30" si="23">IF(T29=0,0,X29/T29)</f>
        <v>0</v>
      </c>
    </row>
    <row r="30" spans="1:26" s="24" customFormat="1" hidden="1" outlineLevel="1" x14ac:dyDescent="0.3">
      <c r="A30" s="44"/>
      <c r="B30" s="11" t="str">
        <f>CONCATENATE("          ", "9150", " - ", "MISC. INCOME")</f>
        <v xml:space="preserve">          9150 - MISC. INCOME</v>
      </c>
      <c r="C30" s="11"/>
      <c r="D30" s="2">
        <f>--5819.63</f>
        <v>5819.63</v>
      </c>
      <c r="E30" s="2"/>
      <c r="F30" s="19">
        <f t="shared" si="16"/>
        <v>0</v>
      </c>
      <c r="G30" s="2"/>
      <c r="H30" s="2">
        <f>0</f>
        <v>0</v>
      </c>
      <c r="I30" s="2"/>
      <c r="J30" s="19">
        <f t="shared" si="17"/>
        <v>0</v>
      </c>
      <c r="K30" s="2"/>
      <c r="L30" s="2">
        <f t="shared" si="18"/>
        <v>5819.63</v>
      </c>
      <c r="M30" s="2"/>
      <c r="N30" s="19">
        <f t="shared" si="19"/>
        <v>0</v>
      </c>
      <c r="O30" s="11"/>
      <c r="P30" s="2">
        <f>--25936.57</f>
        <v>25936.57</v>
      </c>
      <c r="Q30" s="2"/>
      <c r="R30" s="19">
        <f t="shared" si="20"/>
        <v>0</v>
      </c>
      <c r="S30" s="2"/>
      <c r="T30" s="2">
        <f>0</f>
        <v>0</v>
      </c>
      <c r="U30" s="2"/>
      <c r="V30" s="19">
        <f t="shared" si="21"/>
        <v>0</v>
      </c>
      <c r="W30" s="2"/>
      <c r="X30" s="2">
        <f t="shared" si="22"/>
        <v>25936.57</v>
      </c>
      <c r="Y30" s="2"/>
      <c r="Z30" s="19">
        <f t="shared" si="23"/>
        <v>0</v>
      </c>
    </row>
    <row r="31" spans="1:26" x14ac:dyDescent="0.3">
      <c r="A31" s="9"/>
      <c r="B31" s="10"/>
      <c r="C31" s="10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O31" s="10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10"/>
      <c r="B32" s="25" t="s">
        <v>276</v>
      </c>
      <c r="C32" s="25"/>
      <c r="D32" s="21">
        <f>+D16-D18+D29</f>
        <v>5729.09</v>
      </c>
      <c r="E32" s="13"/>
      <c r="F32" s="22">
        <f>IF(D$12=0,0,D32/D$12)</f>
        <v>0</v>
      </c>
      <c r="G32" s="13"/>
      <c r="H32" s="21">
        <f>+H16-H18+H29</f>
        <v>-361</v>
      </c>
      <c r="I32" s="13"/>
      <c r="J32" s="22">
        <f>IF(H$12=0,0,H32/H$12)</f>
        <v>0</v>
      </c>
      <c r="K32" s="16"/>
      <c r="L32" s="21">
        <f>+D32-H32</f>
        <v>6090.09</v>
      </c>
      <c r="M32" s="16"/>
      <c r="N32" s="22">
        <f>IF(H32=0,0,L32/H32)</f>
        <v>-16.87005540166205</v>
      </c>
      <c r="O32" s="26"/>
      <c r="P32" s="21">
        <f>+P16-P18+P29</f>
        <v>17848.52</v>
      </c>
      <c r="Q32" s="13"/>
      <c r="R32" s="22">
        <f>IF(P$12=0,0,P32/P$12)</f>
        <v>0</v>
      </c>
      <c r="S32" s="13"/>
      <c r="T32" s="21">
        <f>+T16-T18+T29</f>
        <v>-2941.43</v>
      </c>
      <c r="U32" s="13"/>
      <c r="V32" s="22">
        <f>IF(T$12=0,0,T32/T$12)</f>
        <v>0</v>
      </c>
      <c r="W32" s="16"/>
      <c r="X32" s="21">
        <f>+P32-T32</f>
        <v>20789.95</v>
      </c>
      <c r="Y32" s="16"/>
      <c r="Z32" s="22">
        <f>IF(T32=0,0,X32/T32)</f>
        <v>-7.0679737406635557</v>
      </c>
    </row>
    <row r="33" spans="1:26" x14ac:dyDescent="0.3">
      <c r="A33" s="9"/>
      <c r="B33" s="10"/>
      <c r="C33" s="9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x14ac:dyDescent="0.3">
      <c r="A34" s="51"/>
      <c r="B34" s="10" t="s">
        <v>127</v>
      </c>
      <c r="C34" s="10"/>
      <c r="D34" s="4"/>
      <c r="E34" s="4"/>
      <c r="F34" s="12">
        <f>IF(D$12=0,0,D34/D$12)</f>
        <v>0</v>
      </c>
      <c r="G34" s="4"/>
      <c r="H34" s="4"/>
      <c r="I34" s="4"/>
      <c r="J34" s="12">
        <f>IF(H$12=0,0,H34/H$12)</f>
        <v>0</v>
      </c>
      <c r="K34" s="4"/>
      <c r="L34" s="4">
        <f>+D34-H34</f>
        <v>0</v>
      </c>
      <c r="M34" s="4"/>
      <c r="N34" s="12">
        <f>IF(H34=0,0,L34/H34)</f>
        <v>0</v>
      </c>
      <c r="O34" s="10"/>
      <c r="P34" s="4"/>
      <c r="Q34" s="4"/>
      <c r="R34" s="12">
        <f>IF(P$12=0,0,P34/P$12)</f>
        <v>0</v>
      </c>
      <c r="S34" s="4"/>
      <c r="T34" s="4"/>
      <c r="U34" s="4"/>
      <c r="V34" s="12">
        <f>IF(T$12=0,0,T34/T$12)</f>
        <v>0</v>
      </c>
      <c r="W34" s="4"/>
      <c r="X34" s="4">
        <f>+P34-T34</f>
        <v>0</v>
      </c>
      <c r="Y34" s="4"/>
      <c r="Z34" s="12">
        <f>IF(T34=0,0,X34/T34)</f>
        <v>0</v>
      </c>
    </row>
    <row r="35" spans="1:26" x14ac:dyDescent="0.3">
      <c r="A35" s="9"/>
      <c r="B35" s="10"/>
      <c r="C35" s="10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O35" s="10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125</v>
      </c>
      <c r="C36" s="25"/>
      <c r="D36" s="35">
        <f>+D32-D34</f>
        <v>5729.09</v>
      </c>
      <c r="E36" s="13"/>
      <c r="F36" s="31">
        <f>IF(D$12=0,0,D36/D$12)</f>
        <v>0</v>
      </c>
      <c r="G36" s="13"/>
      <c r="H36" s="35">
        <f>+H32-H34</f>
        <v>-361</v>
      </c>
      <c r="I36" s="13"/>
      <c r="J36" s="31">
        <f>IF(H$12=0,0,H36/H$12)</f>
        <v>0</v>
      </c>
      <c r="K36" s="16"/>
      <c r="L36" s="35">
        <f>D36-H36</f>
        <v>6090.09</v>
      </c>
      <c r="M36" s="16"/>
      <c r="N36" s="31">
        <f>IF(H36=0,0,L36/H36)</f>
        <v>-16.87005540166205</v>
      </c>
      <c r="O36" s="26"/>
      <c r="P36" s="35">
        <f>+P32-P34</f>
        <v>17848.52</v>
      </c>
      <c r="Q36" s="13"/>
      <c r="R36" s="31">
        <f>IF(P$12=0,0,P36/P$12)</f>
        <v>0</v>
      </c>
      <c r="S36" s="13"/>
      <c r="T36" s="35">
        <f>+T32-T34</f>
        <v>-2941.43</v>
      </c>
      <c r="U36" s="13"/>
      <c r="V36" s="31">
        <f>IF(T$12=0,0,T36/T$12)</f>
        <v>0</v>
      </c>
      <c r="W36" s="16"/>
      <c r="X36" s="35">
        <f>P36-T36</f>
        <v>20789.95</v>
      </c>
      <c r="Y36" s="16"/>
      <c r="Z36" s="31">
        <f>IF(T36=0,0,X36/T36)</f>
        <v>-7.0679737406635557</v>
      </c>
    </row>
    <row r="37" spans="1:26" ht="15" thickTop="1" x14ac:dyDescent="0.3">
      <c r="A37" s="9"/>
      <c r="B37" s="9"/>
      <c r="C37" s="9"/>
      <c r="D37" s="3"/>
      <c r="E37" s="3"/>
      <c r="F37" s="8"/>
      <c r="G37" s="3"/>
      <c r="H37" s="3"/>
      <c r="I37" s="3"/>
      <c r="J37" s="8"/>
      <c r="K37" s="3"/>
      <c r="L37" s="3"/>
      <c r="M37" s="3"/>
      <c r="N37" s="8"/>
      <c r="P37" s="3"/>
      <c r="Q37" s="3"/>
      <c r="R37" s="8"/>
      <c r="S37" s="3"/>
      <c r="T37" s="3"/>
      <c r="U37" s="3"/>
      <c r="V37" s="8"/>
      <c r="W37" s="3"/>
      <c r="X37" s="3"/>
      <c r="Y37" s="3"/>
      <c r="Z37" s="8"/>
    </row>
    <row r="38" spans="1:26" x14ac:dyDescent="0.3">
      <c r="A38" s="9"/>
      <c r="B38" s="9"/>
      <c r="C38" s="9"/>
      <c r="D38" s="3"/>
      <c r="E38" s="3"/>
      <c r="F38" s="8"/>
      <c r="G38" s="3"/>
      <c r="H38" s="3"/>
      <c r="I38" s="3"/>
      <c r="J38" s="8"/>
      <c r="K38" s="3"/>
      <c r="L38" s="3"/>
      <c r="M38" s="3"/>
      <c r="N38" s="8"/>
      <c r="P38" s="3"/>
      <c r="Q38" s="3"/>
      <c r="R38" s="8"/>
      <c r="S38" s="3"/>
      <c r="T38" s="3"/>
      <c r="U38" s="3"/>
      <c r="V38" s="8"/>
      <c r="W38" s="3"/>
      <c r="X38" s="3"/>
      <c r="Y38" s="3"/>
      <c r="Z38" s="8"/>
    </row>
    <row r="39" spans="1:26" s="23" customFormat="1" ht="15" thickBot="1" x14ac:dyDescent="0.35">
      <c r="A39" s="10"/>
      <c r="B39" s="25" t="s">
        <v>293</v>
      </c>
      <c r="C39" s="25"/>
      <c r="D39" s="36">
        <f>SUM(D36:D38)</f>
        <v>5729.09</v>
      </c>
      <c r="E39" s="13"/>
      <c r="F39" s="33">
        <f>IF(D$12=0,0,D39/D$12)</f>
        <v>0</v>
      </c>
      <c r="G39" s="13"/>
      <c r="H39" s="36">
        <f>SUM(H36:H38)</f>
        <v>-361</v>
      </c>
      <c r="I39" s="13"/>
      <c r="J39" s="33">
        <f>IF(H$12=0,0,H39/H$12)</f>
        <v>0</v>
      </c>
      <c r="K39" s="16"/>
      <c r="L39" s="36">
        <f>+D39-H39</f>
        <v>6090.09</v>
      </c>
      <c r="M39" s="16"/>
      <c r="N39" s="33">
        <f>IF(H39=0,0,L39/H39)</f>
        <v>-16.87005540166205</v>
      </c>
      <c r="O39" s="26"/>
      <c r="P39" s="36">
        <f>SUM(P36:P38)</f>
        <v>17848.52</v>
      </c>
      <c r="Q39" s="13"/>
      <c r="R39" s="33">
        <f>IF(P$12=0,0,P39/P$12)</f>
        <v>0</v>
      </c>
      <c r="S39" s="13"/>
      <c r="T39" s="36">
        <f>SUM(T36:T38)</f>
        <v>-2941.43</v>
      </c>
      <c r="U39" s="13"/>
      <c r="V39" s="33">
        <f>IF(T$12=0,0,T39/T$12)</f>
        <v>0</v>
      </c>
      <c r="W39" s="16"/>
      <c r="X39" s="36">
        <f>+P39-T39</f>
        <v>20789.95</v>
      </c>
      <c r="Y39" s="16"/>
      <c r="Z39" s="33">
        <f>IF(T39=0,0,X39/T39)</f>
        <v>-7.0679737406635557</v>
      </c>
    </row>
    <row r="40" spans="1:26" ht="15" thickTop="1" x14ac:dyDescent="0.3">
      <c r="A40" s="9"/>
      <c r="C40" s="9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52">
        <v>44543.765594675926</v>
      </c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A42" s="9"/>
      <c r="B42" s="59" t="s">
        <v>56</v>
      </c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  <row r="43" spans="1:26" x14ac:dyDescent="0.3">
      <c r="A43" s="9"/>
      <c r="B43" s="61"/>
      <c r="D43" s="17"/>
      <c r="E43" s="17"/>
      <c r="G43" s="17"/>
      <c r="H43" s="17"/>
      <c r="I43" s="17"/>
      <c r="J43" s="42"/>
      <c r="K43" s="17"/>
      <c r="L43" s="17"/>
      <c r="M43" s="17"/>
      <c r="P43" s="17"/>
      <c r="Q43" s="17"/>
      <c r="R43" s="42"/>
      <c r="S43" s="17"/>
      <c r="T43" s="17"/>
      <c r="U43" s="17"/>
      <c r="V43" s="42"/>
      <c r="W43" s="17"/>
      <c r="X43" s="17"/>
    </row>
    <row r="44" spans="1:26" x14ac:dyDescent="0.3">
      <c r="D44" s="17"/>
      <c r="E44" s="17"/>
      <c r="G44" s="17"/>
      <c r="H44" s="17"/>
      <c r="I44" s="17"/>
      <c r="J44" s="42"/>
      <c r="K44" s="17"/>
      <c r="L44" s="17"/>
      <c r="M44" s="17"/>
      <c r="P44" s="17"/>
      <c r="Q44" s="17"/>
      <c r="R44" s="42"/>
      <c r="S44" s="17"/>
      <c r="T44" s="17"/>
      <c r="U44" s="17"/>
      <c r="V44" s="42"/>
      <c r="W44" s="17"/>
      <c r="X44" s="17"/>
    </row>
  </sheetData>
  <pageMargins left="0.25" right="0.25" top="0.75" bottom="0.75" header="0.3" footer="0.3"/>
  <pageSetup scale="55" fitToWidth="2" orientation="landscape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92D050"/>
    <outlinePr summaryBelow="0" summaryRight="0"/>
  </sheetPr>
  <dimension ref="A2:Z4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","424", " - ", "Blair Field")</f>
        <v>Department 424 - Blair Field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479.29</v>
      </c>
      <c r="E18" s="20"/>
      <c r="F18" s="32">
        <f t="shared" ref="F18:F26" si="0">IF(D$12=0,0,D18/D$12)</f>
        <v>0</v>
      </c>
      <c r="G18" s="20"/>
      <c r="H18" s="20">
        <f>SUM(OSRRefH22x_0)</f>
        <v>479.29</v>
      </c>
      <c r="I18" s="20"/>
      <c r="J18" s="32">
        <f t="shared" ref="J18:J26" si="1">IF(H$12=0,0,H18/H$12)</f>
        <v>0</v>
      </c>
      <c r="K18" s="4"/>
      <c r="L18" s="20">
        <f t="shared" ref="L18:L26" si="2">+D18-H18</f>
        <v>0</v>
      </c>
      <c r="M18" s="4"/>
      <c r="N18" s="32">
        <f t="shared" ref="N18:N26" si="3">IF(H18=0,0,L18/H18)</f>
        <v>0</v>
      </c>
      <c r="O18" s="10"/>
      <c r="P18" s="20">
        <f>SUM(OSRRefP22x_0)</f>
        <v>2396.4499999999998</v>
      </c>
      <c r="Q18" s="20"/>
      <c r="R18" s="32">
        <f t="shared" ref="R18:R26" si="4">IF(P$12=0,0,P18/P$12)</f>
        <v>0</v>
      </c>
      <c r="S18" s="20"/>
      <c r="T18" s="20">
        <f>SUM(OSRRefT22x_0)</f>
        <v>3297.2999999999997</v>
      </c>
      <c r="U18" s="20"/>
      <c r="V18" s="32">
        <f t="shared" ref="V18:V26" si="5">IF(T$12=0,0,T18/T$12)</f>
        <v>0</v>
      </c>
      <c r="W18" s="4"/>
      <c r="X18" s="20">
        <f t="shared" ref="X18:X26" si="6">+P18-T18</f>
        <v>-900.84999999999991</v>
      </c>
      <c r="Y18" s="4"/>
      <c r="Z18" s="32">
        <f t="shared" ref="Z18:Z26" si="7">IF(T18=0,0,X18/T18)</f>
        <v>-0.27320838261607983</v>
      </c>
    </row>
    <row r="19" spans="1:26" s="29" customFormat="1" outlineLevel="1" collapsed="1" x14ac:dyDescent="0.3">
      <c r="A19" s="28"/>
      <c r="B19" s="14" t="str">
        <f>CONCATENATE("     ","Depreciation                                      ")</f>
        <v xml:space="preserve">     Depreciation                                      </v>
      </c>
      <c r="C19" s="14"/>
      <c r="D19" s="1">
        <f>SUM(OSRRefD22_0x_0)</f>
        <v>479.29</v>
      </c>
      <c r="E19" s="1"/>
      <c r="F19" s="5">
        <f t="shared" si="0"/>
        <v>0</v>
      </c>
      <c r="G19" s="1"/>
      <c r="H19" s="1">
        <f>SUM(OSRRefH22_0x_0)</f>
        <v>479.29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2396.4499999999998</v>
      </c>
      <c r="Q19" s="1"/>
      <c r="R19" s="5">
        <f t="shared" si="4"/>
        <v>0</v>
      </c>
      <c r="S19" s="1"/>
      <c r="T19" s="1">
        <f>SUM(OSRRefT22_0x_0)</f>
        <v>2396.4499999999998</v>
      </c>
      <c r="U19" s="1"/>
      <c r="V19" s="5">
        <f t="shared" si="5"/>
        <v>0</v>
      </c>
      <c r="W19" s="1"/>
      <c r="X19" s="1">
        <f t="shared" si="6"/>
        <v>0</v>
      </c>
      <c r="Y19" s="1"/>
      <c r="Z19" s="5">
        <f t="shared" si="7"/>
        <v>0</v>
      </c>
    </row>
    <row r="20" spans="1:26" s="24" customFormat="1" hidden="1" outlineLevel="2" x14ac:dyDescent="0.3">
      <c r="A20" s="27"/>
      <c r="B20" s="11" t="str">
        <f>CONCATENATE("          ", "6322", " - ", "EQUIPMENT DEPRECIATION EXPENSE")</f>
        <v xml:space="preserve">          6322 - EQUIPMENT DEPRECIATION EXPENSE</v>
      </c>
      <c r="C20" s="11"/>
      <c r="D20" s="6">
        <v>479.29</v>
      </c>
      <c r="E20" s="2"/>
      <c r="F20" s="7">
        <f t="shared" si="0"/>
        <v>0</v>
      </c>
      <c r="G20" s="2"/>
      <c r="H20" s="6">
        <v>479.29</v>
      </c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>
        <v>2396.4499999999998</v>
      </c>
      <c r="Q20" s="2"/>
      <c r="R20" s="7">
        <f t="shared" si="4"/>
        <v>0</v>
      </c>
      <c r="S20" s="2"/>
      <c r="T20" s="6">
        <v>2396.4499999999998</v>
      </c>
      <c r="U20" s="2"/>
      <c r="V20" s="7">
        <f t="shared" si="5"/>
        <v>0</v>
      </c>
      <c r="W20" s="2"/>
      <c r="X20" s="6">
        <f t="shared" si="6"/>
        <v>0</v>
      </c>
      <c r="Y20" s="2"/>
      <c r="Z20" s="7">
        <f t="shared" si="7"/>
        <v>0</v>
      </c>
    </row>
    <row r="21" spans="1:26" s="29" customFormat="1" outlineLevel="1" collapsed="1" x14ac:dyDescent="0.3">
      <c r="A21" s="28"/>
      <c r="B21" s="14" t="str">
        <f>CONCATENATE("     ","General                                           ")</f>
        <v xml:space="preserve">     General                                           </v>
      </c>
      <c r="C21" s="14"/>
      <c r="D21" s="1">
        <f>SUM(OSRRefD22_1x_0)</f>
        <v>0</v>
      </c>
      <c r="E21" s="1"/>
      <c r="F21" s="5">
        <f t="shared" si="0"/>
        <v>0</v>
      </c>
      <c r="G21" s="1"/>
      <c r="H21" s="1">
        <f>SUM(OSRRefH22_1x_0)</f>
        <v>0</v>
      </c>
      <c r="I21" s="1"/>
      <c r="J21" s="5">
        <f t="shared" si="1"/>
        <v>0</v>
      </c>
      <c r="K21" s="1"/>
      <c r="L21" s="1">
        <f t="shared" si="2"/>
        <v>0</v>
      </c>
      <c r="M21" s="1"/>
      <c r="N21" s="5">
        <f t="shared" si="3"/>
        <v>0</v>
      </c>
      <c r="O21" s="14"/>
      <c r="P21" s="1">
        <f>SUM(OSRRefP22_1x_0)</f>
        <v>0</v>
      </c>
      <c r="Q21" s="1"/>
      <c r="R21" s="5">
        <f t="shared" si="4"/>
        <v>0</v>
      </c>
      <c r="S21" s="1"/>
      <c r="T21" s="1">
        <f>SUM(OSRRefT22_1x_0)</f>
        <v>519.54999999999995</v>
      </c>
      <c r="U21" s="1"/>
      <c r="V21" s="5">
        <f t="shared" si="5"/>
        <v>0</v>
      </c>
      <c r="W21" s="1"/>
      <c r="X21" s="1">
        <f t="shared" si="6"/>
        <v>-519.54999999999995</v>
      </c>
      <c r="Y21" s="1"/>
      <c r="Z21" s="5">
        <f t="shared" si="7"/>
        <v>-1</v>
      </c>
    </row>
    <row r="22" spans="1:26" s="24" customFormat="1" hidden="1" outlineLevel="2" x14ac:dyDescent="0.3">
      <c r="A22" s="27"/>
      <c r="B22" s="11" t="str">
        <f>CONCATENATE("          ", "6279", " - ", "GENERAL EXPENSE")</f>
        <v xml:space="preserve">          6279 - GENERAL EXPENSE</v>
      </c>
      <c r="C22" s="11"/>
      <c r="D22" s="6"/>
      <c r="E22" s="2"/>
      <c r="F22" s="7">
        <f t="shared" si="0"/>
        <v>0</v>
      </c>
      <c r="G22" s="2"/>
      <c r="H22" s="6"/>
      <c r="I22" s="2"/>
      <c r="J22" s="7">
        <f t="shared" si="1"/>
        <v>0</v>
      </c>
      <c r="K22" s="2"/>
      <c r="L22" s="6">
        <f t="shared" si="2"/>
        <v>0</v>
      </c>
      <c r="M22" s="2"/>
      <c r="N22" s="7">
        <f t="shared" si="3"/>
        <v>0</v>
      </c>
      <c r="O22" s="11"/>
      <c r="P22" s="6"/>
      <c r="Q22" s="2"/>
      <c r="R22" s="7">
        <f t="shared" si="4"/>
        <v>0</v>
      </c>
      <c r="S22" s="2"/>
      <c r="T22" s="6">
        <v>519.54999999999995</v>
      </c>
      <c r="U22" s="2"/>
      <c r="V22" s="7">
        <f t="shared" si="5"/>
        <v>0</v>
      </c>
      <c r="W22" s="2"/>
      <c r="X22" s="6">
        <f t="shared" si="6"/>
        <v>-519.54999999999995</v>
      </c>
      <c r="Y22" s="2"/>
      <c r="Z22" s="7">
        <f t="shared" si="7"/>
        <v>-1</v>
      </c>
    </row>
    <row r="23" spans="1:26" s="29" customFormat="1" outlineLevel="1" collapsed="1" x14ac:dyDescent="0.3">
      <c r="A23" s="28"/>
      <c r="B23" s="14" t="str">
        <f>CONCATENATE("     ","Repair and Maintenance                            ")</f>
        <v xml:space="preserve">     Repair and Maintenance                            </v>
      </c>
      <c r="C23" s="14"/>
      <c r="D23" s="1">
        <f>SUM(OSRRefD22_2x_0)</f>
        <v>0</v>
      </c>
      <c r="E23" s="1"/>
      <c r="F23" s="5">
        <f t="shared" si="0"/>
        <v>0</v>
      </c>
      <c r="G23" s="1"/>
      <c r="H23" s="1">
        <f>SUM(OSRRefH22_2x_0)</f>
        <v>0</v>
      </c>
      <c r="I23" s="1"/>
      <c r="J23" s="5">
        <f t="shared" si="1"/>
        <v>0</v>
      </c>
      <c r="K23" s="1"/>
      <c r="L23" s="1">
        <f t="shared" si="2"/>
        <v>0</v>
      </c>
      <c r="M23" s="1"/>
      <c r="N23" s="5">
        <f t="shared" si="3"/>
        <v>0</v>
      </c>
      <c r="O23" s="14"/>
      <c r="P23" s="1">
        <f>SUM(OSRRefP22_2x_0)</f>
        <v>0</v>
      </c>
      <c r="Q23" s="1"/>
      <c r="R23" s="5">
        <f t="shared" si="4"/>
        <v>0</v>
      </c>
      <c r="S23" s="1"/>
      <c r="T23" s="1">
        <f>SUM(OSRRefT22_2x_0)</f>
        <v>154.33000000000001</v>
      </c>
      <c r="U23" s="1"/>
      <c r="V23" s="5">
        <f t="shared" si="5"/>
        <v>0</v>
      </c>
      <c r="W23" s="1"/>
      <c r="X23" s="1">
        <f t="shared" si="6"/>
        <v>-154.33000000000001</v>
      </c>
      <c r="Y23" s="1"/>
      <c r="Z23" s="5">
        <f t="shared" si="7"/>
        <v>-1</v>
      </c>
    </row>
    <row r="24" spans="1:26" s="24" customFormat="1" hidden="1" outlineLevel="2" x14ac:dyDescent="0.3">
      <c r="A24" s="27"/>
      <c r="B24" s="11" t="str">
        <f>CONCATENATE("          ", "6373", " - ", "MAINTENANCE CONTRACTS")</f>
        <v xml:space="preserve">          6373 - MAINTENANCE CONTRACTS</v>
      </c>
      <c r="C24" s="11"/>
      <c r="D24" s="6"/>
      <c r="E24" s="2"/>
      <c r="F24" s="7">
        <f t="shared" si="0"/>
        <v>0</v>
      </c>
      <c r="G24" s="2"/>
      <c r="H24" s="6"/>
      <c r="I24" s="2"/>
      <c r="J24" s="7">
        <f t="shared" si="1"/>
        <v>0</v>
      </c>
      <c r="K24" s="2"/>
      <c r="L24" s="6">
        <f t="shared" si="2"/>
        <v>0</v>
      </c>
      <c r="M24" s="2"/>
      <c r="N24" s="7">
        <f t="shared" si="3"/>
        <v>0</v>
      </c>
      <c r="O24" s="11"/>
      <c r="P24" s="6"/>
      <c r="Q24" s="2"/>
      <c r="R24" s="7">
        <f t="shared" si="4"/>
        <v>0</v>
      </c>
      <c r="S24" s="2"/>
      <c r="T24" s="6">
        <v>154.33000000000001</v>
      </c>
      <c r="U24" s="2"/>
      <c r="V24" s="7">
        <f t="shared" si="5"/>
        <v>0</v>
      </c>
      <c r="W24" s="2"/>
      <c r="X24" s="6">
        <f t="shared" si="6"/>
        <v>-154.33000000000001</v>
      </c>
      <c r="Y24" s="2"/>
      <c r="Z24" s="7">
        <f t="shared" si="7"/>
        <v>-1</v>
      </c>
    </row>
    <row r="25" spans="1:26" s="29" customFormat="1" outlineLevel="1" collapsed="1" x14ac:dyDescent="0.3">
      <c r="A25" s="28"/>
      <c r="B25" s="14" t="str">
        <f>CONCATENATE("     ","Telephone/Data Lines                              ")</f>
        <v xml:space="preserve">     Telephone/Data Lines                              </v>
      </c>
      <c r="C25" s="14"/>
      <c r="D25" s="1">
        <f>SUM(OSRRefD22_3x_0)</f>
        <v>0</v>
      </c>
      <c r="E25" s="1"/>
      <c r="F25" s="5">
        <f t="shared" si="0"/>
        <v>0</v>
      </c>
      <c r="G25" s="1"/>
      <c r="H25" s="1">
        <f>SUM(OSRRefH22_3x_0)</f>
        <v>0</v>
      </c>
      <c r="I25" s="1"/>
      <c r="J25" s="5">
        <f t="shared" si="1"/>
        <v>0</v>
      </c>
      <c r="K25" s="1"/>
      <c r="L25" s="1">
        <f t="shared" si="2"/>
        <v>0</v>
      </c>
      <c r="M25" s="1"/>
      <c r="N25" s="5">
        <f t="shared" si="3"/>
        <v>0</v>
      </c>
      <c r="O25" s="14"/>
      <c r="P25" s="1">
        <f>SUM(OSRRefP22_3x_0)</f>
        <v>0</v>
      </c>
      <c r="Q25" s="1"/>
      <c r="R25" s="5">
        <f t="shared" si="4"/>
        <v>0</v>
      </c>
      <c r="S25" s="1"/>
      <c r="T25" s="1">
        <f>SUM(OSRRefT22_3x_0)</f>
        <v>226.97</v>
      </c>
      <c r="U25" s="1"/>
      <c r="V25" s="5">
        <f t="shared" si="5"/>
        <v>0</v>
      </c>
      <c r="W25" s="1"/>
      <c r="X25" s="1">
        <f t="shared" si="6"/>
        <v>-226.97</v>
      </c>
      <c r="Y25" s="1"/>
      <c r="Z25" s="5">
        <f t="shared" si="7"/>
        <v>-1</v>
      </c>
    </row>
    <row r="26" spans="1:26" s="24" customFormat="1" hidden="1" outlineLevel="2" x14ac:dyDescent="0.3">
      <c r="A26" s="27"/>
      <c r="B26" s="11" t="str">
        <f>CONCATENATE("          ", "6309", " - ", "TELEPHONE")</f>
        <v xml:space="preserve">          6309 - TELEPHONE</v>
      </c>
      <c r="C26" s="11"/>
      <c r="D26" s="6"/>
      <c r="E26" s="2"/>
      <c r="F26" s="7">
        <f t="shared" si="0"/>
        <v>0</v>
      </c>
      <c r="G26" s="2"/>
      <c r="H26" s="6"/>
      <c r="I26" s="2"/>
      <c r="J26" s="7">
        <f t="shared" si="1"/>
        <v>0</v>
      </c>
      <c r="K26" s="2"/>
      <c r="L26" s="6">
        <f t="shared" si="2"/>
        <v>0</v>
      </c>
      <c r="M26" s="2"/>
      <c r="N26" s="7">
        <f t="shared" si="3"/>
        <v>0</v>
      </c>
      <c r="O26" s="11"/>
      <c r="P26" s="6"/>
      <c r="Q26" s="2"/>
      <c r="R26" s="7">
        <f t="shared" si="4"/>
        <v>0</v>
      </c>
      <c r="S26" s="2"/>
      <c r="T26" s="6">
        <v>226.97</v>
      </c>
      <c r="U26" s="2"/>
      <c r="V26" s="7">
        <f t="shared" si="5"/>
        <v>0</v>
      </c>
      <c r="W26" s="2"/>
      <c r="X26" s="6">
        <f t="shared" si="6"/>
        <v>-226.97</v>
      </c>
      <c r="Y26" s="2"/>
      <c r="Z26" s="7">
        <f t="shared" si="7"/>
        <v>-1</v>
      </c>
    </row>
    <row r="27" spans="1:26" s="62" customFormat="1" x14ac:dyDescent="0.3">
      <c r="A27" s="37"/>
      <c r="B27" s="37"/>
      <c r="C27" s="37"/>
      <c r="D27" s="1"/>
      <c r="E27" s="1"/>
      <c r="F27" s="5"/>
      <c r="G27" s="1"/>
      <c r="H27" s="1"/>
      <c r="I27" s="1"/>
      <c r="J27" s="5"/>
      <c r="K27" s="1"/>
      <c r="L27" s="1"/>
      <c r="M27" s="1"/>
      <c r="N27" s="5"/>
      <c r="O27" s="37"/>
      <c r="P27" s="1"/>
      <c r="Q27" s="1"/>
      <c r="R27" s="5"/>
      <c r="S27" s="1"/>
      <c r="T27" s="1"/>
      <c r="U27" s="1"/>
      <c r="V27" s="5"/>
      <c r="W27" s="1"/>
      <c r="X27" s="1"/>
      <c r="Y27" s="1"/>
      <c r="Z27" s="5"/>
    </row>
    <row r="28" spans="1:26" s="23" customFormat="1" x14ac:dyDescent="0.3">
      <c r="A28" s="10"/>
      <c r="B28" s="26" t="s">
        <v>292</v>
      </c>
      <c r="C28" s="10"/>
      <c r="D28" s="4">
        <f>SUM(0)</f>
        <v>0</v>
      </c>
      <c r="E28" s="4"/>
      <c r="F28" s="12">
        <f>IF(D$12=0,0,D28/D$12)</f>
        <v>0</v>
      </c>
      <c r="G28" s="4"/>
      <c r="H28" s="4">
        <f>SUM(0)</f>
        <v>0</v>
      </c>
      <c r="I28" s="4"/>
      <c r="J28" s="12">
        <f>IF(H$12=0,0,H28/H$12)</f>
        <v>0</v>
      </c>
      <c r="K28" s="4"/>
      <c r="L28" s="4">
        <f>+D28-H28</f>
        <v>0</v>
      </c>
      <c r="M28" s="4"/>
      <c r="N28" s="12">
        <f>IF(H28=0,0,L28/H28)</f>
        <v>0</v>
      </c>
      <c r="O28" s="10"/>
      <c r="P28" s="4">
        <f>SUM(0)</f>
        <v>0</v>
      </c>
      <c r="Q28" s="4"/>
      <c r="R28" s="12">
        <f>IF(P$12=0,0,P28/P$12)</f>
        <v>0</v>
      </c>
      <c r="S28" s="4"/>
      <c r="T28" s="4">
        <f>SUM(0)</f>
        <v>0</v>
      </c>
      <c r="U28" s="4"/>
      <c r="V28" s="12">
        <f>IF(T$12=0,0,T28/T$12)</f>
        <v>0</v>
      </c>
      <c r="W28" s="4"/>
      <c r="X28" s="4">
        <f>+P28-T28</f>
        <v>0</v>
      </c>
      <c r="Y28" s="4"/>
      <c r="Z28" s="12">
        <f>IF(T28=0,0,X28/T28)</f>
        <v>0</v>
      </c>
    </row>
    <row r="29" spans="1:26" x14ac:dyDescent="0.3">
      <c r="A29" s="9"/>
      <c r="B29" s="10"/>
      <c r="C29" s="10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O29" s="10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s="23" customFormat="1" x14ac:dyDescent="0.3">
      <c r="A30" s="10"/>
      <c r="B30" s="25" t="s">
        <v>276</v>
      </c>
      <c r="C30" s="25"/>
      <c r="D30" s="21">
        <f>+D16-D18+D28</f>
        <v>-479.29</v>
      </c>
      <c r="E30" s="13"/>
      <c r="F30" s="22">
        <f>IF(D$12=0,0,D30/D$12)</f>
        <v>0</v>
      </c>
      <c r="G30" s="13"/>
      <c r="H30" s="21">
        <f>+H16-H18+H28</f>
        <v>-479.29</v>
      </c>
      <c r="I30" s="13"/>
      <c r="J30" s="22">
        <f>IF(H$12=0,0,H30/H$12)</f>
        <v>0</v>
      </c>
      <c r="K30" s="16"/>
      <c r="L30" s="21">
        <f>+D30-H30</f>
        <v>0</v>
      </c>
      <c r="M30" s="16"/>
      <c r="N30" s="22">
        <f>IF(H30=0,0,L30/H30)</f>
        <v>0</v>
      </c>
      <c r="O30" s="26"/>
      <c r="P30" s="21">
        <f>+P16-P18+P28</f>
        <v>-2396.4499999999998</v>
      </c>
      <c r="Q30" s="13"/>
      <c r="R30" s="22">
        <f>IF(P$12=0,0,P30/P$12)</f>
        <v>0</v>
      </c>
      <c r="S30" s="13"/>
      <c r="T30" s="21">
        <f>+T16-T18+T28</f>
        <v>-3297.2999999999997</v>
      </c>
      <c r="U30" s="13"/>
      <c r="V30" s="22">
        <f>IF(T$12=0,0,T30/T$12)</f>
        <v>0</v>
      </c>
      <c r="W30" s="16"/>
      <c r="X30" s="21">
        <f>+P30-T30</f>
        <v>900.84999999999991</v>
      </c>
      <c r="Y30" s="16"/>
      <c r="Z30" s="22">
        <f>IF(T30=0,0,X30/T30)</f>
        <v>-0.27320838261607983</v>
      </c>
    </row>
    <row r="31" spans="1:26" x14ac:dyDescent="0.3">
      <c r="A31" s="9"/>
      <c r="B31" s="10"/>
      <c r="C31" s="9"/>
      <c r="D31" s="3"/>
      <c r="E31" s="3"/>
      <c r="F31" s="8"/>
      <c r="G31" s="3"/>
      <c r="H31" s="3"/>
      <c r="I31" s="3"/>
      <c r="J31" s="8"/>
      <c r="K31" s="3"/>
      <c r="L31" s="3"/>
      <c r="M31" s="3"/>
      <c r="N31" s="8"/>
      <c r="P31" s="3"/>
      <c r="Q31" s="3"/>
      <c r="R31" s="8"/>
      <c r="S31" s="3"/>
      <c r="T31" s="3"/>
      <c r="U31" s="3"/>
      <c r="V31" s="8"/>
      <c r="W31" s="3"/>
      <c r="X31" s="3"/>
      <c r="Y31" s="3"/>
      <c r="Z31" s="8"/>
    </row>
    <row r="32" spans="1:26" s="23" customFormat="1" x14ac:dyDescent="0.3">
      <c r="A32" s="51"/>
      <c r="B32" s="10" t="s">
        <v>127</v>
      </c>
      <c r="C32" s="10"/>
      <c r="D32" s="4"/>
      <c r="E32" s="4"/>
      <c r="F32" s="12">
        <f>IF(D$12=0,0,D32/D$12)</f>
        <v>0</v>
      </c>
      <c r="G32" s="4"/>
      <c r="H32" s="4"/>
      <c r="I32" s="4"/>
      <c r="J32" s="12">
        <f>IF(H$12=0,0,H32/H$12)</f>
        <v>0</v>
      </c>
      <c r="K32" s="4"/>
      <c r="L32" s="4">
        <f>+D32-H32</f>
        <v>0</v>
      </c>
      <c r="M32" s="4"/>
      <c r="N32" s="12">
        <f>IF(H32=0,0,L32/H32)</f>
        <v>0</v>
      </c>
      <c r="O32" s="10"/>
      <c r="P32" s="4"/>
      <c r="Q32" s="4"/>
      <c r="R32" s="12">
        <f>IF(P$12=0,0,P32/P$12)</f>
        <v>0</v>
      </c>
      <c r="S32" s="4"/>
      <c r="T32" s="4"/>
      <c r="U32" s="4"/>
      <c r="V32" s="12">
        <f>IF(T$12=0,0,T32/T$12)</f>
        <v>0</v>
      </c>
      <c r="W32" s="4"/>
      <c r="X32" s="4">
        <f>+P32-T32</f>
        <v>0</v>
      </c>
      <c r="Y32" s="4"/>
      <c r="Z32" s="12">
        <f>IF(T32=0,0,X32/T32)</f>
        <v>0</v>
      </c>
    </row>
    <row r="33" spans="1:26" x14ac:dyDescent="0.3">
      <c r="A33" s="9"/>
      <c r="B33" s="10"/>
      <c r="C33" s="10"/>
      <c r="D33" s="3"/>
      <c r="E33" s="3"/>
      <c r="F33" s="8"/>
      <c r="G33" s="3"/>
      <c r="H33" s="3"/>
      <c r="I33" s="3"/>
      <c r="J33" s="8"/>
      <c r="K33" s="3"/>
      <c r="L33" s="3"/>
      <c r="M33" s="3"/>
      <c r="N33" s="8"/>
      <c r="O33" s="10"/>
      <c r="P33" s="3"/>
      <c r="Q33" s="3"/>
      <c r="R33" s="8"/>
      <c r="S33" s="3"/>
      <c r="T33" s="3"/>
      <c r="U33" s="3"/>
      <c r="V33" s="8"/>
      <c r="W33" s="3"/>
      <c r="X33" s="3"/>
      <c r="Y33" s="3"/>
      <c r="Z33" s="8"/>
    </row>
    <row r="34" spans="1:26" s="23" customFormat="1" ht="15" thickBot="1" x14ac:dyDescent="0.35">
      <c r="A34" s="10"/>
      <c r="B34" s="25" t="s">
        <v>125</v>
      </c>
      <c r="C34" s="25"/>
      <c r="D34" s="35">
        <f>+D30-D32</f>
        <v>-479.29</v>
      </c>
      <c r="E34" s="13"/>
      <c r="F34" s="31">
        <f>IF(D$12=0,0,D34/D$12)</f>
        <v>0</v>
      </c>
      <c r="G34" s="13"/>
      <c r="H34" s="35">
        <f>+H30-H32</f>
        <v>-479.29</v>
      </c>
      <c r="I34" s="13"/>
      <c r="J34" s="31">
        <f>IF(H$12=0,0,H34/H$12)</f>
        <v>0</v>
      </c>
      <c r="K34" s="16"/>
      <c r="L34" s="35">
        <f>D34-H34</f>
        <v>0</v>
      </c>
      <c r="M34" s="16"/>
      <c r="N34" s="31">
        <f>IF(H34=0,0,L34/H34)</f>
        <v>0</v>
      </c>
      <c r="O34" s="26"/>
      <c r="P34" s="35">
        <f>+P30-P32</f>
        <v>-2396.4499999999998</v>
      </c>
      <c r="Q34" s="13"/>
      <c r="R34" s="31">
        <f>IF(P$12=0,0,P34/P$12)</f>
        <v>0</v>
      </c>
      <c r="S34" s="13"/>
      <c r="T34" s="35">
        <f>+T30-T32</f>
        <v>-3297.2999999999997</v>
      </c>
      <c r="U34" s="13"/>
      <c r="V34" s="31">
        <f>IF(T$12=0,0,T34/T$12)</f>
        <v>0</v>
      </c>
      <c r="W34" s="16"/>
      <c r="X34" s="35">
        <f>P34-T34</f>
        <v>900.84999999999991</v>
      </c>
      <c r="Y34" s="16"/>
      <c r="Z34" s="31">
        <f>IF(T34=0,0,X34/T34)</f>
        <v>-0.27320838261607983</v>
      </c>
    </row>
    <row r="35" spans="1:26" ht="15" thickTop="1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x14ac:dyDescent="0.3">
      <c r="A36" s="9"/>
      <c r="B36" s="9"/>
      <c r="C36" s="9"/>
      <c r="D36" s="3"/>
      <c r="E36" s="3"/>
      <c r="F36" s="8"/>
      <c r="G36" s="3"/>
      <c r="H36" s="3"/>
      <c r="I36" s="3"/>
      <c r="J36" s="8"/>
      <c r="K36" s="3"/>
      <c r="L36" s="3"/>
      <c r="M36" s="3"/>
      <c r="N36" s="8"/>
      <c r="P36" s="3"/>
      <c r="Q36" s="3"/>
      <c r="R36" s="8"/>
      <c r="S36" s="3"/>
      <c r="T36" s="3"/>
      <c r="U36" s="3"/>
      <c r="V36" s="8"/>
      <c r="W36" s="3"/>
      <c r="X36" s="3"/>
      <c r="Y36" s="3"/>
      <c r="Z36" s="8"/>
    </row>
    <row r="37" spans="1:26" s="23" customFormat="1" ht="15" thickBot="1" x14ac:dyDescent="0.35">
      <c r="A37" s="10"/>
      <c r="B37" s="25" t="s">
        <v>293</v>
      </c>
      <c r="C37" s="25"/>
      <c r="D37" s="36">
        <f>SUM(D34:D36)</f>
        <v>-479.29</v>
      </c>
      <c r="E37" s="13"/>
      <c r="F37" s="33">
        <f>IF(D$12=0,0,D37/D$12)</f>
        <v>0</v>
      </c>
      <c r="G37" s="13"/>
      <c r="H37" s="36">
        <f>SUM(H34:H36)</f>
        <v>-479.29</v>
      </c>
      <c r="I37" s="13"/>
      <c r="J37" s="33">
        <f>IF(H$12=0,0,H37/H$12)</f>
        <v>0</v>
      </c>
      <c r="K37" s="16"/>
      <c r="L37" s="36">
        <f>+D37-H37</f>
        <v>0</v>
      </c>
      <c r="M37" s="16"/>
      <c r="N37" s="33">
        <f>IF(H37=0,0,L37/H37)</f>
        <v>0</v>
      </c>
      <c r="O37" s="26"/>
      <c r="P37" s="36">
        <f>SUM(P34:P36)</f>
        <v>-2396.4499999999998</v>
      </c>
      <c r="Q37" s="13"/>
      <c r="R37" s="33">
        <f>IF(P$12=0,0,P37/P$12)</f>
        <v>0</v>
      </c>
      <c r="S37" s="13"/>
      <c r="T37" s="36">
        <f>SUM(T34:T36)</f>
        <v>-3297.2999999999997</v>
      </c>
      <c r="U37" s="13"/>
      <c r="V37" s="33">
        <f>IF(T$12=0,0,T37/T$12)</f>
        <v>0</v>
      </c>
      <c r="W37" s="16"/>
      <c r="X37" s="36">
        <f>+P37-T37</f>
        <v>900.84999999999991</v>
      </c>
      <c r="Y37" s="16"/>
      <c r="Z37" s="33">
        <f>IF(T37=0,0,X37/T37)</f>
        <v>-0.27320838261607983</v>
      </c>
    </row>
    <row r="38" spans="1:26" ht="15" thickTop="1" x14ac:dyDescent="0.3">
      <c r="A38" s="9"/>
      <c r="C38" s="9"/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2">
        <v>44543.765594675926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59" t="s">
        <v>56</v>
      </c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A41" s="9"/>
      <c r="B41" s="61"/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  <row r="42" spans="1:26" x14ac:dyDescent="0.3">
      <c r="D42" s="17"/>
      <c r="E42" s="17"/>
      <c r="G42" s="17"/>
      <c r="H42" s="17"/>
      <c r="I42" s="17"/>
      <c r="J42" s="42"/>
      <c r="K42" s="17"/>
      <c r="L42" s="17"/>
      <c r="M42" s="17"/>
      <c r="P42" s="17"/>
      <c r="Q42" s="17"/>
      <c r="R42" s="42"/>
      <c r="S42" s="17"/>
      <c r="T42" s="17"/>
      <c r="U42" s="17"/>
      <c r="V42" s="42"/>
      <c r="W42" s="17"/>
      <c r="X42" s="17"/>
    </row>
  </sheetData>
  <pageMargins left="0.25" right="0.25" top="0.75" bottom="0.75" header="0.3" footer="0.3"/>
  <pageSetup scale="55" fitToWidth="2" orientation="landscape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outlinePr summaryBelow="0" summaryRight="0"/>
  </sheetPr>
  <dimension ref="A2:Z59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","425", " - ", "Events Center")</f>
        <v>Department 425 - Events Center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1464.84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3" si="0">+D12-H12</f>
        <v>1464.84</v>
      </c>
      <c r="M12" s="4"/>
      <c r="N12" s="12">
        <f t="shared" ref="N12:N13" si="1">IF(H12=0,0,L12/H12)</f>
        <v>0</v>
      </c>
      <c r="O12" s="10"/>
      <c r="P12" s="4">
        <f>SUM(OSRRefP13x_0)</f>
        <v>5729.68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3" si="2">+P12-T12</f>
        <v>5729.68</v>
      </c>
      <c r="Y12" s="4"/>
      <c r="Z12" s="12">
        <f t="shared" ref="Z12:Z13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--1464.84</f>
        <v>1464.84</v>
      </c>
      <c r="E13" s="2"/>
      <c r="F13" s="19"/>
      <c r="G13" s="2"/>
      <c r="H13" s="2">
        <f>0</f>
        <v>0</v>
      </c>
      <c r="I13" s="2"/>
      <c r="J13" s="19"/>
      <c r="K13" s="2"/>
      <c r="L13" s="2">
        <f t="shared" si="0"/>
        <v>1464.84</v>
      </c>
      <c r="M13" s="2"/>
      <c r="N13" s="19">
        <f t="shared" si="1"/>
        <v>0</v>
      </c>
      <c r="O13" s="11"/>
      <c r="P13" s="2">
        <f>--5729.68</f>
        <v>5729.68</v>
      </c>
      <c r="Q13" s="2"/>
      <c r="R13" s="19"/>
      <c r="S13" s="2"/>
      <c r="T13" s="2">
        <f>0</f>
        <v>0</v>
      </c>
      <c r="U13" s="2"/>
      <c r="V13" s="19"/>
      <c r="W13" s="2"/>
      <c r="X13" s="2">
        <f t="shared" si="2"/>
        <v>5729.68</v>
      </c>
      <c r="Y13" s="2"/>
      <c r="Z13" s="19">
        <f t="shared" si="3"/>
        <v>0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>
        <f>SUM(OSRRefD16x_0)</f>
        <v>123.48</v>
      </c>
      <c r="E15" s="4"/>
      <c r="F15" s="12">
        <f t="shared" ref="F15:F16" si="4">IF(D$12=0,0,D15/D$12)</f>
        <v>8.4295895797493248E-2</v>
      </c>
      <c r="G15" s="4"/>
      <c r="H15" s="4">
        <f>SUM(OSRRefH16x_0)</f>
        <v>0</v>
      </c>
      <c r="I15" s="4"/>
      <c r="J15" s="12">
        <f t="shared" ref="J15:J16" si="5">IF(H$12=0,0,H15/H$12)</f>
        <v>0</v>
      </c>
      <c r="K15" s="4"/>
      <c r="L15" s="4">
        <f t="shared" ref="L15:L16" si="6">+D15-H15</f>
        <v>123.48</v>
      </c>
      <c r="M15" s="4"/>
      <c r="N15" s="12">
        <f t="shared" ref="N15:N16" si="7">IF(H15=0,0,L15/H15)</f>
        <v>0</v>
      </c>
      <c r="O15" s="10"/>
      <c r="P15" s="4">
        <f>SUM(OSRRefP16x_0)</f>
        <v>6070.77</v>
      </c>
      <c r="Q15" s="4"/>
      <c r="R15" s="12">
        <f t="shared" ref="R15:R16" si="8">IF(P$12=0,0,P15/P$12)</f>
        <v>1.0595303751692939</v>
      </c>
      <c r="S15" s="4"/>
      <c r="T15" s="4">
        <f>SUM(OSRRefT16x_0)</f>
        <v>0</v>
      </c>
      <c r="U15" s="4"/>
      <c r="V15" s="12">
        <f t="shared" ref="V15:V16" si="9">IF(T$12=0,0,T15/T$12)</f>
        <v>0</v>
      </c>
      <c r="W15" s="4"/>
      <c r="X15" s="4">
        <f t="shared" ref="X15:X16" si="10">+P15-T15</f>
        <v>6070.77</v>
      </c>
      <c r="Y15" s="4"/>
      <c r="Z15" s="12">
        <f t="shared" ref="Z15:Z16" si="11">IF(T15=0,0,X15/T15)</f>
        <v>0</v>
      </c>
    </row>
    <row r="16" spans="1:26" s="24" customFormat="1" hidden="1" outlineLevel="1" x14ac:dyDescent="0.3">
      <c r="A16" s="44"/>
      <c r="B16" s="11" t="str">
        <f>CONCATENATE("          ", "5053", " - ", "PURCHASES @ COST-FOOD")</f>
        <v xml:space="preserve">          5053 - PURCHASES @ COST-FOOD</v>
      </c>
      <c r="C16" s="11"/>
      <c r="D16" s="2">
        <v>123.48</v>
      </c>
      <c r="E16" s="2"/>
      <c r="F16" s="19">
        <f t="shared" si="4"/>
        <v>8.4295895797493248E-2</v>
      </c>
      <c r="G16" s="2"/>
      <c r="H16" s="2"/>
      <c r="I16" s="2"/>
      <c r="J16" s="19">
        <f t="shared" si="5"/>
        <v>0</v>
      </c>
      <c r="K16" s="2"/>
      <c r="L16" s="2">
        <f t="shared" si="6"/>
        <v>123.48</v>
      </c>
      <c r="M16" s="2"/>
      <c r="N16" s="19">
        <f t="shared" si="7"/>
        <v>0</v>
      </c>
      <c r="O16" s="11"/>
      <c r="P16" s="2">
        <v>6070.77</v>
      </c>
      <c r="Q16" s="2"/>
      <c r="R16" s="19">
        <f t="shared" si="8"/>
        <v>1.0595303751692939</v>
      </c>
      <c r="S16" s="2"/>
      <c r="T16" s="2"/>
      <c r="U16" s="2"/>
      <c r="V16" s="19">
        <f t="shared" si="9"/>
        <v>0</v>
      </c>
      <c r="W16" s="2"/>
      <c r="X16" s="2">
        <f t="shared" si="10"/>
        <v>6070.77</v>
      </c>
      <c r="Y16" s="2"/>
      <c r="Z16" s="19">
        <f t="shared" si="11"/>
        <v>0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>
        <f>D12-D15</f>
        <v>1341.36</v>
      </c>
      <c r="E18" s="13"/>
      <c r="F18" s="22">
        <f>IF(D$12=0,0,D18/D$12)</f>
        <v>0.9157041042025067</v>
      </c>
      <c r="G18" s="13"/>
      <c r="H18" s="21">
        <f>H12-H15</f>
        <v>0</v>
      </c>
      <c r="I18" s="13"/>
      <c r="J18" s="22">
        <f>IF(H$12=0,0,H18/H$12)</f>
        <v>0</v>
      </c>
      <c r="K18" s="16"/>
      <c r="L18" s="21">
        <f>+D18-H18</f>
        <v>1341.36</v>
      </c>
      <c r="M18" s="16"/>
      <c r="N18" s="22">
        <f>IF(H18=0,0,L18/H18)</f>
        <v>0</v>
      </c>
      <c r="O18" s="26"/>
      <c r="P18" s="21">
        <f>P12-P15</f>
        <v>-341.09000000000015</v>
      </c>
      <c r="Q18" s="13"/>
      <c r="R18" s="22">
        <f>IF(P$12=0,0,P18/P$12)</f>
        <v>-5.9530375169293943E-2</v>
      </c>
      <c r="S18" s="13"/>
      <c r="T18" s="21">
        <f>T12-T15</f>
        <v>0</v>
      </c>
      <c r="U18" s="13"/>
      <c r="V18" s="22">
        <f>IF(T$12=0,0,T18/T$12)</f>
        <v>0</v>
      </c>
      <c r="W18" s="16"/>
      <c r="X18" s="21">
        <f>+P18-T18</f>
        <v>-341.09000000000015</v>
      </c>
      <c r="Y18" s="16"/>
      <c r="Z18" s="22">
        <f>IF(T18=0,0,X18/T18)</f>
        <v>0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>
        <f>SUM(OSRRefD22x_0)</f>
        <v>1401.94</v>
      </c>
      <c r="E20" s="20"/>
      <c r="F20" s="32">
        <f t="shared" ref="F20:F26" si="12">IF(D$12=0,0,D20/D$12)</f>
        <v>0.95706015674066802</v>
      </c>
      <c r="G20" s="20"/>
      <c r="H20" s="20">
        <f>SUM(OSRRefH22x_0)</f>
        <v>1462.8899999999999</v>
      </c>
      <c r="I20" s="20"/>
      <c r="J20" s="32">
        <f t="shared" ref="J20:J26" si="13">IF(H$12=0,0,H20/H$12)</f>
        <v>0</v>
      </c>
      <c r="K20" s="4"/>
      <c r="L20" s="20">
        <f t="shared" ref="L20:L26" si="14">+D20-H20</f>
        <v>-60.949999999999818</v>
      </c>
      <c r="M20" s="4"/>
      <c r="N20" s="32">
        <f t="shared" ref="N20:N26" si="15">IF(H20=0,0,L20/H20)</f>
        <v>-4.1664103247680842E-2</v>
      </c>
      <c r="O20" s="10"/>
      <c r="P20" s="20">
        <f>SUM(OSRRefP22x_0)</f>
        <v>8407.7900000000009</v>
      </c>
      <c r="Q20" s="20"/>
      <c r="R20" s="32">
        <f t="shared" ref="R20:R26" si="16">IF(P$12=0,0,P20/P$12)</f>
        <v>1.4674100473324863</v>
      </c>
      <c r="S20" s="20"/>
      <c r="T20" s="20">
        <f>SUM(OSRRefT22x_0)</f>
        <v>8633.23</v>
      </c>
      <c r="U20" s="20"/>
      <c r="V20" s="32">
        <f t="shared" ref="V20:V26" si="17">IF(T$12=0,0,T20/T$12)</f>
        <v>0</v>
      </c>
      <c r="W20" s="4"/>
      <c r="X20" s="20">
        <f t="shared" ref="X20:X26" si="18">+P20-T20</f>
        <v>-225.43999999999869</v>
      </c>
      <c r="Y20" s="4"/>
      <c r="Z20" s="32">
        <f t="shared" ref="Z20:Z26" si="19">IF(T20=0,0,X20/T20)</f>
        <v>-2.6113053862806702E-2</v>
      </c>
    </row>
    <row r="21" spans="1:26" s="29" customFormat="1" outlineLevel="1" collapsed="1" x14ac:dyDescent="0.3">
      <c r="A21" s="28"/>
      <c r="B21" s="14" t="str">
        <f>CONCATENATE("     ","*Benefits                                         ")</f>
        <v xml:space="preserve">     *Benefits                                         </v>
      </c>
      <c r="C21" s="14"/>
      <c r="D21" s="1">
        <f>SUM(OSRRefD22_0x_0)</f>
        <v>0</v>
      </c>
      <c r="E21" s="1"/>
      <c r="F21" s="5">
        <f t="shared" si="12"/>
        <v>0</v>
      </c>
      <c r="G21" s="1"/>
      <c r="H21" s="1">
        <f>SUM(OSRRefH22_0x_0)</f>
        <v>0.75</v>
      </c>
      <c r="I21" s="1"/>
      <c r="J21" s="5">
        <f t="shared" si="13"/>
        <v>0</v>
      </c>
      <c r="K21" s="1"/>
      <c r="L21" s="1">
        <f t="shared" si="14"/>
        <v>-0.75</v>
      </c>
      <c r="M21" s="1"/>
      <c r="N21" s="5">
        <f t="shared" si="15"/>
        <v>-1</v>
      </c>
      <c r="O21" s="14"/>
      <c r="P21" s="1">
        <f>SUM(OSRRefP22_0x_0)</f>
        <v>0</v>
      </c>
      <c r="Q21" s="1"/>
      <c r="R21" s="5">
        <f t="shared" si="16"/>
        <v>0</v>
      </c>
      <c r="S21" s="1"/>
      <c r="T21" s="1">
        <f>SUM(OSRRefT22_0x_0)</f>
        <v>1420.5</v>
      </c>
      <c r="U21" s="1"/>
      <c r="V21" s="5">
        <f t="shared" si="17"/>
        <v>0</v>
      </c>
      <c r="W21" s="1"/>
      <c r="X21" s="1">
        <f t="shared" si="18"/>
        <v>-1420.5</v>
      </c>
      <c r="Y21" s="1"/>
      <c r="Z21" s="5">
        <f t="shared" si="19"/>
        <v>-1</v>
      </c>
    </row>
    <row r="22" spans="1:26" s="24" customFormat="1" hidden="1" outlineLevel="2" x14ac:dyDescent="0.3">
      <c r="A22" s="27"/>
      <c r="B22" s="11" t="str">
        <f>CONCATENATE("          ", "6111", " - ", "F.I.C.A.")</f>
        <v xml:space="preserve">          6111 - F.I.C.A.</v>
      </c>
      <c r="C22" s="11"/>
      <c r="D22" s="6"/>
      <c r="E22" s="2"/>
      <c r="F22" s="7">
        <f t="shared" si="12"/>
        <v>0</v>
      </c>
      <c r="G22" s="2"/>
      <c r="H22" s="6">
        <v>0.75</v>
      </c>
      <c r="I22" s="2"/>
      <c r="J22" s="7">
        <f t="shared" si="13"/>
        <v>0</v>
      </c>
      <c r="K22" s="2"/>
      <c r="L22" s="6">
        <f t="shared" si="14"/>
        <v>-0.75</v>
      </c>
      <c r="M22" s="2"/>
      <c r="N22" s="7">
        <f t="shared" si="15"/>
        <v>-1</v>
      </c>
      <c r="O22" s="11"/>
      <c r="P22" s="6"/>
      <c r="Q22" s="2"/>
      <c r="R22" s="7">
        <f t="shared" si="16"/>
        <v>0</v>
      </c>
      <c r="S22" s="2"/>
      <c r="T22" s="6">
        <v>171.54</v>
      </c>
      <c r="U22" s="2"/>
      <c r="V22" s="7">
        <f t="shared" si="17"/>
        <v>0</v>
      </c>
      <c r="W22" s="2"/>
      <c r="X22" s="6">
        <f t="shared" si="18"/>
        <v>-171.54</v>
      </c>
      <c r="Y22" s="2"/>
      <c r="Z22" s="7">
        <f t="shared" si="19"/>
        <v>-1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/>
      <c r="E23" s="2"/>
      <c r="F23" s="7">
        <f t="shared" si="12"/>
        <v>0</v>
      </c>
      <c r="G23" s="2"/>
      <c r="H23" s="6"/>
      <c r="I23" s="2"/>
      <c r="J23" s="7">
        <f t="shared" si="13"/>
        <v>0</v>
      </c>
      <c r="K23" s="2"/>
      <c r="L23" s="6">
        <f t="shared" si="14"/>
        <v>0</v>
      </c>
      <c r="M23" s="2"/>
      <c r="N23" s="7">
        <f t="shared" si="15"/>
        <v>0</v>
      </c>
      <c r="O23" s="11"/>
      <c r="P23" s="6"/>
      <c r="Q23" s="2"/>
      <c r="R23" s="7">
        <f t="shared" si="16"/>
        <v>0</v>
      </c>
      <c r="S23" s="2"/>
      <c r="T23" s="6">
        <v>699.3</v>
      </c>
      <c r="U23" s="2"/>
      <c r="V23" s="7">
        <f t="shared" si="17"/>
        <v>0</v>
      </c>
      <c r="W23" s="2"/>
      <c r="X23" s="6">
        <f t="shared" si="18"/>
        <v>-699.3</v>
      </c>
      <c r="Y23" s="2"/>
      <c r="Z23" s="7">
        <f t="shared" si="19"/>
        <v>-1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/>
      <c r="E24" s="2"/>
      <c r="F24" s="7">
        <f t="shared" si="12"/>
        <v>0</v>
      </c>
      <c r="G24" s="2"/>
      <c r="H24" s="6"/>
      <c r="I24" s="2"/>
      <c r="J24" s="7">
        <f t="shared" si="13"/>
        <v>0</v>
      </c>
      <c r="K24" s="2"/>
      <c r="L24" s="6">
        <f t="shared" si="14"/>
        <v>0</v>
      </c>
      <c r="M24" s="2"/>
      <c r="N24" s="7">
        <f t="shared" si="15"/>
        <v>0</v>
      </c>
      <c r="O24" s="11"/>
      <c r="P24" s="6"/>
      <c r="Q24" s="2"/>
      <c r="R24" s="7">
        <f t="shared" si="16"/>
        <v>0</v>
      </c>
      <c r="S24" s="2"/>
      <c r="T24" s="6">
        <v>355.22</v>
      </c>
      <c r="U24" s="2"/>
      <c r="V24" s="7">
        <f t="shared" si="17"/>
        <v>0</v>
      </c>
      <c r="W24" s="2"/>
      <c r="X24" s="6">
        <f t="shared" si="18"/>
        <v>-355.22</v>
      </c>
      <c r="Y24" s="2"/>
      <c r="Z24" s="7">
        <f t="shared" si="19"/>
        <v>-1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/>
      <c r="E25" s="2"/>
      <c r="F25" s="7">
        <f t="shared" si="12"/>
        <v>0</v>
      </c>
      <c r="G25" s="2"/>
      <c r="H25" s="6"/>
      <c r="I25" s="2"/>
      <c r="J25" s="7">
        <f t="shared" si="13"/>
        <v>0</v>
      </c>
      <c r="K25" s="2"/>
      <c r="L25" s="6">
        <f t="shared" si="14"/>
        <v>0</v>
      </c>
      <c r="M25" s="2"/>
      <c r="N25" s="7">
        <f t="shared" si="15"/>
        <v>0</v>
      </c>
      <c r="O25" s="11"/>
      <c r="P25" s="6"/>
      <c r="Q25" s="2"/>
      <c r="R25" s="7">
        <f t="shared" si="16"/>
        <v>0</v>
      </c>
      <c r="S25" s="2"/>
      <c r="T25" s="6">
        <v>88.46</v>
      </c>
      <c r="U25" s="2"/>
      <c r="V25" s="7">
        <f t="shared" si="17"/>
        <v>0</v>
      </c>
      <c r="W25" s="2"/>
      <c r="X25" s="6">
        <f t="shared" si="18"/>
        <v>-88.46</v>
      </c>
      <c r="Y25" s="2"/>
      <c r="Z25" s="7">
        <f t="shared" si="19"/>
        <v>-1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/>
      <c r="E26" s="2"/>
      <c r="F26" s="7">
        <f t="shared" si="12"/>
        <v>0</v>
      </c>
      <c r="G26" s="2"/>
      <c r="H26" s="6"/>
      <c r="I26" s="2"/>
      <c r="J26" s="7">
        <f t="shared" si="13"/>
        <v>0</v>
      </c>
      <c r="K26" s="2"/>
      <c r="L26" s="6">
        <f t="shared" si="14"/>
        <v>0</v>
      </c>
      <c r="M26" s="2"/>
      <c r="N26" s="7">
        <f t="shared" si="15"/>
        <v>0</v>
      </c>
      <c r="O26" s="11"/>
      <c r="P26" s="6"/>
      <c r="Q26" s="2"/>
      <c r="R26" s="7">
        <f t="shared" si="16"/>
        <v>0</v>
      </c>
      <c r="S26" s="2"/>
      <c r="T26" s="6">
        <v>105.98</v>
      </c>
      <c r="U26" s="2"/>
      <c r="V26" s="7">
        <f t="shared" si="17"/>
        <v>0</v>
      </c>
      <c r="W26" s="2"/>
      <c r="X26" s="6">
        <f t="shared" si="18"/>
        <v>-105.98</v>
      </c>
      <c r="Y26" s="2"/>
      <c r="Z26" s="7">
        <f t="shared" si="19"/>
        <v>-1</v>
      </c>
    </row>
    <row r="27" spans="1:26" s="29" customFormat="1" outlineLevel="1" collapsed="1" x14ac:dyDescent="0.3">
      <c r="A27" s="28"/>
      <c r="B27" s="14" t="str">
        <f>CONCATENATE("     ","*Payroll                                          ")</f>
        <v xml:space="preserve">     *Payroll                                          </v>
      </c>
      <c r="C27" s="14"/>
      <c r="D27" s="1">
        <f>SUM(OSRRefD22_1x_0)</f>
        <v>0</v>
      </c>
      <c r="E27" s="1"/>
      <c r="F27" s="5">
        <f t="shared" ref="F27:F37" si="20">IF(D$12=0,0,D27/D$12)</f>
        <v>0</v>
      </c>
      <c r="G27" s="1"/>
      <c r="H27" s="1">
        <f>SUM(OSRRefH22_1x_0)</f>
        <v>0</v>
      </c>
      <c r="I27" s="1"/>
      <c r="J27" s="5">
        <f t="shared" ref="J27:J37" si="21">IF(H$12=0,0,H27/H$12)</f>
        <v>0</v>
      </c>
      <c r="K27" s="1"/>
      <c r="L27" s="1">
        <f t="shared" ref="L27:L37" si="22">+D27-H27</f>
        <v>0</v>
      </c>
      <c r="M27" s="1"/>
      <c r="N27" s="5">
        <f t="shared" ref="N27:N37" si="23">IF(H27=0,0,L27/H27)</f>
        <v>0</v>
      </c>
      <c r="O27" s="14"/>
      <c r="P27" s="1">
        <f>SUM(OSRRefP22_1x_0)</f>
        <v>0</v>
      </c>
      <c r="Q27" s="1"/>
      <c r="R27" s="5">
        <f t="shared" ref="R27:R37" si="24">IF(P$12=0,0,P27/P$12)</f>
        <v>0</v>
      </c>
      <c r="S27" s="1"/>
      <c r="T27" s="1">
        <f>SUM(OSRRefT22_1x_0)</f>
        <v>1378.61</v>
      </c>
      <c r="U27" s="1"/>
      <c r="V27" s="5">
        <f t="shared" ref="V27:V37" si="25">IF(T$12=0,0,T27/T$12)</f>
        <v>0</v>
      </c>
      <c r="W27" s="1"/>
      <c r="X27" s="1">
        <f t="shared" ref="X27:X37" si="26">+P27-T27</f>
        <v>-1378.61</v>
      </c>
      <c r="Y27" s="1"/>
      <c r="Z27" s="5">
        <f t="shared" ref="Z27:Z37" si="27">IF(T27=0,0,X27/T27)</f>
        <v>-1</v>
      </c>
    </row>
    <row r="28" spans="1:26" s="24" customFormat="1" hidden="1" outlineLevel="2" x14ac:dyDescent="0.3">
      <c r="A28" s="27"/>
      <c r="B28" s="11" t="str">
        <f>CONCATENATE("          ", "6002", " - ", "STAFF SALARIES")</f>
        <v xml:space="preserve">          6002 - STAFF SALARIES</v>
      </c>
      <c r="C28" s="11"/>
      <c r="D28" s="6"/>
      <c r="E28" s="2"/>
      <c r="F28" s="7">
        <f t="shared" si="20"/>
        <v>0</v>
      </c>
      <c r="G28" s="2"/>
      <c r="H28" s="6"/>
      <c r="I28" s="2"/>
      <c r="J28" s="7">
        <f t="shared" si="21"/>
        <v>0</v>
      </c>
      <c r="K28" s="2"/>
      <c r="L28" s="6">
        <f t="shared" si="22"/>
        <v>0</v>
      </c>
      <c r="M28" s="2"/>
      <c r="N28" s="7">
        <f t="shared" si="23"/>
        <v>0</v>
      </c>
      <c r="O28" s="11"/>
      <c r="P28" s="6"/>
      <c r="Q28" s="2"/>
      <c r="R28" s="7">
        <f t="shared" si="24"/>
        <v>0</v>
      </c>
      <c r="S28" s="2"/>
      <c r="T28" s="6">
        <v>1378.61</v>
      </c>
      <c r="U28" s="2"/>
      <c r="V28" s="7">
        <f t="shared" si="25"/>
        <v>0</v>
      </c>
      <c r="W28" s="2"/>
      <c r="X28" s="6">
        <f t="shared" si="26"/>
        <v>-1378.61</v>
      </c>
      <c r="Y28" s="2"/>
      <c r="Z28" s="7">
        <f t="shared" si="27"/>
        <v>-1</v>
      </c>
    </row>
    <row r="29" spans="1:26" s="29" customFormat="1" outlineLevel="1" collapsed="1" x14ac:dyDescent="0.3">
      <c r="A29" s="28"/>
      <c r="B29" s="14" t="str">
        <f>CONCATENATE("     ","Bank/card Fees                                    ")</f>
        <v xml:space="preserve">     Bank/card Fees                                    </v>
      </c>
      <c r="C29" s="14"/>
      <c r="D29" s="1">
        <f>SUM(OSRRefD22_2x_0)</f>
        <v>34.81</v>
      </c>
      <c r="E29" s="1"/>
      <c r="F29" s="5">
        <f t="shared" si="20"/>
        <v>2.3763687501706675E-2</v>
      </c>
      <c r="G29" s="1"/>
      <c r="H29" s="1">
        <f>SUM(OSRRefH22_2x_0)</f>
        <v>0</v>
      </c>
      <c r="I29" s="1"/>
      <c r="J29" s="5">
        <f t="shared" si="21"/>
        <v>0</v>
      </c>
      <c r="K29" s="1"/>
      <c r="L29" s="1">
        <f t="shared" si="22"/>
        <v>34.81</v>
      </c>
      <c r="M29" s="1"/>
      <c r="N29" s="5">
        <f t="shared" si="23"/>
        <v>0</v>
      </c>
      <c r="O29" s="14"/>
      <c r="P29" s="1">
        <f>SUM(OSRRefP22_2x_0)</f>
        <v>99.54</v>
      </c>
      <c r="Q29" s="1"/>
      <c r="R29" s="5">
        <f t="shared" si="24"/>
        <v>1.7372697951718072E-2</v>
      </c>
      <c r="S29" s="1"/>
      <c r="T29" s="1">
        <f>SUM(OSRRefT22_2x_0)</f>
        <v>0</v>
      </c>
      <c r="U29" s="1"/>
      <c r="V29" s="5">
        <f t="shared" si="25"/>
        <v>0</v>
      </c>
      <c r="W29" s="1"/>
      <c r="X29" s="1">
        <f t="shared" si="26"/>
        <v>99.54</v>
      </c>
      <c r="Y29" s="1"/>
      <c r="Z29" s="5">
        <f t="shared" si="27"/>
        <v>0</v>
      </c>
    </row>
    <row r="30" spans="1:26" s="24" customFormat="1" hidden="1" outlineLevel="2" x14ac:dyDescent="0.3">
      <c r="A30" s="27"/>
      <c r="B30" s="11" t="str">
        <f>CONCATENATE("          ", "6381", " - ", "BANK/CREDIT CARD FEES")</f>
        <v xml:space="preserve">          6381 - BANK/CREDIT CARD FEES</v>
      </c>
      <c r="C30" s="11"/>
      <c r="D30" s="6">
        <v>34.81</v>
      </c>
      <c r="E30" s="2"/>
      <c r="F30" s="7">
        <f t="shared" si="20"/>
        <v>2.3763687501706675E-2</v>
      </c>
      <c r="G30" s="2"/>
      <c r="H30" s="6"/>
      <c r="I30" s="2"/>
      <c r="J30" s="7">
        <f t="shared" si="21"/>
        <v>0</v>
      </c>
      <c r="K30" s="2"/>
      <c r="L30" s="6">
        <f t="shared" si="22"/>
        <v>34.81</v>
      </c>
      <c r="M30" s="2"/>
      <c r="N30" s="7">
        <f t="shared" si="23"/>
        <v>0</v>
      </c>
      <c r="O30" s="11"/>
      <c r="P30" s="6">
        <v>99.54</v>
      </c>
      <c r="Q30" s="2"/>
      <c r="R30" s="7">
        <f t="shared" si="24"/>
        <v>1.7372697951718072E-2</v>
      </c>
      <c r="S30" s="2"/>
      <c r="T30" s="6"/>
      <c r="U30" s="2"/>
      <c r="V30" s="7">
        <f t="shared" si="25"/>
        <v>0</v>
      </c>
      <c r="W30" s="2"/>
      <c r="X30" s="6">
        <f t="shared" si="26"/>
        <v>99.54</v>
      </c>
      <c r="Y30" s="2"/>
      <c r="Z30" s="7">
        <f t="shared" si="27"/>
        <v>0</v>
      </c>
    </row>
    <row r="31" spans="1:26" s="29" customFormat="1" outlineLevel="1" collapsed="1" x14ac:dyDescent="0.3">
      <c r="A31" s="28"/>
      <c r="B31" s="14" t="str">
        <f>CONCATENATE("     ","Depreciation                                      ")</f>
        <v xml:space="preserve">     Depreciation                                      </v>
      </c>
      <c r="C31" s="14"/>
      <c r="D31" s="1">
        <f>SUM(OSRRefD22_3x_0)</f>
        <v>1000.91</v>
      </c>
      <c r="E31" s="1"/>
      <c r="F31" s="5">
        <f t="shared" si="20"/>
        <v>0.68328964255481828</v>
      </c>
      <c r="G31" s="1"/>
      <c r="H31" s="1">
        <f>SUM(OSRRefH22_3x_0)</f>
        <v>1000.91</v>
      </c>
      <c r="I31" s="1"/>
      <c r="J31" s="5">
        <f t="shared" si="21"/>
        <v>0</v>
      </c>
      <c r="K31" s="1"/>
      <c r="L31" s="1">
        <f t="shared" si="22"/>
        <v>0</v>
      </c>
      <c r="M31" s="1"/>
      <c r="N31" s="5">
        <f t="shared" si="23"/>
        <v>0</v>
      </c>
      <c r="O31" s="14"/>
      <c r="P31" s="1">
        <f>SUM(OSRRefP22_3x_0)</f>
        <v>5004.55</v>
      </c>
      <c r="Q31" s="1"/>
      <c r="R31" s="5">
        <f t="shared" si="24"/>
        <v>0.87344319403526893</v>
      </c>
      <c r="S31" s="1"/>
      <c r="T31" s="1">
        <f>SUM(OSRRefT22_3x_0)</f>
        <v>5004.55</v>
      </c>
      <c r="U31" s="1"/>
      <c r="V31" s="5">
        <f t="shared" si="25"/>
        <v>0</v>
      </c>
      <c r="W31" s="1"/>
      <c r="X31" s="1">
        <f t="shared" si="26"/>
        <v>0</v>
      </c>
      <c r="Y31" s="1"/>
      <c r="Z31" s="5">
        <f t="shared" si="27"/>
        <v>0</v>
      </c>
    </row>
    <row r="32" spans="1:26" s="24" customFormat="1" hidden="1" outlineLevel="2" x14ac:dyDescent="0.3">
      <c r="A32" s="27"/>
      <c r="B32" s="11" t="str">
        <f>CONCATENATE("          ", "6322", " - ", "EQUIPMENT DEPRECIATION EXPENSE")</f>
        <v xml:space="preserve">          6322 - EQUIPMENT DEPRECIATION EXPENSE</v>
      </c>
      <c r="C32" s="11"/>
      <c r="D32" s="6">
        <v>1000.91</v>
      </c>
      <c r="E32" s="2"/>
      <c r="F32" s="7">
        <f t="shared" si="20"/>
        <v>0.68328964255481828</v>
      </c>
      <c r="G32" s="2"/>
      <c r="H32" s="6">
        <v>1000.91</v>
      </c>
      <c r="I32" s="2"/>
      <c r="J32" s="7">
        <f t="shared" si="21"/>
        <v>0</v>
      </c>
      <c r="K32" s="2"/>
      <c r="L32" s="6">
        <f t="shared" si="22"/>
        <v>0</v>
      </c>
      <c r="M32" s="2"/>
      <c r="N32" s="7">
        <f t="shared" si="23"/>
        <v>0</v>
      </c>
      <c r="O32" s="11"/>
      <c r="P32" s="6">
        <v>5004.55</v>
      </c>
      <c r="Q32" s="2"/>
      <c r="R32" s="7">
        <f t="shared" si="24"/>
        <v>0.87344319403526893</v>
      </c>
      <c r="S32" s="2"/>
      <c r="T32" s="6">
        <v>5004.55</v>
      </c>
      <c r="U32" s="2"/>
      <c r="V32" s="7">
        <f t="shared" si="25"/>
        <v>0</v>
      </c>
      <c r="W32" s="2"/>
      <c r="X32" s="6">
        <f t="shared" si="26"/>
        <v>0</v>
      </c>
      <c r="Y32" s="2"/>
      <c r="Z32" s="7">
        <f t="shared" si="27"/>
        <v>0</v>
      </c>
    </row>
    <row r="33" spans="1:26" s="29" customFormat="1" outlineLevel="1" collapsed="1" x14ac:dyDescent="0.3">
      <c r="A33" s="28"/>
      <c r="B33" s="14" t="str">
        <f>CONCATENATE("     ","General                                           ")</f>
        <v xml:space="preserve">     General                                           </v>
      </c>
      <c r="C33" s="14"/>
      <c r="D33" s="1">
        <f>SUM(OSRRefD22_4x_0)</f>
        <v>0</v>
      </c>
      <c r="E33" s="1"/>
      <c r="F33" s="5">
        <f t="shared" si="20"/>
        <v>0</v>
      </c>
      <c r="G33" s="1"/>
      <c r="H33" s="1">
        <f>SUM(OSRRefH22_4x_0)</f>
        <v>455</v>
      </c>
      <c r="I33" s="1"/>
      <c r="J33" s="5">
        <f t="shared" si="21"/>
        <v>0</v>
      </c>
      <c r="K33" s="1"/>
      <c r="L33" s="1">
        <f t="shared" si="22"/>
        <v>-455</v>
      </c>
      <c r="M33" s="1"/>
      <c r="N33" s="5">
        <f t="shared" si="23"/>
        <v>-1</v>
      </c>
      <c r="O33" s="14"/>
      <c r="P33" s="1">
        <f>SUM(OSRRefP22_4x_0)</f>
        <v>1755</v>
      </c>
      <c r="Q33" s="1"/>
      <c r="R33" s="5">
        <f t="shared" si="24"/>
        <v>0.30629982826266039</v>
      </c>
      <c r="S33" s="1"/>
      <c r="T33" s="1">
        <f>SUM(OSRRefT22_4x_0)</f>
        <v>455</v>
      </c>
      <c r="U33" s="1"/>
      <c r="V33" s="5">
        <f t="shared" si="25"/>
        <v>0</v>
      </c>
      <c r="W33" s="1"/>
      <c r="X33" s="1">
        <f t="shared" si="26"/>
        <v>1300</v>
      </c>
      <c r="Y33" s="1"/>
      <c r="Z33" s="5">
        <f t="shared" si="27"/>
        <v>2.8571428571428572</v>
      </c>
    </row>
    <row r="34" spans="1:26" s="24" customFormat="1" hidden="1" outlineLevel="2" x14ac:dyDescent="0.3">
      <c r="A34" s="27"/>
      <c r="B34" s="11" t="str">
        <f>CONCATENATE("          ", "6279", " - ", "GENERAL EXPENSE")</f>
        <v xml:space="preserve">          6279 - GENERAL EXPENSE</v>
      </c>
      <c r="C34" s="11"/>
      <c r="D34" s="6"/>
      <c r="E34" s="2"/>
      <c r="F34" s="7">
        <f t="shared" si="20"/>
        <v>0</v>
      </c>
      <c r="G34" s="2"/>
      <c r="H34" s="6">
        <v>455</v>
      </c>
      <c r="I34" s="2"/>
      <c r="J34" s="7">
        <f t="shared" si="21"/>
        <v>0</v>
      </c>
      <c r="K34" s="2"/>
      <c r="L34" s="6">
        <f t="shared" si="22"/>
        <v>-455</v>
      </c>
      <c r="M34" s="2"/>
      <c r="N34" s="7">
        <f t="shared" si="23"/>
        <v>-1</v>
      </c>
      <c r="O34" s="11"/>
      <c r="P34" s="6">
        <v>1755</v>
      </c>
      <c r="Q34" s="2"/>
      <c r="R34" s="7">
        <f t="shared" si="24"/>
        <v>0.30629982826266039</v>
      </c>
      <c r="S34" s="2"/>
      <c r="T34" s="6">
        <v>455</v>
      </c>
      <c r="U34" s="2"/>
      <c r="V34" s="7">
        <f t="shared" si="25"/>
        <v>0</v>
      </c>
      <c r="W34" s="2"/>
      <c r="X34" s="6">
        <f t="shared" si="26"/>
        <v>1300</v>
      </c>
      <c r="Y34" s="2"/>
      <c r="Z34" s="7">
        <f t="shared" si="27"/>
        <v>2.8571428571428572</v>
      </c>
    </row>
    <row r="35" spans="1:26" s="29" customFormat="1" outlineLevel="1" collapsed="1" x14ac:dyDescent="0.3">
      <c r="A35" s="28"/>
      <c r="B35" s="14" t="str">
        <f>CONCATENATE("     ","Repair and Maintenance                            ")</f>
        <v xml:space="preserve">     Repair and Maintenance                            </v>
      </c>
      <c r="C35" s="14"/>
      <c r="D35" s="1">
        <f>SUM(OSRRefD22_5x_0)</f>
        <v>0</v>
      </c>
      <c r="E35" s="1"/>
      <c r="F35" s="5">
        <f t="shared" si="20"/>
        <v>0</v>
      </c>
      <c r="G35" s="1"/>
      <c r="H35" s="1">
        <f>SUM(OSRRefH22_5x_0)</f>
        <v>6.23</v>
      </c>
      <c r="I35" s="1"/>
      <c r="J35" s="5">
        <f t="shared" si="21"/>
        <v>0</v>
      </c>
      <c r="K35" s="1"/>
      <c r="L35" s="1">
        <f t="shared" si="22"/>
        <v>-6.23</v>
      </c>
      <c r="M35" s="1"/>
      <c r="N35" s="5">
        <f t="shared" si="23"/>
        <v>-1</v>
      </c>
      <c r="O35" s="14"/>
      <c r="P35" s="1">
        <f>SUM(OSRRefP22_5x_0)</f>
        <v>0</v>
      </c>
      <c r="Q35" s="1"/>
      <c r="R35" s="5">
        <f t="shared" si="24"/>
        <v>0</v>
      </c>
      <c r="S35" s="1"/>
      <c r="T35" s="1">
        <f>SUM(OSRRefT22_5x_0)</f>
        <v>242.03</v>
      </c>
      <c r="U35" s="1"/>
      <c r="V35" s="5">
        <f t="shared" si="25"/>
        <v>0</v>
      </c>
      <c r="W35" s="1"/>
      <c r="X35" s="1">
        <f t="shared" si="26"/>
        <v>-242.03</v>
      </c>
      <c r="Y35" s="1"/>
      <c r="Z35" s="5">
        <f t="shared" si="27"/>
        <v>-1</v>
      </c>
    </row>
    <row r="36" spans="1:26" s="24" customFormat="1" hidden="1" outlineLevel="2" x14ac:dyDescent="0.3">
      <c r="A36" s="27"/>
      <c r="B36" s="11" t="str">
        <f>CONCATENATE("          ", "6373", " - ", "MAINTENANCE CONTRACTS")</f>
        <v xml:space="preserve">          6373 - MAINTENANCE CONTRACTS</v>
      </c>
      <c r="C36" s="11"/>
      <c r="D36" s="6"/>
      <c r="E36" s="2"/>
      <c r="F36" s="7">
        <f t="shared" si="20"/>
        <v>0</v>
      </c>
      <c r="G36" s="2"/>
      <c r="H36" s="6"/>
      <c r="I36" s="2"/>
      <c r="J36" s="7">
        <f t="shared" si="21"/>
        <v>0</v>
      </c>
      <c r="K36" s="2"/>
      <c r="L36" s="6">
        <f t="shared" si="22"/>
        <v>0</v>
      </c>
      <c r="M36" s="2"/>
      <c r="N36" s="7">
        <f t="shared" si="23"/>
        <v>0</v>
      </c>
      <c r="O36" s="11"/>
      <c r="P36" s="6"/>
      <c r="Q36" s="2"/>
      <c r="R36" s="7">
        <f t="shared" si="24"/>
        <v>0</v>
      </c>
      <c r="S36" s="2"/>
      <c r="T36" s="6">
        <v>235.8</v>
      </c>
      <c r="U36" s="2"/>
      <c r="V36" s="7">
        <f t="shared" si="25"/>
        <v>0</v>
      </c>
      <c r="W36" s="2"/>
      <c r="X36" s="6">
        <f t="shared" si="26"/>
        <v>-235.8</v>
      </c>
      <c r="Y36" s="2"/>
      <c r="Z36" s="7">
        <f t="shared" si="27"/>
        <v>-1</v>
      </c>
    </row>
    <row r="37" spans="1:26" s="24" customFormat="1" hidden="1" outlineLevel="2" x14ac:dyDescent="0.3">
      <c r="A37" s="27"/>
      <c r="B37" s="11" t="str">
        <f>CONCATENATE("          ", "6375", " - ", "OUTSIDE REPAIRS &amp; MAINTENANCE")</f>
        <v xml:space="preserve">          6375 - OUTSIDE REPAIRS &amp; MAINTENANCE</v>
      </c>
      <c r="C37" s="11"/>
      <c r="D37" s="6"/>
      <c r="E37" s="2"/>
      <c r="F37" s="7">
        <f t="shared" si="20"/>
        <v>0</v>
      </c>
      <c r="G37" s="2"/>
      <c r="H37" s="6">
        <v>6.23</v>
      </c>
      <c r="I37" s="2"/>
      <c r="J37" s="7">
        <f t="shared" si="21"/>
        <v>0</v>
      </c>
      <c r="K37" s="2"/>
      <c r="L37" s="6">
        <f t="shared" si="22"/>
        <v>-6.23</v>
      </c>
      <c r="M37" s="2"/>
      <c r="N37" s="7">
        <f t="shared" si="23"/>
        <v>-1</v>
      </c>
      <c r="O37" s="11"/>
      <c r="P37" s="6"/>
      <c r="Q37" s="2"/>
      <c r="R37" s="7">
        <f t="shared" si="24"/>
        <v>0</v>
      </c>
      <c r="S37" s="2"/>
      <c r="T37" s="6">
        <v>6.23</v>
      </c>
      <c r="U37" s="2"/>
      <c r="V37" s="7">
        <f t="shared" si="25"/>
        <v>0</v>
      </c>
      <c r="W37" s="2"/>
      <c r="X37" s="6">
        <f t="shared" si="26"/>
        <v>-6.23</v>
      </c>
      <c r="Y37" s="2"/>
      <c r="Z37" s="7">
        <f t="shared" si="27"/>
        <v>-1</v>
      </c>
    </row>
    <row r="38" spans="1:26" s="29" customFormat="1" outlineLevel="1" collapsed="1" x14ac:dyDescent="0.3">
      <c r="A38" s="28"/>
      <c r="B38" s="14" t="str">
        <f>CONCATENATE("     ","Royalty &amp; Commissions                             ")</f>
        <v xml:space="preserve">     Royalty &amp; Commissions                             </v>
      </c>
      <c r="C38" s="14"/>
      <c r="D38" s="1">
        <f>SUM(OSRRefD22_6x_0)</f>
        <v>366.22</v>
      </c>
      <c r="E38" s="1"/>
      <c r="F38" s="5">
        <f t="shared" ref="F38:F43" si="28">IF(D$12=0,0,D38/D$12)</f>
        <v>0.25000682668414304</v>
      </c>
      <c r="G38" s="1"/>
      <c r="H38" s="1">
        <f>SUM(OSRRefH22_6x_0)</f>
        <v>0</v>
      </c>
      <c r="I38" s="1"/>
      <c r="J38" s="5">
        <f t="shared" ref="J38:J43" si="29">IF(H$12=0,0,H38/H$12)</f>
        <v>0</v>
      </c>
      <c r="K38" s="1"/>
      <c r="L38" s="1">
        <f t="shared" ref="L38:L43" si="30">+D38-H38</f>
        <v>366.22</v>
      </c>
      <c r="M38" s="1"/>
      <c r="N38" s="5">
        <f t="shared" ref="N38:N43" si="31">IF(H38=0,0,L38/H38)</f>
        <v>0</v>
      </c>
      <c r="O38" s="14"/>
      <c r="P38" s="1">
        <f>SUM(OSRRefP22_6x_0)</f>
        <v>1432.44</v>
      </c>
      <c r="Q38" s="1"/>
      <c r="R38" s="5">
        <f t="shared" ref="R38:R43" si="32">IF(P$12=0,0,P38/P$12)</f>
        <v>0.25000349059633348</v>
      </c>
      <c r="S38" s="1"/>
      <c r="T38" s="1">
        <f>SUM(OSRRefT22_6x_0)</f>
        <v>0</v>
      </c>
      <c r="U38" s="1"/>
      <c r="V38" s="5">
        <f t="shared" ref="V38:V43" si="33">IF(T$12=0,0,T38/T$12)</f>
        <v>0</v>
      </c>
      <c r="W38" s="1"/>
      <c r="X38" s="1">
        <f t="shared" ref="X38:X43" si="34">+P38-T38</f>
        <v>1432.44</v>
      </c>
      <c r="Y38" s="1"/>
      <c r="Z38" s="5">
        <f t="shared" ref="Z38:Z43" si="35">IF(T38=0,0,X38/T38)</f>
        <v>0</v>
      </c>
    </row>
    <row r="39" spans="1:26" s="24" customFormat="1" hidden="1" outlineLevel="2" x14ac:dyDescent="0.3">
      <c r="A39" s="27"/>
      <c r="B39" s="11" t="str">
        <f>CONCATENATE("          ", "6254", " - ", "ROYALTY &amp; COMMISSIONS")</f>
        <v xml:space="preserve">          6254 - ROYALTY &amp; COMMISSIONS</v>
      </c>
      <c r="C39" s="11"/>
      <c r="D39" s="6">
        <v>366.22</v>
      </c>
      <c r="E39" s="2"/>
      <c r="F39" s="7">
        <f t="shared" si="28"/>
        <v>0.25000682668414304</v>
      </c>
      <c r="G39" s="2"/>
      <c r="H39" s="6"/>
      <c r="I39" s="2"/>
      <c r="J39" s="7">
        <f t="shared" si="29"/>
        <v>0</v>
      </c>
      <c r="K39" s="2"/>
      <c r="L39" s="6">
        <f t="shared" si="30"/>
        <v>366.22</v>
      </c>
      <c r="M39" s="2"/>
      <c r="N39" s="7">
        <f t="shared" si="31"/>
        <v>0</v>
      </c>
      <c r="O39" s="11"/>
      <c r="P39" s="6">
        <v>1432.44</v>
      </c>
      <c r="Q39" s="2"/>
      <c r="R39" s="7">
        <f t="shared" si="32"/>
        <v>0.25000349059633348</v>
      </c>
      <c r="S39" s="2"/>
      <c r="T39" s="6"/>
      <c r="U39" s="2"/>
      <c r="V39" s="7">
        <f t="shared" si="33"/>
        <v>0</v>
      </c>
      <c r="W39" s="2"/>
      <c r="X39" s="6">
        <f t="shared" si="34"/>
        <v>1432.44</v>
      </c>
      <c r="Y39" s="2"/>
      <c r="Z39" s="7">
        <f t="shared" si="35"/>
        <v>0</v>
      </c>
    </row>
    <row r="40" spans="1:26" s="29" customFormat="1" outlineLevel="1" collapsed="1" x14ac:dyDescent="0.3">
      <c r="A40" s="28"/>
      <c r="B40" s="14" t="str">
        <f>CONCATENATE("     ","Supplies                                          ")</f>
        <v xml:space="preserve">     Supplies                                          </v>
      </c>
      <c r="C40" s="14"/>
      <c r="D40" s="1">
        <f>SUM(OSRRefD22_7x_0)</f>
        <v>0</v>
      </c>
      <c r="E40" s="1"/>
      <c r="F40" s="5">
        <f t="shared" si="28"/>
        <v>0</v>
      </c>
      <c r="G40" s="1"/>
      <c r="H40" s="1">
        <f>SUM(OSRRefH22_7x_0)</f>
        <v>0</v>
      </c>
      <c r="I40" s="1"/>
      <c r="J40" s="5">
        <f t="shared" si="29"/>
        <v>0</v>
      </c>
      <c r="K40" s="1"/>
      <c r="L40" s="1">
        <f t="shared" si="30"/>
        <v>0</v>
      </c>
      <c r="M40" s="1"/>
      <c r="N40" s="5">
        <f t="shared" si="31"/>
        <v>0</v>
      </c>
      <c r="O40" s="14"/>
      <c r="P40" s="1">
        <f>SUM(OSRRefP22_7x_0)</f>
        <v>116.26</v>
      </c>
      <c r="Q40" s="1"/>
      <c r="R40" s="5">
        <f t="shared" si="32"/>
        <v>2.0290836486505353E-2</v>
      </c>
      <c r="S40" s="1"/>
      <c r="T40" s="1">
        <f>SUM(OSRRefT22_7x_0)</f>
        <v>0</v>
      </c>
      <c r="U40" s="1"/>
      <c r="V40" s="5">
        <f t="shared" si="33"/>
        <v>0</v>
      </c>
      <c r="W40" s="1"/>
      <c r="X40" s="1">
        <f t="shared" si="34"/>
        <v>116.26</v>
      </c>
      <c r="Y40" s="1"/>
      <c r="Z40" s="5">
        <f t="shared" si="35"/>
        <v>0</v>
      </c>
    </row>
    <row r="41" spans="1:26" s="24" customFormat="1" hidden="1" outlineLevel="2" x14ac:dyDescent="0.3">
      <c r="A41" s="27"/>
      <c r="B41" s="11" t="str">
        <f>CONCATENATE("          ", "6243", " - ", "PAPER SUPPLIES")</f>
        <v xml:space="preserve">          6243 - PAPER SUPPLIES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116.26</v>
      </c>
      <c r="Q41" s="2"/>
      <c r="R41" s="7">
        <f t="shared" si="32"/>
        <v>2.0290836486505353E-2</v>
      </c>
      <c r="S41" s="2"/>
      <c r="T41" s="6"/>
      <c r="U41" s="2"/>
      <c r="V41" s="7">
        <f t="shared" si="33"/>
        <v>0</v>
      </c>
      <c r="W41" s="2"/>
      <c r="X41" s="6">
        <f t="shared" si="34"/>
        <v>116.26</v>
      </c>
      <c r="Y41" s="2"/>
      <c r="Z41" s="7">
        <f t="shared" si="35"/>
        <v>0</v>
      </c>
    </row>
    <row r="42" spans="1:26" s="29" customFormat="1" outlineLevel="1" collapsed="1" x14ac:dyDescent="0.3">
      <c r="A42" s="28"/>
      <c r="B42" s="14" t="str">
        <f>CONCATENATE("     ","Telephone/Data Lines                              ")</f>
        <v xml:space="preserve">     Telephone/Data Lines                              </v>
      </c>
      <c r="C42" s="14"/>
      <c r="D42" s="1">
        <f>SUM(OSRRefD22_8x_0)</f>
        <v>0</v>
      </c>
      <c r="E42" s="1"/>
      <c r="F42" s="5">
        <f t="shared" si="28"/>
        <v>0</v>
      </c>
      <c r="G42" s="1"/>
      <c r="H42" s="1">
        <f>SUM(OSRRefH22_8x_0)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SUM(OSRRefP22_8x_0)</f>
        <v>0</v>
      </c>
      <c r="Q42" s="1"/>
      <c r="R42" s="5">
        <f t="shared" si="32"/>
        <v>0</v>
      </c>
      <c r="S42" s="1"/>
      <c r="T42" s="1">
        <f>SUM(OSRRefT22_8x_0)</f>
        <v>132.54</v>
      </c>
      <c r="U42" s="1"/>
      <c r="V42" s="5">
        <f t="shared" si="33"/>
        <v>0</v>
      </c>
      <c r="W42" s="1"/>
      <c r="X42" s="1">
        <f t="shared" si="34"/>
        <v>-132.54</v>
      </c>
      <c r="Y42" s="1"/>
      <c r="Z42" s="5">
        <f t="shared" si="35"/>
        <v>-1</v>
      </c>
    </row>
    <row r="43" spans="1:26" s="24" customFormat="1" hidden="1" outlineLevel="2" x14ac:dyDescent="0.3">
      <c r="A43" s="27"/>
      <c r="B43" s="11" t="str">
        <f>CONCATENATE("          ", "6309", " - ", "TELEPHONE")</f>
        <v xml:space="preserve">          6309 - TELEPHONE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132.54</v>
      </c>
      <c r="U43" s="2"/>
      <c r="V43" s="7">
        <f t="shared" si="33"/>
        <v>0</v>
      </c>
      <c r="W43" s="2"/>
      <c r="X43" s="6">
        <f t="shared" si="34"/>
        <v>-132.54</v>
      </c>
      <c r="Y43" s="2"/>
      <c r="Z43" s="7">
        <f t="shared" si="35"/>
        <v>-1</v>
      </c>
    </row>
    <row r="44" spans="1:26" s="62" customFormat="1" x14ac:dyDescent="0.3">
      <c r="A44" s="37"/>
      <c r="B44" s="37"/>
      <c r="C44" s="37"/>
      <c r="D44" s="1"/>
      <c r="E44" s="1"/>
      <c r="F44" s="5"/>
      <c r="G44" s="1"/>
      <c r="H44" s="1"/>
      <c r="I44" s="1"/>
      <c r="J44" s="5"/>
      <c r="K44" s="1"/>
      <c r="L44" s="1"/>
      <c r="M44" s="1"/>
      <c r="N44" s="5"/>
      <c r="O44" s="37"/>
      <c r="P44" s="1"/>
      <c r="Q44" s="1"/>
      <c r="R44" s="5"/>
      <c r="S44" s="1"/>
      <c r="T44" s="1"/>
      <c r="U44" s="1"/>
      <c r="V44" s="5"/>
      <c r="W44" s="1"/>
      <c r="X44" s="1"/>
      <c r="Y44" s="1"/>
      <c r="Z44" s="5"/>
    </row>
    <row r="45" spans="1:26" s="23" customFormat="1" x14ac:dyDescent="0.3">
      <c r="A45" s="10"/>
      <c r="B45" s="26" t="s">
        <v>292</v>
      </c>
      <c r="C45" s="10"/>
      <c r="D45" s="4">
        <f>SUM(0)</f>
        <v>0</v>
      </c>
      <c r="E45" s="4"/>
      <c r="F45" s="12">
        <f>IF(D$12=0,0,D45/D$12)</f>
        <v>0</v>
      </c>
      <c r="G45" s="4"/>
      <c r="H45" s="4">
        <f>SUM(0)</f>
        <v>0</v>
      </c>
      <c r="I45" s="4"/>
      <c r="J45" s="12">
        <f>IF(H$12=0,0,H45/H$12)</f>
        <v>0</v>
      </c>
      <c r="K45" s="4"/>
      <c r="L45" s="4">
        <f>+D45-H45</f>
        <v>0</v>
      </c>
      <c r="M45" s="4"/>
      <c r="N45" s="12">
        <f>IF(H45=0,0,L45/H45)</f>
        <v>0</v>
      </c>
      <c r="O45" s="10"/>
      <c r="P45" s="4">
        <f>SUM(0)</f>
        <v>0</v>
      </c>
      <c r="Q45" s="4"/>
      <c r="R45" s="12">
        <f>IF(P$12=0,0,P45/P$12)</f>
        <v>0</v>
      </c>
      <c r="S45" s="4"/>
      <c r="T45" s="4">
        <f>SUM(0)</f>
        <v>0</v>
      </c>
      <c r="U45" s="4"/>
      <c r="V45" s="12">
        <f>IF(T$12=0,0,T45/T$12)</f>
        <v>0</v>
      </c>
      <c r="W45" s="4"/>
      <c r="X45" s="4">
        <f>+P45-T45</f>
        <v>0</v>
      </c>
      <c r="Y45" s="4"/>
      <c r="Z45" s="12">
        <f>IF(T45=0,0,X45/T45)</f>
        <v>0</v>
      </c>
    </row>
    <row r="46" spans="1:26" x14ac:dyDescent="0.3">
      <c r="A46" s="9"/>
      <c r="B46" s="10"/>
      <c r="C46" s="10"/>
      <c r="D46" s="3"/>
      <c r="E46" s="3"/>
      <c r="F46" s="8"/>
      <c r="G46" s="3"/>
      <c r="H46" s="3"/>
      <c r="I46" s="3"/>
      <c r="J46" s="8"/>
      <c r="K46" s="3"/>
      <c r="L46" s="3"/>
      <c r="M46" s="3"/>
      <c r="N46" s="8"/>
      <c r="O46" s="10"/>
      <c r="P46" s="3"/>
      <c r="Q46" s="3"/>
      <c r="R46" s="8"/>
      <c r="S46" s="3"/>
      <c r="T46" s="3"/>
      <c r="U46" s="3"/>
      <c r="V46" s="8"/>
      <c r="W46" s="3"/>
      <c r="X46" s="3"/>
      <c r="Y46" s="3"/>
      <c r="Z46" s="8"/>
    </row>
    <row r="47" spans="1:26" s="23" customFormat="1" x14ac:dyDescent="0.3">
      <c r="A47" s="10"/>
      <c r="B47" s="25" t="s">
        <v>276</v>
      </c>
      <c r="C47" s="25"/>
      <c r="D47" s="21">
        <f>+D18-D20+D45</f>
        <v>-60.580000000000155</v>
      </c>
      <c r="E47" s="13"/>
      <c r="F47" s="22">
        <f>IF(D$12=0,0,D47/D$12)</f>
        <v>-4.135605253816127E-2</v>
      </c>
      <c r="G47" s="13"/>
      <c r="H47" s="21">
        <f>+H18-H20+H45</f>
        <v>-1462.8899999999999</v>
      </c>
      <c r="I47" s="13"/>
      <c r="J47" s="22">
        <f>IF(H$12=0,0,H47/H$12)</f>
        <v>0</v>
      </c>
      <c r="K47" s="16"/>
      <c r="L47" s="21">
        <f>+D47-H47</f>
        <v>1402.3099999999997</v>
      </c>
      <c r="M47" s="16"/>
      <c r="N47" s="22">
        <f>IF(H47=0,0,L47/H47)</f>
        <v>-0.95858882075890861</v>
      </c>
      <c r="O47" s="26"/>
      <c r="P47" s="21">
        <f>+P18-P20+P45</f>
        <v>-8748.880000000001</v>
      </c>
      <c r="Q47" s="13"/>
      <c r="R47" s="22">
        <f>IF(P$12=0,0,P47/P$12)</f>
        <v>-1.5269404225017804</v>
      </c>
      <c r="S47" s="13"/>
      <c r="T47" s="21">
        <f>+T18-T20+T45</f>
        <v>-8633.23</v>
      </c>
      <c r="U47" s="13"/>
      <c r="V47" s="22">
        <f>IF(T$12=0,0,T47/T$12)</f>
        <v>0</v>
      </c>
      <c r="W47" s="16"/>
      <c r="X47" s="21">
        <f>+P47-T47</f>
        <v>-115.65000000000146</v>
      </c>
      <c r="Y47" s="16"/>
      <c r="Z47" s="22">
        <f>IF(T47=0,0,X47/T47)</f>
        <v>1.3395913232938478E-2</v>
      </c>
    </row>
    <row r="48" spans="1:26" x14ac:dyDescent="0.3">
      <c r="A48" s="9"/>
      <c r="B48" s="10"/>
      <c r="C48" s="9"/>
      <c r="D48" s="3"/>
      <c r="E48" s="3"/>
      <c r="F48" s="8"/>
      <c r="G48" s="3"/>
      <c r="H48" s="3"/>
      <c r="I48" s="3"/>
      <c r="J48" s="8"/>
      <c r="K48" s="3"/>
      <c r="L48" s="3"/>
      <c r="M48" s="3"/>
      <c r="N48" s="8"/>
      <c r="P48" s="3"/>
      <c r="Q48" s="3"/>
      <c r="R48" s="8"/>
      <c r="S48" s="3"/>
      <c r="T48" s="3"/>
      <c r="U48" s="3"/>
      <c r="V48" s="8"/>
      <c r="W48" s="3"/>
      <c r="X48" s="3"/>
      <c r="Y48" s="3"/>
      <c r="Z48" s="8"/>
    </row>
    <row r="49" spans="1:26" s="23" customFormat="1" x14ac:dyDescent="0.3">
      <c r="A49" s="51"/>
      <c r="B49" s="10" t="s">
        <v>127</v>
      </c>
      <c r="C49" s="10"/>
      <c r="D49" s="4">
        <v>189.49</v>
      </c>
      <c r="E49" s="4"/>
      <c r="F49" s="12">
        <f>IF(D$12=0,0,D49/D$12)</f>
        <v>0.12935883782529151</v>
      </c>
      <c r="G49" s="4"/>
      <c r="H49" s="4"/>
      <c r="I49" s="4"/>
      <c r="J49" s="12">
        <f>IF(H$12=0,0,H49/H$12)</f>
        <v>0</v>
      </c>
      <c r="K49" s="4"/>
      <c r="L49" s="4">
        <f>+D49-H49</f>
        <v>189.49</v>
      </c>
      <c r="M49" s="4"/>
      <c r="N49" s="12">
        <f>IF(H49=0,0,L49/H49)</f>
        <v>0</v>
      </c>
      <c r="O49" s="10"/>
      <c r="P49" s="4">
        <v>682.47</v>
      </c>
      <c r="Q49" s="4"/>
      <c r="R49" s="12">
        <f>IF(P$12=0,0,P49/P$12)</f>
        <v>0.11911136398542327</v>
      </c>
      <c r="S49" s="4"/>
      <c r="T49" s="4"/>
      <c r="U49" s="4"/>
      <c r="V49" s="12">
        <f>IF(T$12=0,0,T49/T$12)</f>
        <v>0</v>
      </c>
      <c r="W49" s="4"/>
      <c r="X49" s="4">
        <f>+P49-T49</f>
        <v>682.47</v>
      </c>
      <c r="Y49" s="4"/>
      <c r="Z49" s="12">
        <f>IF(T49=0,0,X49/T49)</f>
        <v>0</v>
      </c>
    </row>
    <row r="50" spans="1:26" x14ac:dyDescent="0.3">
      <c r="A50" s="9"/>
      <c r="B50" s="10"/>
      <c r="C50" s="10"/>
      <c r="D50" s="3"/>
      <c r="E50" s="3"/>
      <c r="F50" s="8"/>
      <c r="G50" s="3"/>
      <c r="H50" s="3"/>
      <c r="I50" s="3"/>
      <c r="J50" s="8"/>
      <c r="K50" s="3"/>
      <c r="L50" s="3"/>
      <c r="M50" s="3"/>
      <c r="N50" s="8"/>
      <c r="O50" s="10"/>
      <c r="P50" s="3"/>
      <c r="Q50" s="3"/>
      <c r="R50" s="8"/>
      <c r="S50" s="3"/>
      <c r="T50" s="3"/>
      <c r="U50" s="3"/>
      <c r="V50" s="8"/>
      <c r="W50" s="3"/>
      <c r="X50" s="3"/>
      <c r="Y50" s="3"/>
      <c r="Z50" s="8"/>
    </row>
    <row r="51" spans="1:26" s="23" customFormat="1" ht="15" thickBot="1" x14ac:dyDescent="0.35">
      <c r="A51" s="10"/>
      <c r="B51" s="25" t="s">
        <v>125</v>
      </c>
      <c r="C51" s="25"/>
      <c r="D51" s="35">
        <f>+D47-D49</f>
        <v>-250.07000000000016</v>
      </c>
      <c r="E51" s="13"/>
      <c r="F51" s="31">
        <f>IF(D$12=0,0,D51/D$12)</f>
        <v>-0.17071489036345278</v>
      </c>
      <c r="G51" s="13"/>
      <c r="H51" s="35">
        <f>+H47-H49</f>
        <v>-1462.8899999999999</v>
      </c>
      <c r="I51" s="13"/>
      <c r="J51" s="31">
        <f>IF(H$12=0,0,H51/H$12)</f>
        <v>0</v>
      </c>
      <c r="K51" s="16"/>
      <c r="L51" s="35">
        <f>D51-H51</f>
        <v>1212.8199999999997</v>
      </c>
      <c r="M51" s="16"/>
      <c r="N51" s="31">
        <f>IF(H51=0,0,L51/H51)</f>
        <v>-0.82905755046517493</v>
      </c>
      <c r="O51" s="26"/>
      <c r="P51" s="35">
        <f>+P47-P49</f>
        <v>-9431.35</v>
      </c>
      <c r="Q51" s="13"/>
      <c r="R51" s="31">
        <f>IF(P$12=0,0,P51/P$12)</f>
        <v>-1.6460517864872035</v>
      </c>
      <c r="S51" s="13"/>
      <c r="T51" s="35">
        <f>+T47-T49</f>
        <v>-8633.23</v>
      </c>
      <c r="U51" s="13"/>
      <c r="V51" s="31">
        <f>IF(T$12=0,0,T51/T$12)</f>
        <v>0</v>
      </c>
      <c r="W51" s="16"/>
      <c r="X51" s="35">
        <f>P51-T51</f>
        <v>-798.1200000000008</v>
      </c>
      <c r="Y51" s="16"/>
      <c r="Z51" s="31">
        <f>IF(T51=0,0,X51/T51)</f>
        <v>9.2447438560075521E-2</v>
      </c>
    </row>
    <row r="52" spans="1:26" ht="15" thickTop="1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x14ac:dyDescent="0.3">
      <c r="A53" s="9"/>
      <c r="B53" s="9"/>
      <c r="C53" s="9"/>
      <c r="D53" s="3"/>
      <c r="E53" s="3"/>
      <c r="F53" s="8"/>
      <c r="G53" s="3"/>
      <c r="H53" s="3"/>
      <c r="I53" s="3"/>
      <c r="J53" s="8"/>
      <c r="K53" s="3"/>
      <c r="L53" s="3"/>
      <c r="M53" s="3"/>
      <c r="N53" s="8"/>
      <c r="P53" s="3"/>
      <c r="Q53" s="3"/>
      <c r="R53" s="8"/>
      <c r="S53" s="3"/>
      <c r="T53" s="3"/>
      <c r="U53" s="3"/>
      <c r="V53" s="8"/>
      <c r="W53" s="3"/>
      <c r="X53" s="3"/>
      <c r="Y53" s="3"/>
      <c r="Z53" s="8"/>
    </row>
    <row r="54" spans="1:26" s="23" customFormat="1" ht="15" thickBot="1" x14ac:dyDescent="0.35">
      <c r="A54" s="10"/>
      <c r="B54" s="25" t="s">
        <v>293</v>
      </c>
      <c r="C54" s="25"/>
      <c r="D54" s="36">
        <f>SUM(D51:D53)</f>
        <v>-250.07000000000016</v>
      </c>
      <c r="E54" s="13"/>
      <c r="F54" s="33">
        <f>IF(D$12=0,0,D54/D$12)</f>
        <v>-0.17071489036345278</v>
      </c>
      <c r="G54" s="13"/>
      <c r="H54" s="36">
        <f>SUM(H51:H53)</f>
        <v>-1462.8899999999999</v>
      </c>
      <c r="I54" s="13"/>
      <c r="J54" s="33">
        <f>IF(H$12=0,0,H54/H$12)</f>
        <v>0</v>
      </c>
      <c r="K54" s="16"/>
      <c r="L54" s="36">
        <f>+D54-H54</f>
        <v>1212.8199999999997</v>
      </c>
      <c r="M54" s="16"/>
      <c r="N54" s="33">
        <f>IF(H54=0,0,L54/H54)</f>
        <v>-0.82905755046517493</v>
      </c>
      <c r="O54" s="26"/>
      <c r="P54" s="36">
        <f>SUM(P51:P53)</f>
        <v>-9431.35</v>
      </c>
      <c r="Q54" s="13"/>
      <c r="R54" s="33">
        <f>IF(P$12=0,0,P54/P$12)</f>
        <v>-1.6460517864872035</v>
      </c>
      <c r="S54" s="13"/>
      <c r="T54" s="36">
        <f>SUM(T51:T53)</f>
        <v>-8633.23</v>
      </c>
      <c r="U54" s="13"/>
      <c r="V54" s="33">
        <f>IF(T$12=0,0,T54/T$12)</f>
        <v>0</v>
      </c>
      <c r="W54" s="16"/>
      <c r="X54" s="36">
        <f>+P54-T54</f>
        <v>-798.1200000000008</v>
      </c>
      <c r="Y54" s="16"/>
      <c r="Z54" s="33">
        <f>IF(T54=0,0,X54/T54)</f>
        <v>9.2447438560075521E-2</v>
      </c>
    </row>
    <row r="55" spans="1:26" ht="15" thickTop="1" x14ac:dyDescent="0.3">
      <c r="A55" s="9"/>
      <c r="C55" s="9"/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2">
        <v>44543.765594675926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59" t="s">
        <v>56</v>
      </c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A58" s="9"/>
      <c r="B58" s="61"/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  <row r="59" spans="1:26" x14ac:dyDescent="0.3">
      <c r="D59" s="17"/>
      <c r="E59" s="17"/>
      <c r="G59" s="17"/>
      <c r="H59" s="17"/>
      <c r="I59" s="17"/>
      <c r="J59" s="42"/>
      <c r="K59" s="17"/>
      <c r="L59" s="17"/>
      <c r="M59" s="17"/>
      <c r="P59" s="17"/>
      <c r="Q59" s="17"/>
      <c r="R59" s="42"/>
      <c r="S59" s="17"/>
      <c r="T59" s="17"/>
      <c r="U59" s="17"/>
      <c r="V59" s="42"/>
      <c r="W59" s="17"/>
      <c r="X59" s="17"/>
    </row>
  </sheetData>
  <pageMargins left="0.25" right="0.25" top="0.75" bottom="0.75" header="0.3" footer="0.3"/>
  <pageSetup scale="55" fitToWidth="2" orientation="landscape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1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","455", " - ", "Vending (old)")</f>
        <v>Department 455 - Vending (old)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SUM(0)</f>
        <v>0</v>
      </c>
      <c r="E18" s="20"/>
      <c r="F18" s="32">
        <f>IF(D$12=0,0,D18/D$12)</f>
        <v>0</v>
      </c>
      <c r="G18" s="20"/>
      <c r="H18" s="20">
        <f>SUM(0)</f>
        <v>0</v>
      </c>
      <c r="I18" s="20"/>
      <c r="J18" s="32">
        <f>IF(H$12=0,0,H18/H$12)</f>
        <v>0</v>
      </c>
      <c r="K18" s="4"/>
      <c r="L18" s="20">
        <f>+D18-H18</f>
        <v>0</v>
      </c>
      <c r="M18" s="4"/>
      <c r="N18" s="32">
        <f>IF(H18=0,0,L18/H18)</f>
        <v>0</v>
      </c>
      <c r="O18" s="10"/>
      <c r="P18" s="20">
        <f>SUM(0)</f>
        <v>0</v>
      </c>
      <c r="Q18" s="20"/>
      <c r="R18" s="32">
        <f>IF(P$12=0,0,P18/P$12)</f>
        <v>0</v>
      </c>
      <c r="S18" s="20"/>
      <c r="T18" s="20">
        <f>SUM(0)</f>
        <v>0</v>
      </c>
      <c r="U18" s="20"/>
      <c r="V18" s="32">
        <f>IF(T$12=0,0,T18/T$12)</f>
        <v>0</v>
      </c>
      <c r="W18" s="4"/>
      <c r="X18" s="20">
        <f>+P18-T18</f>
        <v>0</v>
      </c>
      <c r="Y18" s="4"/>
      <c r="Z18" s="32">
        <f>IF(T18=0,0,X18/T18)</f>
        <v>0</v>
      </c>
    </row>
    <row r="19" spans="1:26" s="62" customFormat="1" x14ac:dyDescent="0.3">
      <c r="A19" s="37"/>
      <c r="B19" s="37"/>
      <c r="C19" s="37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collapsed="1" x14ac:dyDescent="0.3">
      <c r="A20" s="10"/>
      <c r="B20" s="26" t="s">
        <v>292</v>
      </c>
      <c r="C20" s="10"/>
      <c r="D20" s="4">
        <f>SUM(OSRRefD25x_0)</f>
        <v>0</v>
      </c>
      <c r="E20" s="4"/>
      <c r="F20" s="12">
        <f t="shared" ref="F20:F22" si="0">IF(D$12=0,0,D20/D$12)</f>
        <v>0</v>
      </c>
      <c r="G20" s="4"/>
      <c r="H20" s="4">
        <f>SUM(OSRRefH25x_0)</f>
        <v>173.47</v>
      </c>
      <c r="I20" s="4"/>
      <c r="J20" s="12">
        <f t="shared" ref="J20:J22" si="1">IF(H$12=0,0,H20/H$12)</f>
        <v>0</v>
      </c>
      <c r="K20" s="4"/>
      <c r="L20" s="4">
        <f t="shared" ref="L20:L22" si="2">+D20-H20</f>
        <v>-173.47</v>
      </c>
      <c r="M20" s="4"/>
      <c r="N20" s="12">
        <f t="shared" ref="N20:N22" si="3">IF(H20=0,0,L20/H20)</f>
        <v>-1</v>
      </c>
      <c r="O20" s="10"/>
      <c r="P20" s="4">
        <f>SUM(OSRRefP25x_0)</f>
        <v>0</v>
      </c>
      <c r="Q20" s="4"/>
      <c r="R20" s="12">
        <f t="shared" ref="R20:R22" si="4">IF(P$12=0,0,P20/P$12)</f>
        <v>0</v>
      </c>
      <c r="S20" s="4"/>
      <c r="T20" s="4">
        <f>SUM(OSRRefT25x_0)</f>
        <v>2700.47</v>
      </c>
      <c r="U20" s="4"/>
      <c r="V20" s="12">
        <f t="shared" ref="V20:V22" si="5">IF(T$12=0,0,T20/T$12)</f>
        <v>0</v>
      </c>
      <c r="W20" s="4"/>
      <c r="X20" s="4">
        <f t="shared" ref="X20:X22" si="6">+P20-T20</f>
        <v>-2700.47</v>
      </c>
      <c r="Y20" s="4"/>
      <c r="Z20" s="12">
        <f t="shared" ref="Z20:Z22" si="7">IF(T20=0,0,X20/T20)</f>
        <v>-1</v>
      </c>
    </row>
    <row r="21" spans="1:26" s="24" customFormat="1" hidden="1" outlineLevel="1" x14ac:dyDescent="0.3">
      <c r="A21" s="44"/>
      <c r="B21" s="11" t="str">
        <f>CONCATENATE("          ", "9160", " - ", "MISC. INCOME")</f>
        <v xml:space="preserve">          9160 - MISC. INCOME</v>
      </c>
      <c r="C21" s="11"/>
      <c r="D21" s="2">
        <f t="shared" ref="D21:D22" si="8">0</f>
        <v>0</v>
      </c>
      <c r="E21" s="2"/>
      <c r="F21" s="19">
        <f t="shared" si="0"/>
        <v>0</v>
      </c>
      <c r="G21" s="2"/>
      <c r="H21" s="2">
        <f>0</f>
        <v>0</v>
      </c>
      <c r="I21" s="2"/>
      <c r="J21" s="19">
        <f t="shared" si="1"/>
        <v>0</v>
      </c>
      <c r="K21" s="2"/>
      <c r="L21" s="2">
        <f t="shared" si="2"/>
        <v>0</v>
      </c>
      <c r="M21" s="2"/>
      <c r="N21" s="19">
        <f t="shared" si="3"/>
        <v>0</v>
      </c>
      <c r="O21" s="11"/>
      <c r="P21" s="2">
        <f t="shared" ref="P21:P22" si="9">0</f>
        <v>0</v>
      </c>
      <c r="Q21" s="2"/>
      <c r="R21" s="19">
        <f t="shared" si="4"/>
        <v>0</v>
      </c>
      <c r="S21" s="2"/>
      <c r="T21" s="2">
        <f>--1701.82</f>
        <v>1701.82</v>
      </c>
      <c r="U21" s="2"/>
      <c r="V21" s="19">
        <f t="shared" si="5"/>
        <v>0</v>
      </c>
      <c r="W21" s="2"/>
      <c r="X21" s="2">
        <f t="shared" si="6"/>
        <v>-1701.82</v>
      </c>
      <c r="Y21" s="2"/>
      <c r="Z21" s="19">
        <f t="shared" si="7"/>
        <v>-1</v>
      </c>
    </row>
    <row r="22" spans="1:26" s="24" customFormat="1" hidden="1" outlineLevel="1" x14ac:dyDescent="0.3">
      <c r="A22" s="44"/>
      <c r="B22" s="11" t="str">
        <f>CONCATENATE("          ", "9165", " - ", "OTHER INCOME")</f>
        <v xml:space="preserve">          9165 - OTHER INCOME</v>
      </c>
      <c r="C22" s="11"/>
      <c r="D22" s="2">
        <f t="shared" si="8"/>
        <v>0</v>
      </c>
      <c r="E22" s="2"/>
      <c r="F22" s="19">
        <f t="shared" si="0"/>
        <v>0</v>
      </c>
      <c r="G22" s="2"/>
      <c r="H22" s="2">
        <f>--173.47</f>
        <v>173.47</v>
      </c>
      <c r="I22" s="2"/>
      <c r="J22" s="19">
        <f t="shared" si="1"/>
        <v>0</v>
      </c>
      <c r="K22" s="2"/>
      <c r="L22" s="2">
        <f t="shared" si="2"/>
        <v>-173.47</v>
      </c>
      <c r="M22" s="2"/>
      <c r="N22" s="19">
        <f t="shared" si="3"/>
        <v>-1</v>
      </c>
      <c r="O22" s="11"/>
      <c r="P22" s="2">
        <f t="shared" si="9"/>
        <v>0</v>
      </c>
      <c r="Q22" s="2"/>
      <c r="R22" s="19">
        <f t="shared" si="4"/>
        <v>0</v>
      </c>
      <c r="S22" s="2"/>
      <c r="T22" s="2">
        <f>--998.65</f>
        <v>998.65</v>
      </c>
      <c r="U22" s="2"/>
      <c r="V22" s="19">
        <f t="shared" si="5"/>
        <v>0</v>
      </c>
      <c r="W22" s="2"/>
      <c r="X22" s="2">
        <f t="shared" si="6"/>
        <v>-998.65</v>
      </c>
      <c r="Y22" s="2"/>
      <c r="Z22" s="19">
        <f t="shared" si="7"/>
        <v>-1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5" t="s">
        <v>276</v>
      </c>
      <c r="C24" s="25"/>
      <c r="D24" s="21">
        <f>+D16-D18+D20</f>
        <v>0</v>
      </c>
      <c r="E24" s="13"/>
      <c r="F24" s="22">
        <f>IF(D$12=0,0,D24/D$12)</f>
        <v>0</v>
      </c>
      <c r="G24" s="13"/>
      <c r="H24" s="21">
        <f>+H16-H18+H20</f>
        <v>173.47</v>
      </c>
      <c r="I24" s="13"/>
      <c r="J24" s="22">
        <f>IF(H$12=0,0,H24/H$12)</f>
        <v>0</v>
      </c>
      <c r="K24" s="16"/>
      <c r="L24" s="21">
        <f>+D24-H24</f>
        <v>-173.47</v>
      </c>
      <c r="M24" s="16"/>
      <c r="N24" s="22">
        <f>IF(H24=0,0,L24/H24)</f>
        <v>-1</v>
      </c>
      <c r="O24" s="26"/>
      <c r="P24" s="21">
        <f>+P16-P18+P20</f>
        <v>0</v>
      </c>
      <c r="Q24" s="13"/>
      <c r="R24" s="22">
        <f>IF(P$12=0,0,P24/P$12)</f>
        <v>0</v>
      </c>
      <c r="S24" s="13"/>
      <c r="T24" s="21">
        <f>+T16-T18+T20</f>
        <v>2700.47</v>
      </c>
      <c r="U24" s="13"/>
      <c r="V24" s="22">
        <f>IF(T$12=0,0,T24/T$12)</f>
        <v>0</v>
      </c>
      <c r="W24" s="16"/>
      <c r="X24" s="21">
        <f>+P24-T24</f>
        <v>-2700.47</v>
      </c>
      <c r="Y24" s="16"/>
      <c r="Z24" s="22">
        <f>IF(T24=0,0,X24/T24)</f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5" t="s">
        <v>125</v>
      </c>
      <c r="C28" s="25"/>
      <c r="D28" s="35">
        <f>+D24-D26</f>
        <v>0</v>
      </c>
      <c r="E28" s="13"/>
      <c r="F28" s="31">
        <f>IF(D$12=0,0,D28/D$12)</f>
        <v>0</v>
      </c>
      <c r="G28" s="13"/>
      <c r="H28" s="35">
        <f>+H24-H26</f>
        <v>173.47</v>
      </c>
      <c r="I28" s="13"/>
      <c r="J28" s="31">
        <f>IF(H$12=0,0,H28/H$12)</f>
        <v>0</v>
      </c>
      <c r="K28" s="16"/>
      <c r="L28" s="35">
        <f>D28-H28</f>
        <v>-173.47</v>
      </c>
      <c r="M28" s="16"/>
      <c r="N28" s="31">
        <f>IF(H28=0,0,L28/H28)</f>
        <v>-1</v>
      </c>
      <c r="O28" s="26"/>
      <c r="P28" s="35">
        <f>+P24-P26</f>
        <v>0</v>
      </c>
      <c r="Q28" s="13"/>
      <c r="R28" s="31">
        <f>IF(P$12=0,0,P28/P$12)</f>
        <v>0</v>
      </c>
      <c r="S28" s="13"/>
      <c r="T28" s="35">
        <f>+T24-T26</f>
        <v>2700.47</v>
      </c>
      <c r="U28" s="13"/>
      <c r="V28" s="31">
        <f>IF(T$12=0,0,T28/T$12)</f>
        <v>0</v>
      </c>
      <c r="W28" s="16"/>
      <c r="X28" s="35">
        <f>P28-T28</f>
        <v>-2700.47</v>
      </c>
      <c r="Y28" s="16"/>
      <c r="Z28" s="31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6">
        <f>SUM(D28:D30)</f>
        <v>0</v>
      </c>
      <c r="E31" s="13"/>
      <c r="F31" s="33">
        <f>IF(D$12=0,0,D31/D$12)</f>
        <v>0</v>
      </c>
      <c r="G31" s="13"/>
      <c r="H31" s="36">
        <f>SUM(H28:H30)</f>
        <v>173.47</v>
      </c>
      <c r="I31" s="13"/>
      <c r="J31" s="33">
        <f>IF(H$12=0,0,H31/H$12)</f>
        <v>0</v>
      </c>
      <c r="K31" s="16"/>
      <c r="L31" s="36">
        <f>+D31-H31</f>
        <v>-173.47</v>
      </c>
      <c r="M31" s="16"/>
      <c r="N31" s="33">
        <f>IF(H31=0,0,L31/H31)</f>
        <v>-1</v>
      </c>
      <c r="O31" s="26"/>
      <c r="P31" s="36">
        <f>SUM(P28:P30)</f>
        <v>0</v>
      </c>
      <c r="Q31" s="13"/>
      <c r="R31" s="33">
        <f>IF(P$12=0,0,P31/P$12)</f>
        <v>0</v>
      </c>
      <c r="S31" s="13"/>
      <c r="T31" s="36">
        <f>SUM(T28:T30)</f>
        <v>2700.47</v>
      </c>
      <c r="U31" s="13"/>
      <c r="V31" s="33">
        <f>IF(T$12=0,0,T31/T$12)</f>
        <v>0</v>
      </c>
      <c r="W31" s="16"/>
      <c r="X31" s="36">
        <f>+P31-T31</f>
        <v>-2700.47</v>
      </c>
      <c r="Y31" s="16"/>
      <c r="Z31" s="33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2">
        <v>44543.765594675926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9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61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  <outlinePr summaryBelow="0" summaryRight="0"/>
  </sheetPr>
  <dimension ref="A2:Z102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182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1285214.1499999999</v>
      </c>
      <c r="E12" s="4"/>
      <c r="F12" s="12"/>
      <c r="G12" s="4"/>
      <c r="H12" s="4">
        <f>SUM(OSRRefH13x_0)</f>
        <v>107759.14</v>
      </c>
      <c r="I12" s="4"/>
      <c r="J12" s="12"/>
      <c r="K12" s="4"/>
      <c r="L12" s="4">
        <f t="shared" ref="L12:L15" si="0">+D12-H12</f>
        <v>1177455.01</v>
      </c>
      <c r="M12" s="4"/>
      <c r="N12" s="12">
        <f t="shared" ref="N12:N15" si="1">IF(H12=0,0,L12/H12)</f>
        <v>10.926729834703581</v>
      </c>
      <c r="O12" s="10"/>
      <c r="P12" s="4">
        <f>SUM(OSRRefP13x_0)</f>
        <v>4828118.2700000005</v>
      </c>
      <c r="Q12" s="4"/>
      <c r="R12" s="12"/>
      <c r="S12" s="4"/>
      <c r="T12" s="4">
        <f>SUM(OSRRefT13x_0)</f>
        <v>551420.94000000006</v>
      </c>
      <c r="U12" s="4"/>
      <c r="V12" s="12"/>
      <c r="W12" s="4"/>
      <c r="X12" s="4">
        <f t="shared" ref="X12:X15" si="2">+P12-T12</f>
        <v>4276697.33</v>
      </c>
      <c r="Y12" s="4"/>
      <c r="Z12" s="12">
        <f t="shared" ref="Z12:Z15" si="3">IF(T12=0,0,X12/T12)</f>
        <v>7.7557760682791619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--488.67</f>
        <v>488.67</v>
      </c>
      <c r="E13" s="2"/>
      <c r="F13" s="19"/>
      <c r="G13" s="2"/>
      <c r="H13" s="2">
        <f>--92.59</f>
        <v>92.59</v>
      </c>
      <c r="I13" s="2"/>
      <c r="J13" s="19"/>
      <c r="K13" s="2"/>
      <c r="L13" s="2">
        <f t="shared" si="0"/>
        <v>396.08000000000004</v>
      </c>
      <c r="M13" s="2"/>
      <c r="N13" s="19">
        <f t="shared" si="1"/>
        <v>4.2777837779457828</v>
      </c>
      <c r="O13" s="11"/>
      <c r="P13" s="2">
        <f>--2269.33</f>
        <v>2269.33</v>
      </c>
      <c r="Q13" s="2"/>
      <c r="R13" s="19"/>
      <c r="S13" s="2"/>
      <c r="T13" s="2">
        <f>--495.03</f>
        <v>495.03</v>
      </c>
      <c r="U13" s="2"/>
      <c r="V13" s="19"/>
      <c r="W13" s="2"/>
      <c r="X13" s="2">
        <f t="shared" si="2"/>
        <v>1774.3</v>
      </c>
      <c r="Y13" s="2"/>
      <c r="Z13" s="19">
        <f t="shared" si="3"/>
        <v>3.5842272185524111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--1278360.35</f>
        <v>1278360.3500000001</v>
      </c>
      <c r="E14" s="2"/>
      <c r="F14" s="19"/>
      <c r="G14" s="2"/>
      <c r="H14" s="2">
        <f>--97309.27</f>
        <v>97309.27</v>
      </c>
      <c r="I14" s="2"/>
      <c r="J14" s="19"/>
      <c r="K14" s="2"/>
      <c r="L14" s="2">
        <f t="shared" si="0"/>
        <v>1181051.08</v>
      </c>
      <c r="M14" s="2"/>
      <c r="N14" s="19">
        <f t="shared" si="1"/>
        <v>12.137087042169775</v>
      </c>
      <c r="O14" s="11"/>
      <c r="P14" s="2">
        <f>--4775079.11</f>
        <v>4775079.1100000003</v>
      </c>
      <c r="Q14" s="2"/>
      <c r="R14" s="19"/>
      <c r="S14" s="2"/>
      <c r="T14" s="2">
        <f>--524802.05</f>
        <v>524802.05000000005</v>
      </c>
      <c r="U14" s="2"/>
      <c r="V14" s="19"/>
      <c r="W14" s="2"/>
      <c r="X14" s="2">
        <f t="shared" si="2"/>
        <v>4250277.0600000005</v>
      </c>
      <c r="Y14" s="2"/>
      <c r="Z14" s="19">
        <f t="shared" si="3"/>
        <v>8.098819469169376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--6365.13</f>
        <v>6365.13</v>
      </c>
      <c r="E15" s="2"/>
      <c r="F15" s="19"/>
      <c r="G15" s="2"/>
      <c r="H15" s="2">
        <f>--10357.28</f>
        <v>10357.280000000001</v>
      </c>
      <c r="I15" s="2"/>
      <c r="J15" s="19"/>
      <c r="K15" s="2"/>
      <c r="L15" s="2">
        <f t="shared" si="0"/>
        <v>-3992.1500000000005</v>
      </c>
      <c r="M15" s="2"/>
      <c r="N15" s="19">
        <f t="shared" si="1"/>
        <v>-0.38544386170886569</v>
      </c>
      <c r="O15" s="11"/>
      <c r="P15" s="2">
        <f>--50769.83</f>
        <v>50769.83</v>
      </c>
      <c r="Q15" s="2"/>
      <c r="R15" s="19"/>
      <c r="S15" s="2"/>
      <c r="T15" s="2">
        <f>--26123.86</f>
        <v>26123.86</v>
      </c>
      <c r="U15" s="2"/>
      <c r="V15" s="19"/>
      <c r="W15" s="2"/>
      <c r="X15" s="2">
        <f t="shared" si="2"/>
        <v>24645.97</v>
      </c>
      <c r="Y15" s="2"/>
      <c r="Z15" s="19">
        <f t="shared" si="3"/>
        <v>0.94342757923216558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282361.28000000003</v>
      </c>
      <c r="E17" s="4"/>
      <c r="F17" s="12">
        <f t="shared" ref="F17:F19" si="4">IF(D$12=0,0,D17/D$12)</f>
        <v>0.21969979088698957</v>
      </c>
      <c r="G17" s="4"/>
      <c r="H17" s="4">
        <f>SUM(OSRRefH16x_0)</f>
        <v>41258.25</v>
      </c>
      <c r="I17" s="4"/>
      <c r="J17" s="12">
        <f t="shared" ref="J17:J19" si="5">IF(H$12=0,0,H17/H$12)</f>
        <v>0.38287471485017421</v>
      </c>
      <c r="K17" s="4"/>
      <c r="L17" s="4">
        <f t="shared" ref="L17:L19" si="6">+D17-H17</f>
        <v>241103.03000000003</v>
      </c>
      <c r="M17" s="4"/>
      <c r="N17" s="12">
        <f t="shared" ref="N17:N19" si="7">IF(H17=0,0,L17/H17)</f>
        <v>5.8437531887561889</v>
      </c>
      <c r="O17" s="10"/>
      <c r="P17" s="4">
        <f>SUM(OSRRefP16x_0)</f>
        <v>1278569.42</v>
      </c>
      <c r="Q17" s="4"/>
      <c r="R17" s="12">
        <f t="shared" ref="R17:R19" si="8">IF(P$12=0,0,P17/P$12)</f>
        <v>0.26481733638227545</v>
      </c>
      <c r="S17" s="4"/>
      <c r="T17" s="4">
        <f>SUM(OSRRefT16x_0)</f>
        <v>216253.02000000002</v>
      </c>
      <c r="U17" s="4"/>
      <c r="V17" s="12">
        <f t="shared" ref="V17:V19" si="9">IF(T$12=0,0,T17/T$12)</f>
        <v>0.39217411656510542</v>
      </c>
      <c r="W17" s="4"/>
      <c r="X17" s="4">
        <f t="shared" ref="X17:X19" si="10">+P17-T17</f>
        <v>1062316.3999999999</v>
      </c>
      <c r="Y17" s="4"/>
      <c r="Z17" s="12">
        <f t="shared" ref="Z17:Z19" si="11">IF(T17=0,0,X17/T17)</f>
        <v>4.9123771774377989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278066.28000000003</v>
      </c>
      <c r="E18" s="2"/>
      <c r="F18" s="19">
        <f t="shared" si="4"/>
        <v>0.21635793536820308</v>
      </c>
      <c r="G18" s="2"/>
      <c r="H18" s="2">
        <v>37703.25</v>
      </c>
      <c r="I18" s="2"/>
      <c r="J18" s="19">
        <f t="shared" si="5"/>
        <v>0.3498844738367437</v>
      </c>
      <c r="K18" s="2"/>
      <c r="L18" s="2">
        <f t="shared" si="6"/>
        <v>240363.03000000003</v>
      </c>
      <c r="M18" s="2"/>
      <c r="N18" s="19">
        <f t="shared" si="7"/>
        <v>6.3751276083626749</v>
      </c>
      <c r="O18" s="11"/>
      <c r="P18" s="2">
        <v>1330799.48</v>
      </c>
      <c r="Q18" s="2"/>
      <c r="R18" s="19">
        <f t="shared" si="8"/>
        <v>0.27563522796636047</v>
      </c>
      <c r="S18" s="2"/>
      <c r="T18" s="2">
        <v>223610.7</v>
      </c>
      <c r="U18" s="2"/>
      <c r="V18" s="19">
        <f t="shared" si="9"/>
        <v>0.40551724423087737</v>
      </c>
      <c r="W18" s="2"/>
      <c r="X18" s="2">
        <f t="shared" si="10"/>
        <v>1107188.78</v>
      </c>
      <c r="Y18" s="2"/>
      <c r="Z18" s="19">
        <f t="shared" si="11"/>
        <v>4.9514123429692765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4295</v>
      </c>
      <c r="E19" s="2"/>
      <c r="F19" s="19">
        <f t="shared" si="4"/>
        <v>3.3418555187864998E-3</v>
      </c>
      <c r="G19" s="2"/>
      <c r="H19" s="2">
        <v>3555</v>
      </c>
      <c r="I19" s="2"/>
      <c r="J19" s="19">
        <f t="shared" si="5"/>
        <v>3.299024101343051E-2</v>
      </c>
      <c r="K19" s="2"/>
      <c r="L19" s="2">
        <f t="shared" si="6"/>
        <v>740</v>
      </c>
      <c r="M19" s="2"/>
      <c r="N19" s="19">
        <f t="shared" si="7"/>
        <v>0.20815752461322082</v>
      </c>
      <c r="O19" s="11"/>
      <c r="P19" s="2">
        <v>-52230.06</v>
      </c>
      <c r="Q19" s="2"/>
      <c r="R19" s="19">
        <f t="shared" si="8"/>
        <v>-1.0817891584084992E-2</v>
      </c>
      <c r="S19" s="2"/>
      <c r="T19" s="2">
        <v>-7357.68</v>
      </c>
      <c r="U19" s="2"/>
      <c r="V19" s="19">
        <f t="shared" si="9"/>
        <v>-1.3343127665771995E-2</v>
      </c>
      <c r="W19" s="2"/>
      <c r="X19" s="2">
        <f t="shared" si="10"/>
        <v>-44872.38</v>
      </c>
      <c r="Y19" s="2"/>
      <c r="Z19" s="19">
        <f t="shared" si="11"/>
        <v>6.0987131813288968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1002852.8699999999</v>
      </c>
      <c r="E21" s="13"/>
      <c r="F21" s="22">
        <f>IF(D$12=0,0,D21/D$12)</f>
        <v>0.78030020911301046</v>
      </c>
      <c r="G21" s="13"/>
      <c r="H21" s="21">
        <f>H12-H17</f>
        <v>66500.89</v>
      </c>
      <c r="I21" s="13"/>
      <c r="J21" s="22">
        <f>IF(H$12=0,0,H21/H$12)</f>
        <v>0.61712528514982579</v>
      </c>
      <c r="K21" s="16"/>
      <c r="L21" s="21">
        <f>+D21-H21</f>
        <v>936351.97999999986</v>
      </c>
      <c r="M21" s="16"/>
      <c r="N21" s="22">
        <f>IF(H21=0,0,L21/H21)</f>
        <v>14.080292459243777</v>
      </c>
      <c r="O21" s="26"/>
      <c r="P21" s="21">
        <f>P12-P17</f>
        <v>3549548.8500000006</v>
      </c>
      <c r="Q21" s="13"/>
      <c r="R21" s="22">
        <f>IF(P$12=0,0,P21/P$12)</f>
        <v>0.73518266361772455</v>
      </c>
      <c r="S21" s="13"/>
      <c r="T21" s="21">
        <f>T12-T17</f>
        <v>335167.92000000004</v>
      </c>
      <c r="U21" s="13"/>
      <c r="V21" s="22">
        <f>IF(T$12=0,0,T21/T$12)</f>
        <v>0.60782588343489463</v>
      </c>
      <c r="W21" s="16"/>
      <c r="X21" s="21">
        <f>+P21-T21</f>
        <v>3214380.9300000006</v>
      </c>
      <c r="Y21" s="16"/>
      <c r="Z21" s="22">
        <f>IF(T21=0,0,X21/T21)</f>
        <v>9.5903597516134607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483116.44999999995</v>
      </c>
      <c r="E23" s="20"/>
      <c r="F23" s="32">
        <f t="shared" ref="F23:F33" si="12">IF(D$12=0,0,D23/D$12)</f>
        <v>0.37590346324773966</v>
      </c>
      <c r="G23" s="20"/>
      <c r="H23" s="20">
        <f>SUM(OSRRefH22x_0)</f>
        <v>241157.64999999997</v>
      </c>
      <c r="I23" s="20"/>
      <c r="J23" s="32">
        <f t="shared" ref="J23:J33" si="13">IF(H$12=0,0,H23/H$12)</f>
        <v>2.2379322069571077</v>
      </c>
      <c r="K23" s="4"/>
      <c r="L23" s="20">
        <f t="shared" ref="L23:L33" si="14">+D23-H23</f>
        <v>241958.8</v>
      </c>
      <c r="M23" s="4"/>
      <c r="N23" s="32">
        <f t="shared" ref="N23:N33" si="15">IF(H23=0,0,L23/H23)</f>
        <v>1.0033221007088102</v>
      </c>
      <c r="O23" s="10"/>
      <c r="P23" s="20">
        <f>SUM(OSRRefP22x_0)</f>
        <v>2242493.1099999994</v>
      </c>
      <c r="Q23" s="20"/>
      <c r="R23" s="32">
        <f t="shared" ref="R23:R33" si="16">IF(P$12=0,0,P23/P$12)</f>
        <v>0.46446523978792242</v>
      </c>
      <c r="S23" s="20"/>
      <c r="T23" s="20">
        <f>SUM(OSRRefT22x_0)</f>
        <v>1154993.0899999999</v>
      </c>
      <c r="U23" s="20"/>
      <c r="V23" s="32">
        <f t="shared" ref="V23:V33" si="17">IF(T$12=0,0,T23/T$12)</f>
        <v>2.0945760420342392</v>
      </c>
      <c r="W23" s="4"/>
      <c r="X23" s="20">
        <f t="shared" ref="X23:X33" si="18">+P23-T23</f>
        <v>1087500.0199999996</v>
      </c>
      <c r="Y23" s="4"/>
      <c r="Z23" s="32">
        <f t="shared" ref="Z23:Z33" si="19">IF(T23=0,0,X23/T23)</f>
        <v>0.94156409195487023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88817.62000000001</v>
      </c>
      <c r="E24" s="1"/>
      <c r="F24" s="5">
        <f t="shared" si="12"/>
        <v>6.9107253448773512E-2</v>
      </c>
      <c r="G24" s="1"/>
      <c r="H24" s="1">
        <f>SUM(OSRRefH22_0x_0)</f>
        <v>81500.98</v>
      </c>
      <c r="I24" s="1"/>
      <c r="J24" s="5">
        <f t="shared" si="13"/>
        <v>0.75632544951639369</v>
      </c>
      <c r="K24" s="1"/>
      <c r="L24" s="1">
        <f t="shared" si="14"/>
        <v>7316.640000000014</v>
      </c>
      <c r="M24" s="1"/>
      <c r="N24" s="5">
        <f t="shared" si="15"/>
        <v>8.9773644439613054E-2</v>
      </c>
      <c r="O24" s="14"/>
      <c r="P24" s="1">
        <f>SUM(OSRRefP22_0x_0)</f>
        <v>426253.00999999995</v>
      </c>
      <c r="Q24" s="1"/>
      <c r="R24" s="5">
        <f t="shared" si="16"/>
        <v>8.8285536137042459E-2</v>
      </c>
      <c r="S24" s="1"/>
      <c r="T24" s="1">
        <f>SUM(OSRRefT22_0x_0)</f>
        <v>388275.54</v>
      </c>
      <c r="U24" s="1"/>
      <c r="V24" s="5">
        <f t="shared" si="17"/>
        <v>0.70413637175258514</v>
      </c>
      <c r="W24" s="1"/>
      <c r="X24" s="1">
        <f t="shared" si="18"/>
        <v>37977.469999999972</v>
      </c>
      <c r="Y24" s="1"/>
      <c r="Z24" s="5">
        <f t="shared" si="19"/>
        <v>9.7810616656408417E-2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12270.83</v>
      </c>
      <c r="E25" s="2"/>
      <c r="F25" s="7">
        <f t="shared" si="12"/>
        <v>9.5476928883797309E-3</v>
      </c>
      <c r="G25" s="2"/>
      <c r="H25" s="6">
        <v>7743.08</v>
      </c>
      <c r="I25" s="2"/>
      <c r="J25" s="7">
        <f t="shared" si="13"/>
        <v>7.1855436114282273E-2</v>
      </c>
      <c r="K25" s="2"/>
      <c r="L25" s="6">
        <f t="shared" si="14"/>
        <v>4527.75</v>
      </c>
      <c r="M25" s="2"/>
      <c r="N25" s="7">
        <f t="shared" si="15"/>
        <v>0.58474792976438317</v>
      </c>
      <c r="O25" s="11"/>
      <c r="P25" s="6">
        <v>61830.17</v>
      </c>
      <c r="Q25" s="2"/>
      <c r="R25" s="7">
        <f t="shared" si="16"/>
        <v>1.2806266653447159E-2</v>
      </c>
      <c r="S25" s="2"/>
      <c r="T25" s="6">
        <v>41925.839999999997</v>
      </c>
      <c r="U25" s="2"/>
      <c r="V25" s="7">
        <f t="shared" si="17"/>
        <v>7.6032368302879447E-2</v>
      </c>
      <c r="W25" s="2"/>
      <c r="X25" s="6">
        <f t="shared" si="18"/>
        <v>19904.330000000002</v>
      </c>
      <c r="Y25" s="2"/>
      <c r="Z25" s="7">
        <f t="shared" si="19"/>
        <v>0.47475089348239663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8701.2900000000009</v>
      </c>
      <c r="E26" s="2"/>
      <c r="F26" s="7">
        <f t="shared" si="12"/>
        <v>6.7703036104916842E-3</v>
      </c>
      <c r="G26" s="2"/>
      <c r="H26" s="6">
        <v>8283.3700000000008</v>
      </c>
      <c r="I26" s="2"/>
      <c r="J26" s="7">
        <f t="shared" si="13"/>
        <v>7.6869303151454266E-2</v>
      </c>
      <c r="K26" s="2"/>
      <c r="L26" s="6">
        <f t="shared" si="14"/>
        <v>417.92000000000007</v>
      </c>
      <c r="M26" s="2"/>
      <c r="N26" s="7">
        <f t="shared" si="15"/>
        <v>5.0452895379537559E-2</v>
      </c>
      <c r="O26" s="11"/>
      <c r="P26" s="6">
        <v>36725.589999999997</v>
      </c>
      <c r="Q26" s="2"/>
      <c r="R26" s="7">
        <f t="shared" si="16"/>
        <v>7.6066052955243765E-3</v>
      </c>
      <c r="S26" s="2"/>
      <c r="T26" s="6">
        <v>25824</v>
      </c>
      <c r="U26" s="2"/>
      <c r="V26" s="7">
        <f t="shared" si="17"/>
        <v>4.683173620501245E-2</v>
      </c>
      <c r="W26" s="2"/>
      <c r="X26" s="6">
        <f t="shared" si="18"/>
        <v>10901.589999999997</v>
      </c>
      <c r="Y26" s="2"/>
      <c r="Z26" s="7">
        <f t="shared" si="19"/>
        <v>0.42214955080545213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>
        <v>44984.33</v>
      </c>
      <c r="E27" s="2"/>
      <c r="F27" s="7">
        <f t="shared" si="12"/>
        <v>3.5001427583099674E-2</v>
      </c>
      <c r="G27" s="2"/>
      <c r="H27" s="6">
        <v>45706.28</v>
      </c>
      <c r="I27" s="2"/>
      <c r="J27" s="7">
        <f t="shared" si="13"/>
        <v>0.42415223432555232</v>
      </c>
      <c r="K27" s="2"/>
      <c r="L27" s="6">
        <f t="shared" si="14"/>
        <v>-721.94999999999709</v>
      </c>
      <c r="M27" s="2"/>
      <c r="N27" s="7">
        <f t="shared" si="15"/>
        <v>-1.5795422423351826E-2</v>
      </c>
      <c r="O27" s="11"/>
      <c r="P27" s="6">
        <v>214765.1</v>
      </c>
      <c r="Q27" s="2"/>
      <c r="R27" s="7">
        <f t="shared" si="16"/>
        <v>4.4482153913764831E-2</v>
      </c>
      <c r="S27" s="2"/>
      <c r="T27" s="6">
        <v>221885.63</v>
      </c>
      <c r="U27" s="2"/>
      <c r="V27" s="7">
        <f t="shared" si="17"/>
        <v>0.40238883565067368</v>
      </c>
      <c r="W27" s="2"/>
      <c r="X27" s="6">
        <f t="shared" si="18"/>
        <v>-7120.5299999999988</v>
      </c>
      <c r="Y27" s="2"/>
      <c r="Z27" s="7">
        <f t="shared" si="19"/>
        <v>-3.2090992102553006E-2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628.42999999999995</v>
      </c>
      <c r="E28" s="2"/>
      <c r="F28" s="7">
        <f t="shared" si="12"/>
        <v>4.8896909515040742E-4</v>
      </c>
      <c r="G28" s="2"/>
      <c r="H28" s="6">
        <v>502.02</v>
      </c>
      <c r="I28" s="2"/>
      <c r="J28" s="7">
        <f t="shared" si="13"/>
        <v>4.6587231486814014E-3</v>
      </c>
      <c r="K28" s="2"/>
      <c r="L28" s="6">
        <f t="shared" si="14"/>
        <v>126.40999999999997</v>
      </c>
      <c r="M28" s="2"/>
      <c r="N28" s="7">
        <f t="shared" si="15"/>
        <v>0.2518027170232261</v>
      </c>
      <c r="O28" s="11"/>
      <c r="P28" s="6">
        <v>2652.4</v>
      </c>
      <c r="Q28" s="2"/>
      <c r="R28" s="7">
        <f t="shared" si="16"/>
        <v>5.4936516706331632E-4</v>
      </c>
      <c r="S28" s="2"/>
      <c r="T28" s="6">
        <v>1645.86</v>
      </c>
      <c r="U28" s="2"/>
      <c r="V28" s="7">
        <f t="shared" si="17"/>
        <v>2.9847615144974358E-3</v>
      </c>
      <c r="W28" s="2"/>
      <c r="X28" s="6">
        <f t="shared" si="18"/>
        <v>1006.5400000000002</v>
      </c>
      <c r="Y28" s="2"/>
      <c r="Z28" s="7">
        <f t="shared" si="19"/>
        <v>0.61155869879576652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>
        <v>4016.61</v>
      </c>
      <c r="E29" s="2"/>
      <c r="F29" s="7">
        <f t="shared" si="12"/>
        <v>3.1252457032160752E-3</v>
      </c>
      <c r="G29" s="2"/>
      <c r="H29" s="6">
        <v>4246.5200000000004</v>
      </c>
      <c r="I29" s="2"/>
      <c r="J29" s="7">
        <f t="shared" si="13"/>
        <v>3.9407515687300401E-2</v>
      </c>
      <c r="K29" s="2"/>
      <c r="L29" s="6">
        <f t="shared" si="14"/>
        <v>-229.91000000000031</v>
      </c>
      <c r="M29" s="2"/>
      <c r="N29" s="7">
        <f t="shared" si="15"/>
        <v>-5.4140802351101677E-2</v>
      </c>
      <c r="O29" s="11"/>
      <c r="P29" s="6">
        <v>21322.42</v>
      </c>
      <c r="Q29" s="2"/>
      <c r="R29" s="7">
        <f t="shared" si="16"/>
        <v>4.4163002659833341E-3</v>
      </c>
      <c r="S29" s="2"/>
      <c r="T29" s="6">
        <v>20146.68</v>
      </c>
      <c r="U29" s="2"/>
      <c r="V29" s="7">
        <f t="shared" si="17"/>
        <v>3.6535935686446724E-2</v>
      </c>
      <c r="W29" s="2"/>
      <c r="X29" s="6">
        <f t="shared" si="18"/>
        <v>1175.739999999998</v>
      </c>
      <c r="Y29" s="2"/>
      <c r="Z29" s="7">
        <f t="shared" si="19"/>
        <v>5.8358995129718538E-2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1804.57</v>
      </c>
      <c r="E30" s="2"/>
      <c r="F30" s="7">
        <f t="shared" si="12"/>
        <v>1.4041006317896516E-3</v>
      </c>
      <c r="G30" s="2"/>
      <c r="H30" s="6">
        <v>1420.55</v>
      </c>
      <c r="I30" s="2"/>
      <c r="J30" s="7">
        <f t="shared" si="13"/>
        <v>1.3182640470219045E-2</v>
      </c>
      <c r="K30" s="2"/>
      <c r="L30" s="6">
        <f t="shared" si="14"/>
        <v>384.02</v>
      </c>
      <c r="M30" s="2"/>
      <c r="N30" s="7">
        <f t="shared" si="15"/>
        <v>0.27033191369539966</v>
      </c>
      <c r="O30" s="11"/>
      <c r="P30" s="6">
        <v>8289.98</v>
      </c>
      <c r="Q30" s="2"/>
      <c r="R30" s="7">
        <f t="shared" si="16"/>
        <v>1.7170209047095274E-3</v>
      </c>
      <c r="S30" s="2"/>
      <c r="T30" s="6">
        <v>7686.86</v>
      </c>
      <c r="U30" s="2"/>
      <c r="V30" s="7">
        <f t="shared" si="17"/>
        <v>1.3940094476644283E-2</v>
      </c>
      <c r="W30" s="2"/>
      <c r="X30" s="6">
        <f t="shared" si="18"/>
        <v>603.11999999999989</v>
      </c>
      <c r="Y30" s="2"/>
      <c r="Z30" s="7">
        <f t="shared" si="19"/>
        <v>7.8461166197901347E-2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>
        <v>6734.06</v>
      </c>
      <c r="E31" s="2"/>
      <c r="F31" s="7">
        <f t="shared" si="12"/>
        <v>5.2396404132338571E-3</v>
      </c>
      <c r="G31" s="2"/>
      <c r="H31" s="6">
        <v>6577.6</v>
      </c>
      <c r="I31" s="2"/>
      <c r="J31" s="7">
        <f t="shared" si="13"/>
        <v>6.1039833836832778E-2</v>
      </c>
      <c r="K31" s="2"/>
      <c r="L31" s="6">
        <f t="shared" si="14"/>
        <v>156.46000000000004</v>
      </c>
      <c r="M31" s="2"/>
      <c r="N31" s="7">
        <f t="shared" si="15"/>
        <v>2.3786791534906353E-2</v>
      </c>
      <c r="O31" s="11"/>
      <c r="P31" s="6">
        <v>36723.67</v>
      </c>
      <c r="Q31" s="2"/>
      <c r="R31" s="7">
        <f t="shared" si="16"/>
        <v>7.606207625067145E-3</v>
      </c>
      <c r="S31" s="2"/>
      <c r="T31" s="6">
        <v>33623.26</v>
      </c>
      <c r="U31" s="2"/>
      <c r="V31" s="7">
        <f t="shared" si="17"/>
        <v>6.0975667699525518E-2</v>
      </c>
      <c r="W31" s="2"/>
      <c r="X31" s="6">
        <f t="shared" si="18"/>
        <v>3100.4099999999962</v>
      </c>
      <c r="Y31" s="2"/>
      <c r="Z31" s="7">
        <f t="shared" si="19"/>
        <v>9.2210273483296856E-2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>
        <v>5405.14</v>
      </c>
      <c r="E32" s="2"/>
      <c r="F32" s="7">
        <f t="shared" si="12"/>
        <v>4.2056337459403176E-3</v>
      </c>
      <c r="G32" s="2"/>
      <c r="H32" s="6">
        <v>4207.78</v>
      </c>
      <c r="I32" s="2"/>
      <c r="J32" s="7">
        <f t="shared" si="13"/>
        <v>3.9048010219829149E-2</v>
      </c>
      <c r="K32" s="2"/>
      <c r="L32" s="6">
        <f t="shared" si="14"/>
        <v>1197.3600000000006</v>
      </c>
      <c r="M32" s="2"/>
      <c r="N32" s="7">
        <f t="shared" si="15"/>
        <v>0.28455860334903454</v>
      </c>
      <c r="O32" s="11"/>
      <c r="P32" s="6">
        <v>26659.18</v>
      </c>
      <c r="Q32" s="2"/>
      <c r="R32" s="7">
        <f t="shared" si="16"/>
        <v>5.5216501562626377E-3</v>
      </c>
      <c r="S32" s="2"/>
      <c r="T32" s="6">
        <v>22456.45</v>
      </c>
      <c r="U32" s="2"/>
      <c r="V32" s="7">
        <f t="shared" si="17"/>
        <v>4.0724695728820162E-2</v>
      </c>
      <c r="W32" s="2"/>
      <c r="X32" s="6">
        <f t="shared" si="18"/>
        <v>4202.7299999999996</v>
      </c>
      <c r="Y32" s="2"/>
      <c r="Z32" s="7">
        <f t="shared" si="19"/>
        <v>0.18715023968614805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4272.3599999999997</v>
      </c>
      <c r="E33" s="2"/>
      <c r="F33" s="7">
        <f t="shared" si="12"/>
        <v>3.3242397774721046E-3</v>
      </c>
      <c r="G33" s="2"/>
      <c r="H33" s="6">
        <v>2813.78</v>
      </c>
      <c r="I33" s="2"/>
      <c r="J33" s="7">
        <f t="shared" si="13"/>
        <v>2.6111752562242053E-2</v>
      </c>
      <c r="K33" s="2"/>
      <c r="L33" s="6">
        <f t="shared" si="14"/>
        <v>1458.5799999999995</v>
      </c>
      <c r="M33" s="2"/>
      <c r="N33" s="7">
        <f t="shared" si="15"/>
        <v>0.51837030613622936</v>
      </c>
      <c r="O33" s="11"/>
      <c r="P33" s="6">
        <v>17284.5</v>
      </c>
      <c r="Q33" s="2"/>
      <c r="R33" s="7">
        <f t="shared" si="16"/>
        <v>3.5799661552201366E-3</v>
      </c>
      <c r="S33" s="2"/>
      <c r="T33" s="6">
        <v>13080.96</v>
      </c>
      <c r="U33" s="2"/>
      <c r="V33" s="7">
        <f t="shared" si="17"/>
        <v>2.3722276488085486E-2</v>
      </c>
      <c r="W33" s="2"/>
      <c r="X33" s="6">
        <f t="shared" si="18"/>
        <v>4203.5400000000009</v>
      </c>
      <c r="Y33" s="2"/>
      <c r="Z33" s="7">
        <f t="shared" si="19"/>
        <v>0.32134797446059016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237992.63</v>
      </c>
      <c r="E34" s="1"/>
      <c r="F34" s="5">
        <f t="shared" ref="F34:F40" si="20">IF(D$12=0,0,D34/D$12)</f>
        <v>0.18517741187334424</v>
      </c>
      <c r="G34" s="1"/>
      <c r="H34" s="1">
        <f>SUM(OSRRefH22_1x_0)</f>
        <v>109638.76</v>
      </c>
      <c r="I34" s="1"/>
      <c r="J34" s="5">
        <f t="shared" ref="J34:J40" si="21">IF(H$12=0,0,H34/H$12)</f>
        <v>1.0174427895397087</v>
      </c>
      <c r="K34" s="1"/>
      <c r="L34" s="1">
        <f t="shared" ref="L34:L40" si="22">+D34-H34</f>
        <v>128353.87000000001</v>
      </c>
      <c r="M34" s="1"/>
      <c r="N34" s="5">
        <f t="shared" ref="N34:N40" si="23">IF(H34=0,0,L34/H34)</f>
        <v>1.1706979356570615</v>
      </c>
      <c r="O34" s="14"/>
      <c r="P34" s="1">
        <f>SUM(OSRRefP22_1x_0)</f>
        <v>1095516.05</v>
      </c>
      <c r="Q34" s="1"/>
      <c r="R34" s="5">
        <f t="shared" ref="R34:R40" si="24">IF(P$12=0,0,P34/P$12)</f>
        <v>0.2269033169313808</v>
      </c>
      <c r="S34" s="1"/>
      <c r="T34" s="1">
        <f>SUM(OSRRefT22_1x_0)</f>
        <v>547950.43999999994</v>
      </c>
      <c r="U34" s="1"/>
      <c r="V34" s="5">
        <f t="shared" ref="V34:V40" si="25">IF(T$12=0,0,T34/T$12)</f>
        <v>0.99370626004881113</v>
      </c>
      <c r="W34" s="1"/>
      <c r="X34" s="1">
        <f t="shared" ref="X34:X40" si="26">+P34-T34</f>
        <v>547565.6100000001</v>
      </c>
      <c r="Y34" s="1"/>
      <c r="Z34" s="5">
        <f t="shared" ref="Z34:Z40" si="27">IF(T34=0,0,X34/T34)</f>
        <v>0.99929769195914897</v>
      </c>
    </row>
    <row r="35" spans="1:26" s="24" customFormat="1" hidden="1" outlineLevel="2" x14ac:dyDescent="0.3">
      <c r="A35" s="27"/>
      <c r="B35" s="11" t="str">
        <f>CONCATENATE("          ", "6001", " - ", "ADMINISTRATIVE SALARIES")</f>
        <v xml:space="preserve">          6001 - ADMINISTRATIVE SALARIES</v>
      </c>
      <c r="C35" s="11"/>
      <c r="D35" s="6">
        <v>7920.23</v>
      </c>
      <c r="E35" s="2"/>
      <c r="F35" s="7">
        <f t="shared" si="20"/>
        <v>6.1625760967539923E-3</v>
      </c>
      <c r="G35" s="2"/>
      <c r="H35" s="6">
        <v>8511.56</v>
      </c>
      <c r="I35" s="2"/>
      <c r="J35" s="7">
        <f t="shared" si="21"/>
        <v>7.8986896146350086E-2</v>
      </c>
      <c r="K35" s="2"/>
      <c r="L35" s="6">
        <f t="shared" si="22"/>
        <v>-591.32999999999993</v>
      </c>
      <c r="M35" s="2"/>
      <c r="N35" s="7">
        <f t="shared" si="23"/>
        <v>-6.947375099276748E-2</v>
      </c>
      <c r="O35" s="11"/>
      <c r="P35" s="6">
        <v>46894.18</v>
      </c>
      <c r="Q35" s="2"/>
      <c r="R35" s="7">
        <f t="shared" si="24"/>
        <v>9.7127239594319206E-3</v>
      </c>
      <c r="S35" s="2"/>
      <c r="T35" s="6">
        <v>45245.67</v>
      </c>
      <c r="U35" s="2"/>
      <c r="V35" s="7">
        <f t="shared" si="25"/>
        <v>8.2052868721307529E-2</v>
      </c>
      <c r="W35" s="2"/>
      <c r="X35" s="6">
        <f t="shared" si="26"/>
        <v>1648.510000000002</v>
      </c>
      <c r="Y35" s="2"/>
      <c r="Z35" s="7">
        <f t="shared" si="27"/>
        <v>3.6434646674477406E-2</v>
      </c>
    </row>
    <row r="36" spans="1:26" s="24" customFormat="1" hidden="1" outlineLevel="2" x14ac:dyDescent="0.3">
      <c r="A36" s="27"/>
      <c r="B36" s="11" t="str">
        <f>CONCATENATE("          ", "6002", " - ", "STAFF SALARIES")</f>
        <v xml:space="preserve">          6002 - STAFF SALARIES</v>
      </c>
      <c r="C36" s="11"/>
      <c r="D36" s="6">
        <v>35697.699999999997</v>
      </c>
      <c r="E36" s="2"/>
      <c r="F36" s="7">
        <f t="shared" si="20"/>
        <v>2.777568236390799E-2</v>
      </c>
      <c r="G36" s="2"/>
      <c r="H36" s="6">
        <v>23741.200000000001</v>
      </c>
      <c r="I36" s="2"/>
      <c r="J36" s="7">
        <f t="shared" si="21"/>
        <v>0.22031727424699196</v>
      </c>
      <c r="K36" s="2"/>
      <c r="L36" s="6">
        <f t="shared" si="22"/>
        <v>11956.499999999996</v>
      </c>
      <c r="M36" s="2"/>
      <c r="N36" s="7">
        <f t="shared" si="23"/>
        <v>0.5036181827371824</v>
      </c>
      <c r="O36" s="11"/>
      <c r="P36" s="6">
        <v>190626.16</v>
      </c>
      <c r="Q36" s="2"/>
      <c r="R36" s="7">
        <f t="shared" si="24"/>
        <v>3.9482495941426055E-2</v>
      </c>
      <c r="S36" s="2"/>
      <c r="T36" s="6">
        <v>145295.79999999999</v>
      </c>
      <c r="U36" s="2"/>
      <c r="V36" s="7">
        <f t="shared" si="25"/>
        <v>0.26349343933148417</v>
      </c>
      <c r="W36" s="2"/>
      <c r="X36" s="6">
        <f t="shared" si="26"/>
        <v>45330.360000000015</v>
      </c>
      <c r="Y36" s="2"/>
      <c r="Z36" s="7">
        <f t="shared" si="27"/>
        <v>0.31198671950600099</v>
      </c>
    </row>
    <row r="37" spans="1:26" s="24" customFormat="1" hidden="1" outlineLevel="2" x14ac:dyDescent="0.3">
      <c r="A37" s="27"/>
      <c r="B37" s="11" t="str">
        <f>CONCATENATE("          ", "6004", " - ", "STAFF HOURLY")</f>
        <v xml:space="preserve">          6004 - STAFF HOURLY</v>
      </c>
      <c r="C37" s="11"/>
      <c r="D37" s="6">
        <v>83293.38</v>
      </c>
      <c r="E37" s="2"/>
      <c r="F37" s="7">
        <f t="shared" si="20"/>
        <v>6.4808950321625397E-2</v>
      </c>
      <c r="G37" s="2"/>
      <c r="H37" s="6">
        <v>47514.37</v>
      </c>
      <c r="I37" s="2"/>
      <c r="J37" s="7">
        <f t="shared" si="21"/>
        <v>0.44093122866422285</v>
      </c>
      <c r="K37" s="2"/>
      <c r="L37" s="6">
        <f t="shared" si="22"/>
        <v>35779.01</v>
      </c>
      <c r="M37" s="2"/>
      <c r="N37" s="7">
        <f t="shared" si="23"/>
        <v>0.75301450908430434</v>
      </c>
      <c r="O37" s="11"/>
      <c r="P37" s="6">
        <v>395090.45</v>
      </c>
      <c r="Q37" s="2"/>
      <c r="R37" s="7">
        <f t="shared" si="24"/>
        <v>8.1831145780942097E-2</v>
      </c>
      <c r="S37" s="2"/>
      <c r="T37" s="6">
        <v>238862.06</v>
      </c>
      <c r="U37" s="2"/>
      <c r="V37" s="7">
        <f t="shared" si="25"/>
        <v>0.4331755337401586</v>
      </c>
      <c r="W37" s="2"/>
      <c r="X37" s="6">
        <f t="shared" si="26"/>
        <v>156228.39000000001</v>
      </c>
      <c r="Y37" s="2"/>
      <c r="Z37" s="7">
        <f t="shared" si="27"/>
        <v>0.65405276166503801</v>
      </c>
    </row>
    <row r="38" spans="1:26" s="24" customFormat="1" hidden="1" outlineLevel="2" x14ac:dyDescent="0.3">
      <c r="A38" s="27"/>
      <c r="B38" s="11" t="str">
        <f>CONCATENATE("          ", "6005", " - ", "TEMPORARY WAGES-HOURLY")</f>
        <v xml:space="preserve">          6005 - TEMPORARY WAGES-HOURLY</v>
      </c>
      <c r="C38" s="11"/>
      <c r="D38" s="6">
        <v>25419.83</v>
      </c>
      <c r="E38" s="2"/>
      <c r="F38" s="7">
        <f t="shared" si="20"/>
        <v>1.977867268268094E-2</v>
      </c>
      <c r="G38" s="2"/>
      <c r="H38" s="6">
        <v>12819.28</v>
      </c>
      <c r="I38" s="2"/>
      <c r="J38" s="7">
        <f t="shared" si="21"/>
        <v>0.11896234509666652</v>
      </c>
      <c r="K38" s="2"/>
      <c r="L38" s="6">
        <f t="shared" si="22"/>
        <v>12600.550000000001</v>
      </c>
      <c r="M38" s="2"/>
      <c r="N38" s="7">
        <f t="shared" si="23"/>
        <v>0.98293741926223632</v>
      </c>
      <c r="O38" s="11"/>
      <c r="P38" s="6">
        <v>203800.42</v>
      </c>
      <c r="Q38" s="2"/>
      <c r="R38" s="7">
        <f t="shared" si="24"/>
        <v>4.2211149065327268E-2</v>
      </c>
      <c r="S38" s="2"/>
      <c r="T38" s="6">
        <v>50543.09</v>
      </c>
      <c r="U38" s="2"/>
      <c r="V38" s="7">
        <f t="shared" si="25"/>
        <v>9.1659721881435965E-2</v>
      </c>
      <c r="W38" s="2"/>
      <c r="X38" s="6">
        <f t="shared" si="26"/>
        <v>153257.33000000002</v>
      </c>
      <c r="Y38" s="2"/>
      <c r="Z38" s="7">
        <f t="shared" si="27"/>
        <v>3.032211327008302</v>
      </c>
    </row>
    <row r="39" spans="1:26" s="24" customFormat="1" hidden="1" outlineLevel="2" x14ac:dyDescent="0.3">
      <c r="A39" s="27"/>
      <c r="B39" s="11" t="str">
        <f>CONCATENATE("          ", "6007", " - ", "STUDENT HOURLY")</f>
        <v xml:space="preserve">          6007 - STUDENT HOURLY</v>
      </c>
      <c r="C39" s="11"/>
      <c r="D39" s="6">
        <v>59538.400000000001</v>
      </c>
      <c r="E39" s="2"/>
      <c r="F39" s="7">
        <f t="shared" si="20"/>
        <v>4.632566487071435E-2</v>
      </c>
      <c r="G39" s="2"/>
      <c r="H39" s="6">
        <v>15212.46</v>
      </c>
      <c r="I39" s="2"/>
      <c r="J39" s="7">
        <f t="shared" si="21"/>
        <v>0.14117094846896514</v>
      </c>
      <c r="K39" s="2"/>
      <c r="L39" s="6">
        <f t="shared" si="22"/>
        <v>44325.94</v>
      </c>
      <c r="M39" s="2"/>
      <c r="N39" s="7">
        <f t="shared" si="23"/>
        <v>2.9137917207341881</v>
      </c>
      <c r="O39" s="11"/>
      <c r="P39" s="6">
        <v>214726.87</v>
      </c>
      <c r="Q39" s="2"/>
      <c r="R39" s="7">
        <f t="shared" si="24"/>
        <v>4.4474235715025262E-2</v>
      </c>
      <c r="S39" s="2"/>
      <c r="T39" s="6">
        <v>58468.97</v>
      </c>
      <c r="U39" s="2"/>
      <c r="V39" s="7">
        <f t="shared" si="25"/>
        <v>0.10603327831547346</v>
      </c>
      <c r="W39" s="2"/>
      <c r="X39" s="6">
        <f t="shared" si="26"/>
        <v>156257.9</v>
      </c>
      <c r="Y39" s="2"/>
      <c r="Z39" s="7">
        <f t="shared" si="27"/>
        <v>2.6724927769379208</v>
      </c>
    </row>
    <row r="40" spans="1:26" s="24" customFormat="1" hidden="1" outlineLevel="2" x14ac:dyDescent="0.3">
      <c r="A40" s="27"/>
      <c r="B40" s="11" t="str">
        <f>CONCATENATE("          ", "6008", " - ", "STUDENT HOURLY-FICA EXEMPT")</f>
        <v xml:space="preserve">          6008 - STUDENT HOURLY-FICA EXEMPT</v>
      </c>
      <c r="C40" s="11"/>
      <c r="D40" s="6">
        <v>26123.09</v>
      </c>
      <c r="E40" s="2"/>
      <c r="F40" s="7">
        <f t="shared" si="20"/>
        <v>2.0325865537661567E-2</v>
      </c>
      <c r="G40" s="2"/>
      <c r="H40" s="6">
        <v>1839.89</v>
      </c>
      <c r="I40" s="2"/>
      <c r="J40" s="7">
        <f t="shared" si="21"/>
        <v>1.7074096916512141E-2</v>
      </c>
      <c r="K40" s="2"/>
      <c r="L40" s="6">
        <f t="shared" si="22"/>
        <v>24283.200000000001</v>
      </c>
      <c r="M40" s="2"/>
      <c r="N40" s="7">
        <f t="shared" si="23"/>
        <v>13.19818032599775</v>
      </c>
      <c r="O40" s="11"/>
      <c r="P40" s="6">
        <v>44377.97</v>
      </c>
      <c r="Q40" s="2"/>
      <c r="R40" s="7">
        <f t="shared" si="24"/>
        <v>9.1915664692281858E-3</v>
      </c>
      <c r="S40" s="2"/>
      <c r="T40" s="6">
        <v>9534.85</v>
      </c>
      <c r="U40" s="2"/>
      <c r="V40" s="7">
        <f t="shared" si="25"/>
        <v>1.7291418058951478E-2</v>
      </c>
      <c r="W40" s="2"/>
      <c r="X40" s="6">
        <f t="shared" si="26"/>
        <v>34843.120000000003</v>
      </c>
      <c r="Y40" s="2"/>
      <c r="Z40" s="7">
        <f t="shared" si="27"/>
        <v>3.6542913627377462</v>
      </c>
    </row>
    <row r="41" spans="1:26" s="29" customFormat="1" outlineLevel="1" collapsed="1" x14ac:dyDescent="0.3">
      <c r="A41" s="28"/>
      <c r="B41" s="14" t="str">
        <f>CONCATENATE("     ","Advertising/Promo                                 ")</f>
        <v xml:space="preserve">     Advertising/Promo                                 </v>
      </c>
      <c r="C41" s="14"/>
      <c r="D41" s="1">
        <f>SUM(OSRRefD22_2x_0)</f>
        <v>123.48</v>
      </c>
      <c r="E41" s="1"/>
      <c r="F41" s="5">
        <f t="shared" ref="F41:F64" si="28">IF(D$12=0,0,D41/D$12)</f>
        <v>9.6077373564553431E-5</v>
      </c>
      <c r="G41" s="1"/>
      <c r="H41" s="1">
        <f>SUM(OSRRefH22_2x_0)</f>
        <v>0</v>
      </c>
      <c r="I41" s="1"/>
      <c r="J41" s="5">
        <f t="shared" ref="J41:J64" si="29">IF(H$12=0,0,H41/H$12)</f>
        <v>0</v>
      </c>
      <c r="K41" s="1"/>
      <c r="L41" s="1">
        <f t="shared" ref="L41:L64" si="30">+D41-H41</f>
        <v>123.48</v>
      </c>
      <c r="M41" s="1"/>
      <c r="N41" s="5">
        <f t="shared" ref="N41:N64" si="31">IF(H41=0,0,L41/H41)</f>
        <v>0</v>
      </c>
      <c r="O41" s="14"/>
      <c r="P41" s="1">
        <f>SUM(OSRRefP22_2x_0)</f>
        <v>2993.38</v>
      </c>
      <c r="Q41" s="1"/>
      <c r="R41" s="5">
        <f t="shared" ref="R41:R64" si="32">IF(P$12=0,0,P41/P$12)</f>
        <v>6.1998895482732238E-4</v>
      </c>
      <c r="S41" s="1"/>
      <c r="T41" s="1">
        <f>SUM(OSRRefT22_2x_0)</f>
        <v>1429</v>
      </c>
      <c r="U41" s="1"/>
      <c r="V41" s="5">
        <f t="shared" ref="V41:V64" si="33">IF(T$12=0,0,T41/T$12)</f>
        <v>2.5914866417659074E-3</v>
      </c>
      <c r="W41" s="1"/>
      <c r="X41" s="1">
        <f t="shared" ref="X41:X64" si="34">+P41-T41</f>
        <v>1564.38</v>
      </c>
      <c r="Y41" s="1"/>
      <c r="Z41" s="5">
        <f t="shared" ref="Z41:Z64" si="35">IF(T41=0,0,X41/T41)</f>
        <v>1.0947375787263822</v>
      </c>
    </row>
    <row r="42" spans="1:26" s="24" customFormat="1" hidden="1" outlineLevel="2" x14ac:dyDescent="0.3">
      <c r="A42" s="27"/>
      <c r="B42" s="11" t="str">
        <f>CONCATENATE("          ", "6362", " - ", "ADVERTISING EXPENSE")</f>
        <v xml:space="preserve">          6362 - ADVERTISING EXPENSE</v>
      </c>
      <c r="C42" s="11"/>
      <c r="D42" s="6">
        <v>123.48</v>
      </c>
      <c r="E42" s="2"/>
      <c r="F42" s="7">
        <f t="shared" si="28"/>
        <v>9.6077373564553431E-5</v>
      </c>
      <c r="G42" s="2"/>
      <c r="H42" s="6"/>
      <c r="I42" s="2"/>
      <c r="J42" s="7">
        <f t="shared" si="29"/>
        <v>0</v>
      </c>
      <c r="K42" s="2"/>
      <c r="L42" s="6">
        <f t="shared" si="30"/>
        <v>123.48</v>
      </c>
      <c r="M42" s="2"/>
      <c r="N42" s="7">
        <f t="shared" si="31"/>
        <v>0</v>
      </c>
      <c r="O42" s="11"/>
      <c r="P42" s="6">
        <v>2993.38</v>
      </c>
      <c r="Q42" s="2"/>
      <c r="R42" s="7">
        <f t="shared" si="32"/>
        <v>6.1998895482732238E-4</v>
      </c>
      <c r="S42" s="2"/>
      <c r="T42" s="6">
        <v>1429</v>
      </c>
      <c r="U42" s="2"/>
      <c r="V42" s="7">
        <f t="shared" si="33"/>
        <v>2.5914866417659074E-3</v>
      </c>
      <c r="W42" s="2"/>
      <c r="X42" s="6">
        <f t="shared" si="34"/>
        <v>1564.38</v>
      </c>
      <c r="Y42" s="2"/>
      <c r="Z42" s="7">
        <f t="shared" si="35"/>
        <v>1.0947375787263822</v>
      </c>
    </row>
    <row r="43" spans="1:26" s="29" customFormat="1" outlineLevel="1" collapsed="1" x14ac:dyDescent="0.3">
      <c r="A43" s="28"/>
      <c r="B43" s="14" t="str">
        <f>CONCATENATE("     ","Bad Debts/Over/Short                              ")</f>
        <v xml:space="preserve">     Bad Debts/Over/Short                              </v>
      </c>
      <c r="C43" s="14"/>
      <c r="D43" s="1">
        <f>SUM(OSRRefD22_3x_0)</f>
        <v>-8</v>
      </c>
      <c r="E43" s="1"/>
      <c r="F43" s="5">
        <f t="shared" si="28"/>
        <v>-6.2246435739911523E-6</v>
      </c>
      <c r="G43" s="1"/>
      <c r="H43" s="1">
        <f>SUM(OSRRefH22_3x_0)</f>
        <v>0</v>
      </c>
      <c r="I43" s="1"/>
      <c r="J43" s="5">
        <f t="shared" si="29"/>
        <v>0</v>
      </c>
      <c r="K43" s="1"/>
      <c r="L43" s="1">
        <f t="shared" si="30"/>
        <v>-8</v>
      </c>
      <c r="M43" s="1"/>
      <c r="N43" s="5">
        <f t="shared" si="31"/>
        <v>0</v>
      </c>
      <c r="O43" s="14"/>
      <c r="P43" s="1">
        <f>SUM(OSRRefP22_3x_0)</f>
        <v>-23.9</v>
      </c>
      <c r="Q43" s="1"/>
      <c r="R43" s="5">
        <f t="shared" si="32"/>
        <v>-4.9501687124164002E-6</v>
      </c>
      <c r="S43" s="1"/>
      <c r="T43" s="1">
        <f>SUM(OSRRefT22_3x_0)</f>
        <v>69.739999999999995</v>
      </c>
      <c r="U43" s="1"/>
      <c r="V43" s="5">
        <f t="shared" si="33"/>
        <v>1.2647325290185749E-4</v>
      </c>
      <c r="W43" s="1"/>
      <c r="X43" s="1">
        <f t="shared" si="34"/>
        <v>-93.639999999999986</v>
      </c>
      <c r="Y43" s="1"/>
      <c r="Z43" s="5">
        <f t="shared" si="35"/>
        <v>-1.3427014625752796</v>
      </c>
    </row>
    <row r="44" spans="1:26" s="24" customFormat="1" hidden="1" outlineLevel="2" x14ac:dyDescent="0.3">
      <c r="A44" s="27"/>
      <c r="B44" s="11" t="str">
        <f>CONCATENATE("          ", "6272", " - ", "CASH (OVER/SHORT)")</f>
        <v xml:space="preserve">          6272 - CASH (OVER/SHORT)</v>
      </c>
      <c r="C44" s="11"/>
      <c r="D44" s="6">
        <v>-8</v>
      </c>
      <c r="E44" s="2"/>
      <c r="F44" s="7">
        <f t="shared" si="28"/>
        <v>-6.2246435739911523E-6</v>
      </c>
      <c r="G44" s="2"/>
      <c r="H44" s="6"/>
      <c r="I44" s="2"/>
      <c r="J44" s="7">
        <f t="shared" si="29"/>
        <v>0</v>
      </c>
      <c r="K44" s="2"/>
      <c r="L44" s="6">
        <f t="shared" si="30"/>
        <v>-8</v>
      </c>
      <c r="M44" s="2"/>
      <c r="N44" s="7">
        <f t="shared" si="31"/>
        <v>0</v>
      </c>
      <c r="O44" s="11"/>
      <c r="P44" s="6">
        <v>-23.9</v>
      </c>
      <c r="Q44" s="2"/>
      <c r="R44" s="7">
        <f t="shared" si="32"/>
        <v>-4.9501687124164002E-6</v>
      </c>
      <c r="S44" s="2"/>
      <c r="T44" s="6">
        <v>69.739999999999995</v>
      </c>
      <c r="U44" s="2"/>
      <c r="V44" s="7">
        <f t="shared" si="33"/>
        <v>1.2647325290185749E-4</v>
      </c>
      <c r="W44" s="2"/>
      <c r="X44" s="6">
        <f t="shared" si="34"/>
        <v>-93.639999999999986</v>
      </c>
      <c r="Y44" s="2"/>
      <c r="Z44" s="7">
        <f t="shared" si="35"/>
        <v>-1.3427014625752796</v>
      </c>
    </row>
    <row r="45" spans="1:26" s="29" customFormat="1" outlineLevel="1" collapsed="1" x14ac:dyDescent="0.3">
      <c r="A45" s="28"/>
      <c r="B45" s="14" t="str">
        <f>CONCATENATE("     ","Bank/card Fees                                    ")</f>
        <v xml:space="preserve">     Bank/card Fees                                    </v>
      </c>
      <c r="C45" s="14"/>
      <c r="D45" s="1">
        <f>SUM(OSRRefD22_4x_0)</f>
        <v>123.53</v>
      </c>
      <c r="E45" s="1"/>
      <c r="F45" s="5">
        <f t="shared" si="28"/>
        <v>9.6116277586890878E-5</v>
      </c>
      <c r="G45" s="1"/>
      <c r="H45" s="1">
        <f>SUM(OSRRefH22_4x_0)</f>
        <v>10.17</v>
      </c>
      <c r="I45" s="1"/>
      <c r="J45" s="5">
        <f t="shared" si="29"/>
        <v>9.437714517766196E-5</v>
      </c>
      <c r="K45" s="1"/>
      <c r="L45" s="1">
        <f t="shared" si="30"/>
        <v>113.36</v>
      </c>
      <c r="M45" s="1"/>
      <c r="N45" s="5">
        <f t="shared" si="31"/>
        <v>11.146509341199607</v>
      </c>
      <c r="O45" s="14"/>
      <c r="P45" s="1">
        <f>SUM(OSRRefP22_4x_0)</f>
        <v>638.85</v>
      </c>
      <c r="Q45" s="1"/>
      <c r="R45" s="5">
        <f t="shared" si="32"/>
        <v>1.3231863104297981E-4</v>
      </c>
      <c r="S45" s="1"/>
      <c r="T45" s="1">
        <f>SUM(OSRRefT22_4x_0)</f>
        <v>10.17</v>
      </c>
      <c r="U45" s="1"/>
      <c r="V45" s="5">
        <f t="shared" si="33"/>
        <v>1.8443260424604112E-5</v>
      </c>
      <c r="W45" s="1"/>
      <c r="X45" s="1">
        <f t="shared" si="34"/>
        <v>628.68000000000006</v>
      </c>
      <c r="Y45" s="1"/>
      <c r="Z45" s="5">
        <f t="shared" si="35"/>
        <v>61.817109144542776</v>
      </c>
    </row>
    <row r="46" spans="1:26" s="24" customFormat="1" hidden="1" outlineLevel="2" x14ac:dyDescent="0.3">
      <c r="A46" s="27"/>
      <c r="B46" s="11" t="str">
        <f>CONCATENATE("          ", "6381", " - ", "BANK/CREDIT CARD FEES")</f>
        <v xml:space="preserve">          6381 - BANK/CREDIT CARD FEES</v>
      </c>
      <c r="C46" s="11"/>
      <c r="D46" s="6">
        <v>123.53</v>
      </c>
      <c r="E46" s="2"/>
      <c r="F46" s="7">
        <f t="shared" si="28"/>
        <v>9.6116277586890878E-5</v>
      </c>
      <c r="G46" s="2"/>
      <c r="H46" s="6">
        <v>10.17</v>
      </c>
      <c r="I46" s="2"/>
      <c r="J46" s="7">
        <f t="shared" si="29"/>
        <v>9.437714517766196E-5</v>
      </c>
      <c r="K46" s="2"/>
      <c r="L46" s="6">
        <f t="shared" si="30"/>
        <v>113.36</v>
      </c>
      <c r="M46" s="2"/>
      <c r="N46" s="7">
        <f t="shared" si="31"/>
        <v>11.146509341199607</v>
      </c>
      <c r="O46" s="11"/>
      <c r="P46" s="6">
        <v>638.85</v>
      </c>
      <c r="Q46" s="2"/>
      <c r="R46" s="7">
        <f t="shared" si="32"/>
        <v>1.3231863104297981E-4</v>
      </c>
      <c r="S46" s="2"/>
      <c r="T46" s="6">
        <v>10.17</v>
      </c>
      <c r="U46" s="2"/>
      <c r="V46" s="7">
        <f t="shared" si="33"/>
        <v>1.8443260424604112E-5</v>
      </c>
      <c r="W46" s="2"/>
      <c r="X46" s="6">
        <f t="shared" si="34"/>
        <v>628.68000000000006</v>
      </c>
      <c r="Y46" s="2"/>
      <c r="Z46" s="7">
        <f t="shared" si="35"/>
        <v>61.817109144542776</v>
      </c>
    </row>
    <row r="47" spans="1:26" s="29" customFormat="1" outlineLevel="1" collapsed="1" x14ac:dyDescent="0.3">
      <c r="A47" s="28"/>
      <c r="B47" s="14" t="str">
        <f>CONCATENATE("     ","Depreciation                                      ")</f>
        <v xml:space="preserve">     Depreciation                                      </v>
      </c>
      <c r="C47" s="14"/>
      <c r="D47" s="1">
        <f>SUM(OSRRefD22_5x_0)</f>
        <v>760.04</v>
      </c>
      <c r="E47" s="1"/>
      <c r="F47" s="5">
        <f t="shared" si="28"/>
        <v>5.9137226274702938E-4</v>
      </c>
      <c r="G47" s="1"/>
      <c r="H47" s="1">
        <f>SUM(OSRRefH22_5x_0)</f>
        <v>758.5</v>
      </c>
      <c r="I47" s="1"/>
      <c r="J47" s="5">
        <f t="shared" si="29"/>
        <v>7.0388460783929793E-3</v>
      </c>
      <c r="K47" s="1"/>
      <c r="L47" s="1">
        <f t="shared" si="30"/>
        <v>1.5399999999999636</v>
      </c>
      <c r="M47" s="1"/>
      <c r="N47" s="5">
        <f t="shared" si="31"/>
        <v>2.0303230059327141E-3</v>
      </c>
      <c r="O47" s="14"/>
      <c r="P47" s="1">
        <f>SUM(OSRRefP22_5x_0)</f>
        <v>3800.2</v>
      </c>
      <c r="Q47" s="1"/>
      <c r="R47" s="5">
        <f t="shared" si="32"/>
        <v>7.870975372771884E-4</v>
      </c>
      <c r="S47" s="1"/>
      <c r="T47" s="1">
        <f>SUM(OSRRefT22_5x_0)</f>
        <v>3264.06</v>
      </c>
      <c r="U47" s="1"/>
      <c r="V47" s="5">
        <f t="shared" si="33"/>
        <v>5.9193617130317896E-3</v>
      </c>
      <c r="W47" s="1"/>
      <c r="X47" s="1">
        <f t="shared" si="34"/>
        <v>536.13999999999987</v>
      </c>
      <c r="Y47" s="1"/>
      <c r="Z47" s="5">
        <f t="shared" si="35"/>
        <v>0.16425555902771391</v>
      </c>
    </row>
    <row r="48" spans="1:26" s="24" customFormat="1" hidden="1" outlineLevel="2" x14ac:dyDescent="0.3">
      <c r="A48" s="27"/>
      <c r="B48" s="11" t="str">
        <f>CONCATENATE("          ", "6322", " - ", "EQUIPMENT DEPRECIATION EXPENSE")</f>
        <v xml:space="preserve">          6322 - EQUIPMENT DEPRECIATION EXPENSE</v>
      </c>
      <c r="C48" s="11"/>
      <c r="D48" s="6">
        <v>760.04</v>
      </c>
      <c r="E48" s="2"/>
      <c r="F48" s="7">
        <f t="shared" si="28"/>
        <v>5.9137226274702938E-4</v>
      </c>
      <c r="G48" s="2"/>
      <c r="H48" s="6">
        <v>758.5</v>
      </c>
      <c r="I48" s="2"/>
      <c r="J48" s="7">
        <f t="shared" si="29"/>
        <v>7.0388460783929793E-3</v>
      </c>
      <c r="K48" s="2"/>
      <c r="L48" s="6">
        <f t="shared" si="30"/>
        <v>1.5399999999999636</v>
      </c>
      <c r="M48" s="2"/>
      <c r="N48" s="7">
        <f t="shared" si="31"/>
        <v>2.0303230059327141E-3</v>
      </c>
      <c r="O48" s="11"/>
      <c r="P48" s="6">
        <v>3800.2</v>
      </c>
      <c r="Q48" s="2"/>
      <c r="R48" s="7">
        <f t="shared" si="32"/>
        <v>7.870975372771884E-4</v>
      </c>
      <c r="S48" s="2"/>
      <c r="T48" s="6">
        <v>3264.06</v>
      </c>
      <c r="U48" s="2"/>
      <c r="V48" s="7">
        <f t="shared" si="33"/>
        <v>5.9193617130317896E-3</v>
      </c>
      <c r="W48" s="2"/>
      <c r="X48" s="6">
        <f t="shared" si="34"/>
        <v>536.13999999999987</v>
      </c>
      <c r="Y48" s="2"/>
      <c r="Z48" s="7">
        <f t="shared" si="35"/>
        <v>0.16425555902771391</v>
      </c>
    </row>
    <row r="49" spans="1:26" s="29" customFormat="1" outlineLevel="1" collapsed="1" x14ac:dyDescent="0.3">
      <c r="A49" s="28"/>
      <c r="B49" s="14" t="str">
        <f>CONCATENATE("     ","Donations                                         ")</f>
        <v xml:space="preserve">     Donations                                         </v>
      </c>
      <c r="C49" s="14"/>
      <c r="D49" s="1">
        <f>SUM(OSRRefD22_6x_0)</f>
        <v>8398.85</v>
      </c>
      <c r="E49" s="1"/>
      <c r="F49" s="5">
        <f t="shared" si="28"/>
        <v>6.5349809601769485E-3</v>
      </c>
      <c r="G49" s="1"/>
      <c r="H49" s="1">
        <f>SUM(OSRRefH22_6x_0)</f>
        <v>7935.78</v>
      </c>
      <c r="I49" s="1"/>
      <c r="J49" s="5">
        <f t="shared" si="29"/>
        <v>7.3643683496360496E-2</v>
      </c>
      <c r="K49" s="1"/>
      <c r="L49" s="1">
        <f t="shared" si="30"/>
        <v>463.07000000000062</v>
      </c>
      <c r="M49" s="1"/>
      <c r="N49" s="5">
        <f t="shared" si="31"/>
        <v>5.8352172061221536E-2</v>
      </c>
      <c r="O49" s="14"/>
      <c r="P49" s="1">
        <f>SUM(OSRRefP22_6x_0)</f>
        <v>32812.589999999997</v>
      </c>
      <c r="Q49" s="1"/>
      <c r="R49" s="5">
        <f t="shared" si="32"/>
        <v>6.7961446188848215E-3</v>
      </c>
      <c r="S49" s="1"/>
      <c r="T49" s="1">
        <f>SUM(OSRRefT22_6x_0)</f>
        <v>30155.96</v>
      </c>
      <c r="U49" s="1"/>
      <c r="V49" s="5">
        <f t="shared" si="33"/>
        <v>5.4687730937457678E-2</v>
      </c>
      <c r="W49" s="1"/>
      <c r="X49" s="1">
        <f t="shared" si="34"/>
        <v>2656.6299999999974</v>
      </c>
      <c r="Y49" s="1"/>
      <c r="Z49" s="5">
        <f t="shared" si="35"/>
        <v>8.8096349776296212E-2</v>
      </c>
    </row>
    <row r="50" spans="1:26" s="24" customFormat="1" hidden="1" outlineLevel="2" x14ac:dyDescent="0.3">
      <c r="A50" s="27"/>
      <c r="B50" s="11" t="str">
        <f>CONCATENATE("          ", "6399", " - ", "DONATION-ON CAMPUS")</f>
        <v xml:space="preserve">          6399 - DONATION-ON CAMPUS</v>
      </c>
      <c r="C50" s="11"/>
      <c r="D50" s="6">
        <v>8398.85</v>
      </c>
      <c r="E50" s="2"/>
      <c r="F50" s="7">
        <f t="shared" si="28"/>
        <v>6.5349809601769485E-3</v>
      </c>
      <c r="G50" s="2"/>
      <c r="H50" s="6">
        <v>7935.78</v>
      </c>
      <c r="I50" s="2"/>
      <c r="J50" s="7">
        <f t="shared" si="29"/>
        <v>7.3643683496360496E-2</v>
      </c>
      <c r="K50" s="2"/>
      <c r="L50" s="6">
        <f t="shared" si="30"/>
        <v>463.07000000000062</v>
      </c>
      <c r="M50" s="2"/>
      <c r="N50" s="7">
        <f t="shared" si="31"/>
        <v>5.8352172061221536E-2</v>
      </c>
      <c r="O50" s="11"/>
      <c r="P50" s="6">
        <v>32812.589999999997</v>
      </c>
      <c r="Q50" s="2"/>
      <c r="R50" s="7">
        <f t="shared" si="32"/>
        <v>6.7961446188848215E-3</v>
      </c>
      <c r="S50" s="2"/>
      <c r="T50" s="6">
        <v>30155.96</v>
      </c>
      <c r="U50" s="2"/>
      <c r="V50" s="7">
        <f t="shared" si="33"/>
        <v>5.4687730937457678E-2</v>
      </c>
      <c r="W50" s="2"/>
      <c r="X50" s="6">
        <f t="shared" si="34"/>
        <v>2656.6299999999974</v>
      </c>
      <c r="Y50" s="2"/>
      <c r="Z50" s="7">
        <f t="shared" si="35"/>
        <v>8.8096349776296212E-2</v>
      </c>
    </row>
    <row r="51" spans="1:26" s="29" customFormat="1" outlineLevel="1" collapsed="1" x14ac:dyDescent="0.3">
      <c r="A51" s="28"/>
      <c r="B51" s="14" t="str">
        <f>CONCATENATE("     ","Employees' Appreciation                           ")</f>
        <v xml:space="preserve">     Employees' Appreciation                           </v>
      </c>
      <c r="C51" s="14"/>
      <c r="D51" s="1">
        <f>SUM(OSRRefD22_7x_0)</f>
        <v>34.47</v>
      </c>
      <c r="E51" s="1"/>
      <c r="F51" s="5">
        <f t="shared" si="28"/>
        <v>2.6820432999434377E-5</v>
      </c>
      <c r="G51" s="1"/>
      <c r="H51" s="1">
        <f>SUM(OSRRefH22_7x_0)</f>
        <v>0</v>
      </c>
      <c r="I51" s="1"/>
      <c r="J51" s="5">
        <f t="shared" si="29"/>
        <v>0</v>
      </c>
      <c r="K51" s="1"/>
      <c r="L51" s="1">
        <f t="shared" si="30"/>
        <v>34.47</v>
      </c>
      <c r="M51" s="1"/>
      <c r="N51" s="5">
        <f t="shared" si="31"/>
        <v>0</v>
      </c>
      <c r="O51" s="14"/>
      <c r="P51" s="1">
        <f>SUM(OSRRefP22_7x_0)</f>
        <v>48.96</v>
      </c>
      <c r="Q51" s="1"/>
      <c r="R51" s="5">
        <f t="shared" si="32"/>
        <v>1.0140596659410333E-5</v>
      </c>
      <c r="S51" s="1"/>
      <c r="T51" s="1">
        <f>SUM(OSRRefT22_7x_0)</f>
        <v>0</v>
      </c>
      <c r="U51" s="1"/>
      <c r="V51" s="5">
        <f t="shared" si="33"/>
        <v>0</v>
      </c>
      <c r="W51" s="1"/>
      <c r="X51" s="1">
        <f t="shared" si="34"/>
        <v>48.96</v>
      </c>
      <c r="Y51" s="1"/>
      <c r="Z51" s="5">
        <f t="shared" si="35"/>
        <v>0</v>
      </c>
    </row>
    <row r="52" spans="1:26" s="24" customFormat="1" hidden="1" outlineLevel="2" x14ac:dyDescent="0.3">
      <c r="A52" s="27"/>
      <c r="B52" s="11" t="str">
        <f>CONCATENATE("          ", "6277", " - ", "EMPLOYEE APPRECIATION")</f>
        <v xml:space="preserve">          6277 - EMPLOYEE APPRECIATION</v>
      </c>
      <c r="C52" s="11"/>
      <c r="D52" s="6">
        <v>34.47</v>
      </c>
      <c r="E52" s="2"/>
      <c r="F52" s="7">
        <f t="shared" si="28"/>
        <v>2.6820432999434377E-5</v>
      </c>
      <c r="G52" s="2"/>
      <c r="H52" s="6"/>
      <c r="I52" s="2"/>
      <c r="J52" s="7">
        <f t="shared" si="29"/>
        <v>0</v>
      </c>
      <c r="K52" s="2"/>
      <c r="L52" s="6">
        <f t="shared" si="30"/>
        <v>34.47</v>
      </c>
      <c r="M52" s="2"/>
      <c r="N52" s="7">
        <f t="shared" si="31"/>
        <v>0</v>
      </c>
      <c r="O52" s="11"/>
      <c r="P52" s="6">
        <v>48.96</v>
      </c>
      <c r="Q52" s="2"/>
      <c r="R52" s="7">
        <f t="shared" si="32"/>
        <v>1.0140596659410333E-5</v>
      </c>
      <c r="S52" s="2"/>
      <c r="T52" s="6"/>
      <c r="U52" s="2"/>
      <c r="V52" s="7">
        <f t="shared" si="33"/>
        <v>0</v>
      </c>
      <c r="W52" s="2"/>
      <c r="X52" s="6">
        <f t="shared" si="34"/>
        <v>48.96</v>
      </c>
      <c r="Y52" s="2"/>
      <c r="Z52" s="7">
        <f t="shared" si="35"/>
        <v>0</v>
      </c>
    </row>
    <row r="53" spans="1:26" s="29" customFormat="1" outlineLevel="1" collapsed="1" x14ac:dyDescent="0.3">
      <c r="A53" s="28"/>
      <c r="B53" s="14" t="str">
        <f>CONCATENATE("     ","Equipment Rental                                  ")</f>
        <v xml:space="preserve">     Equipment Rental                                  </v>
      </c>
      <c r="C53" s="14"/>
      <c r="D53" s="1">
        <f>SUM(OSRRefD22_8x_0)</f>
        <v>601.92999999999995</v>
      </c>
      <c r="E53" s="1"/>
      <c r="F53" s="5">
        <f t="shared" si="28"/>
        <v>4.6834996331156172E-4</v>
      </c>
      <c r="G53" s="1"/>
      <c r="H53" s="1">
        <f>SUM(OSRRefH22_8x_0)</f>
        <v>268.14999999999998</v>
      </c>
      <c r="I53" s="1"/>
      <c r="J53" s="5">
        <f t="shared" si="29"/>
        <v>2.488420007806298E-3</v>
      </c>
      <c r="K53" s="1"/>
      <c r="L53" s="1">
        <f t="shared" si="30"/>
        <v>333.78</v>
      </c>
      <c r="M53" s="1"/>
      <c r="N53" s="5">
        <f t="shared" si="31"/>
        <v>1.2447510721611039</v>
      </c>
      <c r="O53" s="14"/>
      <c r="P53" s="1">
        <f>SUM(OSRRefP22_8x_0)</f>
        <v>7401.72</v>
      </c>
      <c r="Q53" s="1"/>
      <c r="R53" s="5">
        <f t="shared" si="32"/>
        <v>1.5330444670320802E-3</v>
      </c>
      <c r="S53" s="1"/>
      <c r="T53" s="1">
        <f>SUM(OSRRefT22_8x_0)</f>
        <v>2540.62</v>
      </c>
      <c r="U53" s="1"/>
      <c r="V53" s="5">
        <f t="shared" si="33"/>
        <v>4.6074057325425468E-3</v>
      </c>
      <c r="W53" s="1"/>
      <c r="X53" s="1">
        <f t="shared" si="34"/>
        <v>4861.1000000000004</v>
      </c>
      <c r="Y53" s="1"/>
      <c r="Z53" s="5">
        <f t="shared" si="35"/>
        <v>1.9133518589950487</v>
      </c>
    </row>
    <row r="54" spans="1:26" s="24" customFormat="1" hidden="1" outlineLevel="2" x14ac:dyDescent="0.3">
      <c r="A54" s="27"/>
      <c r="B54" s="11" t="str">
        <f>CONCATENATE("          ", "6351", " - ", "EQUIPMENT RENTAL")</f>
        <v xml:space="preserve">          6351 - EQUIPMENT RENTAL</v>
      </c>
      <c r="C54" s="11"/>
      <c r="D54" s="6">
        <v>601.92999999999995</v>
      </c>
      <c r="E54" s="2"/>
      <c r="F54" s="7">
        <f t="shared" si="28"/>
        <v>4.6834996331156172E-4</v>
      </c>
      <c r="G54" s="2"/>
      <c r="H54" s="6">
        <v>268.14999999999998</v>
      </c>
      <c r="I54" s="2"/>
      <c r="J54" s="7">
        <f t="shared" si="29"/>
        <v>2.488420007806298E-3</v>
      </c>
      <c r="K54" s="2"/>
      <c r="L54" s="6">
        <f t="shared" si="30"/>
        <v>333.78</v>
      </c>
      <c r="M54" s="2"/>
      <c r="N54" s="7">
        <f t="shared" si="31"/>
        <v>1.2447510721611039</v>
      </c>
      <c r="O54" s="11"/>
      <c r="P54" s="6">
        <v>7401.72</v>
      </c>
      <c r="Q54" s="2"/>
      <c r="R54" s="7">
        <f t="shared" si="32"/>
        <v>1.5330444670320802E-3</v>
      </c>
      <c r="S54" s="2"/>
      <c r="T54" s="6">
        <v>2540.62</v>
      </c>
      <c r="U54" s="2"/>
      <c r="V54" s="7">
        <f t="shared" si="33"/>
        <v>4.6074057325425468E-3</v>
      </c>
      <c r="W54" s="2"/>
      <c r="X54" s="6">
        <f t="shared" si="34"/>
        <v>4861.1000000000004</v>
      </c>
      <c r="Y54" s="2"/>
      <c r="Z54" s="7">
        <f t="shared" si="35"/>
        <v>1.9133518589950487</v>
      </c>
    </row>
    <row r="55" spans="1:26" s="29" customFormat="1" outlineLevel="1" collapsed="1" x14ac:dyDescent="0.3">
      <c r="A55" s="28"/>
      <c r="B55" s="14" t="str">
        <f>CONCATENATE("     ","General                                           ")</f>
        <v xml:space="preserve">     General                                           </v>
      </c>
      <c r="C55" s="14"/>
      <c r="D55" s="1">
        <f>SUM(OSRRefD22_9x_0)</f>
        <v>0</v>
      </c>
      <c r="E55" s="1"/>
      <c r="F55" s="5">
        <f t="shared" si="28"/>
        <v>0</v>
      </c>
      <c r="G55" s="1"/>
      <c r="H55" s="1">
        <f>SUM(OSRRefH22_9x_0)</f>
        <v>38</v>
      </c>
      <c r="I55" s="1"/>
      <c r="J55" s="5">
        <f t="shared" si="29"/>
        <v>3.5263830056550191E-4</v>
      </c>
      <c r="K55" s="1"/>
      <c r="L55" s="1">
        <f t="shared" si="30"/>
        <v>-38</v>
      </c>
      <c r="M55" s="1"/>
      <c r="N55" s="5">
        <f t="shared" si="31"/>
        <v>-1</v>
      </c>
      <c r="O55" s="14"/>
      <c r="P55" s="1">
        <f>SUM(OSRRefP22_9x_0)</f>
        <v>11172.71</v>
      </c>
      <c r="Q55" s="1"/>
      <c r="R55" s="5">
        <f t="shared" si="32"/>
        <v>2.3140920282385706E-3</v>
      </c>
      <c r="S55" s="1"/>
      <c r="T55" s="1">
        <f>SUM(OSRRefT22_9x_0)</f>
        <v>6418.95</v>
      </c>
      <c r="U55" s="1"/>
      <c r="V55" s="5">
        <f t="shared" si="33"/>
        <v>1.1640744002213625E-2</v>
      </c>
      <c r="W55" s="1"/>
      <c r="X55" s="1">
        <f t="shared" si="34"/>
        <v>4753.7599999999993</v>
      </c>
      <c r="Y55" s="1"/>
      <c r="Z55" s="5">
        <f t="shared" si="35"/>
        <v>0.74058218244416918</v>
      </c>
    </row>
    <row r="56" spans="1:26" s="24" customFormat="1" hidden="1" outlineLevel="2" x14ac:dyDescent="0.3">
      <c r="A56" s="27"/>
      <c r="B56" s="11" t="str">
        <f>CONCATENATE("          ", "6279", " - ", "GENERAL EXPENSE")</f>
        <v xml:space="preserve">          6279 - GENERAL EXPENSE</v>
      </c>
      <c r="C56" s="11"/>
      <c r="D56" s="6"/>
      <c r="E56" s="2"/>
      <c r="F56" s="7">
        <f t="shared" si="28"/>
        <v>0</v>
      </c>
      <c r="G56" s="2"/>
      <c r="H56" s="6">
        <v>38</v>
      </c>
      <c r="I56" s="2"/>
      <c r="J56" s="7">
        <f t="shared" si="29"/>
        <v>3.5263830056550191E-4</v>
      </c>
      <c r="K56" s="2"/>
      <c r="L56" s="6">
        <f t="shared" si="30"/>
        <v>-38</v>
      </c>
      <c r="M56" s="2"/>
      <c r="N56" s="7">
        <f t="shared" si="31"/>
        <v>-1</v>
      </c>
      <c r="O56" s="11"/>
      <c r="P56" s="6">
        <v>11172.71</v>
      </c>
      <c r="Q56" s="2"/>
      <c r="R56" s="7">
        <f t="shared" si="32"/>
        <v>2.3140920282385706E-3</v>
      </c>
      <c r="S56" s="2"/>
      <c r="T56" s="6">
        <v>6418.95</v>
      </c>
      <c r="U56" s="2"/>
      <c r="V56" s="7">
        <f t="shared" si="33"/>
        <v>1.1640744002213625E-2</v>
      </c>
      <c r="W56" s="2"/>
      <c r="X56" s="6">
        <f t="shared" si="34"/>
        <v>4753.7599999999993</v>
      </c>
      <c r="Y56" s="2"/>
      <c r="Z56" s="7">
        <f t="shared" si="35"/>
        <v>0.74058218244416918</v>
      </c>
    </row>
    <row r="57" spans="1:26" s="29" customFormat="1" outlineLevel="1" collapsed="1" x14ac:dyDescent="0.3">
      <c r="A57" s="28"/>
      <c r="B57" s="14" t="str">
        <f>CONCATENATE("     ","Insurance                                         ")</f>
        <v xml:space="preserve">     Insurance                                         </v>
      </c>
      <c r="C57" s="14"/>
      <c r="D57" s="1">
        <f>SUM(OSRRefD22_10x_0)</f>
        <v>5.21</v>
      </c>
      <c r="E57" s="1"/>
      <c r="F57" s="5">
        <f t="shared" si="28"/>
        <v>4.0537991275617378E-6</v>
      </c>
      <c r="G57" s="1"/>
      <c r="H57" s="1">
        <f>SUM(OSRRefH22_10x_0)</f>
        <v>5.9</v>
      </c>
      <c r="I57" s="1"/>
      <c r="J57" s="5">
        <f t="shared" si="29"/>
        <v>5.4751736140433195E-5</v>
      </c>
      <c r="K57" s="1"/>
      <c r="L57" s="1">
        <f t="shared" si="30"/>
        <v>-0.69000000000000039</v>
      </c>
      <c r="M57" s="1"/>
      <c r="N57" s="5">
        <f t="shared" si="31"/>
        <v>-0.11694915254237294</v>
      </c>
      <c r="O57" s="14"/>
      <c r="P57" s="1">
        <f>SUM(OSRRefP22_10x_0)</f>
        <v>26.06</v>
      </c>
      <c r="Q57" s="1"/>
      <c r="R57" s="5">
        <f t="shared" si="32"/>
        <v>5.3975479768021495E-6</v>
      </c>
      <c r="S57" s="1"/>
      <c r="T57" s="1">
        <f>SUM(OSRRefT22_10x_0)</f>
        <v>29.5</v>
      </c>
      <c r="U57" s="1"/>
      <c r="V57" s="5">
        <f t="shared" si="33"/>
        <v>5.3498149707553722E-5</v>
      </c>
      <c r="W57" s="1"/>
      <c r="X57" s="1">
        <f t="shared" si="34"/>
        <v>-3.4400000000000013</v>
      </c>
      <c r="Y57" s="1"/>
      <c r="Z57" s="5">
        <f t="shared" si="35"/>
        <v>-0.11661016949152547</v>
      </c>
    </row>
    <row r="58" spans="1:26" s="24" customFormat="1" hidden="1" outlineLevel="2" x14ac:dyDescent="0.3">
      <c r="A58" s="27"/>
      <c r="B58" s="11" t="str">
        <f>CONCATENATE("          ", "6314", " - ", "LIABILITY INSURANCE")</f>
        <v xml:space="preserve">          6314 - LIABILITY INSURANCE</v>
      </c>
      <c r="C58" s="11"/>
      <c r="D58" s="6">
        <v>5.21</v>
      </c>
      <c r="E58" s="2"/>
      <c r="F58" s="7">
        <f t="shared" si="28"/>
        <v>4.0537991275617378E-6</v>
      </c>
      <c r="G58" s="2"/>
      <c r="H58" s="6">
        <v>5.9</v>
      </c>
      <c r="I58" s="2"/>
      <c r="J58" s="7">
        <f t="shared" si="29"/>
        <v>5.4751736140433195E-5</v>
      </c>
      <c r="K58" s="2"/>
      <c r="L58" s="6">
        <f t="shared" si="30"/>
        <v>-0.69000000000000039</v>
      </c>
      <c r="M58" s="2"/>
      <c r="N58" s="7">
        <f t="shared" si="31"/>
        <v>-0.11694915254237294</v>
      </c>
      <c r="O58" s="11"/>
      <c r="P58" s="6">
        <v>26.06</v>
      </c>
      <c r="Q58" s="2"/>
      <c r="R58" s="7">
        <f t="shared" si="32"/>
        <v>5.3975479768021495E-6</v>
      </c>
      <c r="S58" s="2"/>
      <c r="T58" s="6">
        <v>29.5</v>
      </c>
      <c r="U58" s="2"/>
      <c r="V58" s="7">
        <f t="shared" si="33"/>
        <v>5.3498149707553722E-5</v>
      </c>
      <c r="W58" s="2"/>
      <c r="X58" s="6">
        <f t="shared" si="34"/>
        <v>-3.4400000000000013</v>
      </c>
      <c r="Y58" s="2"/>
      <c r="Z58" s="7">
        <f t="shared" si="35"/>
        <v>-0.11661016949152547</v>
      </c>
    </row>
    <row r="59" spans="1:26" s="29" customFormat="1" outlineLevel="1" collapsed="1" x14ac:dyDescent="0.3">
      <c r="A59" s="28"/>
      <c r="B59" s="14" t="str">
        <f>CONCATENATE("     ","R/H Commissions                                   ")</f>
        <v xml:space="preserve">     R/H Commissions                                   </v>
      </c>
      <c r="C59" s="14"/>
      <c r="D59" s="1">
        <f>SUM(OSRRefD22_11x_0)</f>
        <v>102145.22</v>
      </c>
      <c r="E59" s="1"/>
      <c r="F59" s="5">
        <f t="shared" si="28"/>
        <v>7.9477198410864064E-2</v>
      </c>
      <c r="G59" s="1"/>
      <c r="H59" s="1">
        <f>SUM(OSRRefH22_11x_0)</f>
        <v>7982.87</v>
      </c>
      <c r="I59" s="1"/>
      <c r="J59" s="5">
        <f t="shared" si="29"/>
        <v>7.4080676590403377E-2</v>
      </c>
      <c r="K59" s="1"/>
      <c r="L59" s="1">
        <f t="shared" si="30"/>
        <v>94162.35</v>
      </c>
      <c r="M59" s="1"/>
      <c r="N59" s="5">
        <f t="shared" si="31"/>
        <v>11.795550973522055</v>
      </c>
      <c r="O59" s="14"/>
      <c r="P59" s="1">
        <f>SUM(OSRRefP22_11x_0)</f>
        <v>372916.2</v>
      </c>
      <c r="Q59" s="1"/>
      <c r="R59" s="5">
        <f t="shared" si="32"/>
        <v>7.7238414459967236E-2</v>
      </c>
      <c r="S59" s="1"/>
      <c r="T59" s="1">
        <f>SUM(OSRRefT22_11x_0)</f>
        <v>36703.07</v>
      </c>
      <c r="U59" s="1"/>
      <c r="V59" s="5">
        <f t="shared" si="33"/>
        <v>6.6560892663960119E-2</v>
      </c>
      <c r="W59" s="1"/>
      <c r="X59" s="1">
        <f t="shared" si="34"/>
        <v>336213.13</v>
      </c>
      <c r="Y59" s="1"/>
      <c r="Z59" s="5">
        <f t="shared" si="35"/>
        <v>9.1603544335664573</v>
      </c>
    </row>
    <row r="60" spans="1:26" s="24" customFormat="1" hidden="1" outlineLevel="2" x14ac:dyDescent="0.3">
      <c r="A60" s="27"/>
      <c r="B60" s="11" t="str">
        <f>CONCATENATE("          ", "6387", " - ", "COMMISSION DUE HOUSING")</f>
        <v xml:space="preserve">          6387 - COMMISSION DUE HOUSING</v>
      </c>
      <c r="C60" s="11"/>
      <c r="D60" s="6">
        <v>102145.22</v>
      </c>
      <c r="E60" s="2"/>
      <c r="F60" s="7">
        <f t="shared" si="28"/>
        <v>7.9477198410864064E-2</v>
      </c>
      <c r="G60" s="2"/>
      <c r="H60" s="6">
        <v>7982.87</v>
      </c>
      <c r="I60" s="2"/>
      <c r="J60" s="7">
        <f t="shared" si="29"/>
        <v>7.4080676590403377E-2</v>
      </c>
      <c r="K60" s="2"/>
      <c r="L60" s="6">
        <f t="shared" si="30"/>
        <v>94162.35</v>
      </c>
      <c r="M60" s="2"/>
      <c r="N60" s="7">
        <f t="shared" si="31"/>
        <v>11.795550973522055</v>
      </c>
      <c r="O60" s="11"/>
      <c r="P60" s="6">
        <v>372916.2</v>
      </c>
      <c r="Q60" s="2"/>
      <c r="R60" s="7">
        <f t="shared" si="32"/>
        <v>7.7238414459967236E-2</v>
      </c>
      <c r="S60" s="2"/>
      <c r="T60" s="6">
        <v>36703.07</v>
      </c>
      <c r="U60" s="2"/>
      <c r="V60" s="7">
        <f t="shared" si="33"/>
        <v>6.6560892663960119E-2</v>
      </c>
      <c r="W60" s="2"/>
      <c r="X60" s="6">
        <f t="shared" si="34"/>
        <v>336213.13</v>
      </c>
      <c r="Y60" s="2"/>
      <c r="Z60" s="7">
        <f t="shared" si="35"/>
        <v>9.1603544335664573</v>
      </c>
    </row>
    <row r="61" spans="1:26" s="29" customFormat="1" outlineLevel="1" collapsed="1" x14ac:dyDescent="0.3">
      <c r="A61" s="28"/>
      <c r="B61" s="14" t="str">
        <f>CONCATENATE("     ","Repair and Maintenance                            ")</f>
        <v xml:space="preserve">     Repair and Maintenance                            </v>
      </c>
      <c r="C61" s="14"/>
      <c r="D61" s="1">
        <f>SUM(OSRRefD22_12x_0)</f>
        <v>3855.79</v>
      </c>
      <c r="E61" s="1"/>
      <c r="F61" s="5">
        <f t="shared" si="28"/>
        <v>3.0001148057699181E-3</v>
      </c>
      <c r="G61" s="1"/>
      <c r="H61" s="1">
        <f>SUM(OSRRefH22_12x_0)</f>
        <v>1083.72</v>
      </c>
      <c r="I61" s="1"/>
      <c r="J61" s="5">
        <f t="shared" si="29"/>
        <v>1.0056873133916993E-2</v>
      </c>
      <c r="K61" s="1"/>
      <c r="L61" s="1">
        <f t="shared" si="30"/>
        <v>2772.0699999999997</v>
      </c>
      <c r="M61" s="1"/>
      <c r="N61" s="5">
        <f t="shared" si="31"/>
        <v>2.5579208651681244</v>
      </c>
      <c r="O61" s="14"/>
      <c r="P61" s="1">
        <f>SUM(OSRRefP22_12x_0)</f>
        <v>22292.92</v>
      </c>
      <c r="Q61" s="1"/>
      <c r="R61" s="5">
        <f t="shared" si="32"/>
        <v>4.6173102549122097E-3</v>
      </c>
      <c r="S61" s="1"/>
      <c r="T61" s="1">
        <f>SUM(OSRRefT22_12x_0)</f>
        <v>4411.6400000000003</v>
      </c>
      <c r="U61" s="1"/>
      <c r="V61" s="5">
        <f t="shared" si="33"/>
        <v>8.0004941415536372E-3</v>
      </c>
      <c r="W61" s="1"/>
      <c r="X61" s="1">
        <f t="shared" si="34"/>
        <v>17881.28</v>
      </c>
      <c r="Y61" s="1"/>
      <c r="Z61" s="5">
        <f t="shared" si="35"/>
        <v>4.0532047039196302</v>
      </c>
    </row>
    <row r="62" spans="1:26" s="24" customFormat="1" hidden="1" outlineLevel="2" x14ac:dyDescent="0.3">
      <c r="A62" s="27"/>
      <c r="B62" s="11" t="str">
        <f>CONCATENATE("          ", "6371", " - ", "COMPUTER SOFTWARE MAINTENANCE")</f>
        <v xml:space="preserve">          6371 - COMPUTER SOFTWARE MAINTENANCE</v>
      </c>
      <c r="C62" s="11"/>
      <c r="D62" s="6">
        <v>3500</v>
      </c>
      <c r="E62" s="2"/>
      <c r="F62" s="7">
        <f t="shared" si="28"/>
        <v>2.7232815636211291E-3</v>
      </c>
      <c r="G62" s="2"/>
      <c r="H62" s="6"/>
      <c r="I62" s="2"/>
      <c r="J62" s="7">
        <f t="shared" si="29"/>
        <v>0</v>
      </c>
      <c r="K62" s="2"/>
      <c r="L62" s="6">
        <f t="shared" si="30"/>
        <v>3500</v>
      </c>
      <c r="M62" s="2"/>
      <c r="N62" s="7">
        <f t="shared" si="31"/>
        <v>0</v>
      </c>
      <c r="O62" s="11"/>
      <c r="P62" s="6">
        <v>17500</v>
      </c>
      <c r="Q62" s="2"/>
      <c r="R62" s="7">
        <f t="shared" si="32"/>
        <v>3.6246005216438075E-3</v>
      </c>
      <c r="S62" s="2"/>
      <c r="T62" s="6"/>
      <c r="U62" s="2"/>
      <c r="V62" s="7">
        <f t="shared" si="33"/>
        <v>0</v>
      </c>
      <c r="W62" s="2"/>
      <c r="X62" s="6">
        <f t="shared" si="34"/>
        <v>17500</v>
      </c>
      <c r="Y62" s="2"/>
      <c r="Z62" s="7">
        <f t="shared" si="35"/>
        <v>0</v>
      </c>
    </row>
    <row r="63" spans="1:26" s="24" customFormat="1" hidden="1" outlineLevel="2" x14ac:dyDescent="0.3">
      <c r="A63" s="27"/>
      <c r="B63" s="11" t="str">
        <f>CONCATENATE("          ", "6373", " - ", "MAINTENANCE CONTRACTS")</f>
        <v xml:space="preserve">          6373 - MAINTENANCE CONTRACTS</v>
      </c>
      <c r="C63" s="11"/>
      <c r="D63" s="6">
        <v>26.75</v>
      </c>
      <c r="E63" s="2"/>
      <c r="F63" s="7">
        <f t="shared" si="28"/>
        <v>2.0813651950532916E-5</v>
      </c>
      <c r="G63" s="2"/>
      <c r="H63" s="6">
        <v>8.52</v>
      </c>
      <c r="I63" s="2"/>
      <c r="J63" s="7">
        <f t="shared" si="29"/>
        <v>7.9065218968896742E-5</v>
      </c>
      <c r="K63" s="2"/>
      <c r="L63" s="6">
        <f t="shared" si="30"/>
        <v>18.23</v>
      </c>
      <c r="M63" s="2"/>
      <c r="N63" s="7">
        <f t="shared" si="31"/>
        <v>2.1396713615023475</v>
      </c>
      <c r="O63" s="11"/>
      <c r="P63" s="6">
        <v>337.42</v>
      </c>
      <c r="Q63" s="2"/>
      <c r="R63" s="7">
        <f t="shared" si="32"/>
        <v>6.9886440457888778E-5</v>
      </c>
      <c r="S63" s="2"/>
      <c r="T63" s="6">
        <v>2734.82</v>
      </c>
      <c r="U63" s="2"/>
      <c r="V63" s="7">
        <f t="shared" si="33"/>
        <v>4.9595867723122734E-3</v>
      </c>
      <c r="W63" s="2"/>
      <c r="X63" s="6">
        <f t="shared" si="34"/>
        <v>-2397.4</v>
      </c>
      <c r="Y63" s="2"/>
      <c r="Z63" s="7">
        <f t="shared" si="35"/>
        <v>-0.87662076480353368</v>
      </c>
    </row>
    <row r="64" spans="1:26" s="24" customFormat="1" hidden="1" outlineLevel="2" x14ac:dyDescent="0.3">
      <c r="A64" s="27"/>
      <c r="B64" s="11" t="str">
        <f>CONCATENATE("          ", "6375", " - ", "OUTSIDE REPAIRS &amp; MAINTENANCE")</f>
        <v xml:space="preserve">          6375 - OUTSIDE REPAIRS &amp; MAINTENANCE</v>
      </c>
      <c r="C64" s="11"/>
      <c r="D64" s="6">
        <v>329.04</v>
      </c>
      <c r="E64" s="2"/>
      <c r="F64" s="7">
        <f t="shared" si="28"/>
        <v>2.5601959019825612E-4</v>
      </c>
      <c r="G64" s="2"/>
      <c r="H64" s="6">
        <v>1075.2</v>
      </c>
      <c r="I64" s="2"/>
      <c r="J64" s="7">
        <f t="shared" si="29"/>
        <v>9.9778079149480964E-3</v>
      </c>
      <c r="K64" s="2"/>
      <c r="L64" s="6">
        <f t="shared" si="30"/>
        <v>-746.16000000000008</v>
      </c>
      <c r="M64" s="2"/>
      <c r="N64" s="7">
        <f t="shared" si="31"/>
        <v>-0.69397321428571435</v>
      </c>
      <c r="O64" s="11"/>
      <c r="P64" s="6">
        <v>4455.5</v>
      </c>
      <c r="Q64" s="2"/>
      <c r="R64" s="7">
        <f t="shared" si="32"/>
        <v>9.2282329281051338E-4</v>
      </c>
      <c r="S64" s="2"/>
      <c r="T64" s="6">
        <v>1676.82</v>
      </c>
      <c r="U64" s="2"/>
      <c r="V64" s="7">
        <f t="shared" si="33"/>
        <v>3.0409073692413634E-3</v>
      </c>
      <c r="W64" s="2"/>
      <c r="X64" s="6">
        <f t="shared" si="34"/>
        <v>2778.6800000000003</v>
      </c>
      <c r="Y64" s="2"/>
      <c r="Z64" s="7">
        <f t="shared" si="35"/>
        <v>1.6571128684056728</v>
      </c>
    </row>
    <row r="65" spans="1:26" s="29" customFormat="1" outlineLevel="1" collapsed="1" x14ac:dyDescent="0.3">
      <c r="A65" s="28"/>
      <c r="B65" s="14" t="str">
        <f>CONCATENATE("     ","Services                                          ")</f>
        <v xml:space="preserve">     Services                                          </v>
      </c>
      <c r="C65" s="14"/>
      <c r="D65" s="1">
        <f>SUM(OSRRefD22_13x_0)</f>
        <v>18897.68</v>
      </c>
      <c r="E65" s="1"/>
      <c r="F65" s="5">
        <f t="shared" ref="F65:F68" si="36">IF(D$12=0,0,D65/D$12)</f>
        <v>1.4703915296917639E-2</v>
      </c>
      <c r="G65" s="1"/>
      <c r="H65" s="1">
        <f>SUM(OSRRefH22_13x_0)</f>
        <v>9251.5300000000007</v>
      </c>
      <c r="I65" s="1"/>
      <c r="J65" s="5">
        <f t="shared" ref="J65:J68" si="37">IF(H$12=0,0,H65/H$12)</f>
        <v>8.5853784653440998E-2</v>
      </c>
      <c r="K65" s="1"/>
      <c r="L65" s="1">
        <f t="shared" ref="L65:L68" si="38">+D65-H65</f>
        <v>9646.15</v>
      </c>
      <c r="M65" s="1"/>
      <c r="N65" s="5">
        <f t="shared" ref="N65:N68" si="39">IF(H65=0,0,L65/H65)</f>
        <v>1.042654566325786</v>
      </c>
      <c r="O65" s="14"/>
      <c r="P65" s="1">
        <f>SUM(OSRRefP22_13x_0)</f>
        <v>81921.08</v>
      </c>
      <c r="Q65" s="1"/>
      <c r="R65" s="5">
        <f t="shared" ref="R65:R68" si="40">IF(P$12=0,0,P65/P$12)</f>
        <v>1.6967496531521378E-2</v>
      </c>
      <c r="S65" s="1"/>
      <c r="T65" s="1">
        <f>SUM(OSRRefT22_13x_0)</f>
        <v>52915.880000000005</v>
      </c>
      <c r="U65" s="1"/>
      <c r="V65" s="5">
        <f t="shared" ref="V65:V68" si="41">IF(T$12=0,0,T65/T$12)</f>
        <v>9.596276847955755E-2</v>
      </c>
      <c r="W65" s="1"/>
      <c r="X65" s="1">
        <f t="shared" ref="X65:X68" si="42">+P65-T65</f>
        <v>29005.199999999997</v>
      </c>
      <c r="Y65" s="1"/>
      <c r="Z65" s="5">
        <f t="shared" ref="Z65:Z68" si="43">IF(T65=0,0,X65/T65)</f>
        <v>0.54813791247542321</v>
      </c>
    </row>
    <row r="66" spans="1:26" s="24" customFormat="1" hidden="1" outlineLevel="2" x14ac:dyDescent="0.3">
      <c r="A66" s="27"/>
      <c r="B66" s="11" t="str">
        <f>CONCATENATE("          ", "6282", " - ", "JANITORIAL/EXTERMINATOR EXPENS")</f>
        <v xml:space="preserve">          6282 - JANITORIAL/EXTERMINATOR EXPENS</v>
      </c>
      <c r="C66" s="11"/>
      <c r="D66" s="6">
        <v>1705.73</v>
      </c>
      <c r="E66" s="2"/>
      <c r="F66" s="7">
        <f t="shared" si="36"/>
        <v>1.3271951604329911E-3</v>
      </c>
      <c r="G66" s="2"/>
      <c r="H66" s="6">
        <v>130.69999999999999</v>
      </c>
      <c r="I66" s="2"/>
      <c r="J66" s="7">
        <f t="shared" si="37"/>
        <v>1.2128901548397657E-3</v>
      </c>
      <c r="K66" s="2"/>
      <c r="L66" s="6">
        <f t="shared" si="38"/>
        <v>1575.03</v>
      </c>
      <c r="M66" s="2"/>
      <c r="N66" s="7">
        <f t="shared" si="39"/>
        <v>12.050726855394032</v>
      </c>
      <c r="O66" s="11"/>
      <c r="P66" s="6">
        <v>9392.57</v>
      </c>
      <c r="Q66" s="2"/>
      <c r="R66" s="7">
        <f t="shared" si="40"/>
        <v>1.9453893783757702E-3</v>
      </c>
      <c r="S66" s="2"/>
      <c r="T66" s="6">
        <v>3888.71</v>
      </c>
      <c r="U66" s="2"/>
      <c r="V66" s="7">
        <f t="shared" si="41"/>
        <v>7.0521623643817364E-3</v>
      </c>
      <c r="W66" s="2"/>
      <c r="X66" s="6">
        <f t="shared" si="42"/>
        <v>5503.86</v>
      </c>
      <c r="Y66" s="2"/>
      <c r="Z66" s="7">
        <f t="shared" si="43"/>
        <v>1.4153433915102951</v>
      </c>
    </row>
    <row r="67" spans="1:26" s="24" customFormat="1" hidden="1" outlineLevel="2" x14ac:dyDescent="0.3">
      <c r="A67" s="27"/>
      <c r="B67" s="11" t="str">
        <f>CONCATENATE("          ", "6285", " - ", "JANITORIAL SERVICES")</f>
        <v xml:space="preserve">          6285 - JANITORIAL SERVICES</v>
      </c>
      <c r="C67" s="11"/>
      <c r="D67" s="6">
        <v>14771.9</v>
      </c>
      <c r="E67" s="2"/>
      <c r="F67" s="7">
        <f t="shared" si="36"/>
        <v>1.1493726551329988E-2</v>
      </c>
      <c r="G67" s="2"/>
      <c r="H67" s="6">
        <v>8351.15</v>
      </c>
      <c r="I67" s="2"/>
      <c r="J67" s="7">
        <f t="shared" si="37"/>
        <v>7.7498298520199765E-2</v>
      </c>
      <c r="K67" s="2"/>
      <c r="L67" s="6">
        <f t="shared" si="38"/>
        <v>6420.75</v>
      </c>
      <c r="M67" s="2"/>
      <c r="N67" s="7">
        <f t="shared" si="39"/>
        <v>0.76884620680984062</v>
      </c>
      <c r="O67" s="11"/>
      <c r="P67" s="6">
        <v>59116.28</v>
      </c>
      <c r="Q67" s="2"/>
      <c r="R67" s="7">
        <f t="shared" si="40"/>
        <v>1.2244165675750937E-2</v>
      </c>
      <c r="S67" s="2"/>
      <c r="T67" s="6">
        <v>40950.83</v>
      </c>
      <c r="U67" s="2"/>
      <c r="V67" s="7">
        <f t="shared" si="41"/>
        <v>7.4264190982663805E-2</v>
      </c>
      <c r="W67" s="2"/>
      <c r="X67" s="6">
        <f t="shared" si="42"/>
        <v>18165.449999999997</v>
      </c>
      <c r="Y67" s="2"/>
      <c r="Z67" s="7">
        <f t="shared" si="43"/>
        <v>0.44359174160816756</v>
      </c>
    </row>
    <row r="68" spans="1:26" s="24" customFormat="1" hidden="1" outlineLevel="2" x14ac:dyDescent="0.3">
      <c r="A68" s="27"/>
      <c r="B68" s="11" t="str">
        <f>CONCATENATE("          ", "6286", " - ", "LAUNDRY EXPENSE")</f>
        <v xml:space="preserve">          6286 - LAUNDRY EXPENSE</v>
      </c>
      <c r="C68" s="11"/>
      <c r="D68" s="6">
        <v>2420.0500000000002</v>
      </c>
      <c r="E68" s="2"/>
      <c r="F68" s="7">
        <f t="shared" si="36"/>
        <v>1.8829935851546612E-3</v>
      </c>
      <c r="G68" s="2"/>
      <c r="H68" s="6">
        <v>769.68</v>
      </c>
      <c r="I68" s="2"/>
      <c r="J68" s="7">
        <f t="shared" si="37"/>
        <v>7.1425959784014604E-3</v>
      </c>
      <c r="K68" s="2"/>
      <c r="L68" s="6">
        <f t="shared" si="38"/>
        <v>1650.3700000000003</v>
      </c>
      <c r="M68" s="2"/>
      <c r="N68" s="7">
        <f t="shared" si="39"/>
        <v>2.144228770398088</v>
      </c>
      <c r="O68" s="11"/>
      <c r="P68" s="6">
        <v>13412.23</v>
      </c>
      <c r="Q68" s="2"/>
      <c r="R68" s="7">
        <f t="shared" si="40"/>
        <v>2.7779414773946702E-3</v>
      </c>
      <c r="S68" s="2"/>
      <c r="T68" s="6">
        <v>8076.34</v>
      </c>
      <c r="U68" s="2"/>
      <c r="V68" s="7">
        <f t="shared" si="41"/>
        <v>1.4646415132512015E-2</v>
      </c>
      <c r="W68" s="2"/>
      <c r="X68" s="6">
        <f t="shared" si="42"/>
        <v>5335.8899999999994</v>
      </c>
      <c r="Y68" s="2"/>
      <c r="Z68" s="7">
        <f t="shared" si="43"/>
        <v>0.66068169492616702</v>
      </c>
    </row>
    <row r="69" spans="1:26" s="29" customFormat="1" outlineLevel="1" collapsed="1" x14ac:dyDescent="0.3">
      <c r="A69" s="28"/>
      <c r="B69" s="14" t="str">
        <f>CONCATENATE("     ","Subscriptions &amp; Dues                              ")</f>
        <v xml:space="preserve">     Subscriptions &amp; Dues                              </v>
      </c>
      <c r="C69" s="14"/>
      <c r="D69" s="1">
        <f>SUM(OSRRefD22_14x_0)</f>
        <v>0</v>
      </c>
      <c r="E69" s="1"/>
      <c r="F69" s="5">
        <f t="shared" ref="F69:F79" si="44">IF(D$12=0,0,D69/D$12)</f>
        <v>0</v>
      </c>
      <c r="G69" s="1"/>
      <c r="H69" s="1">
        <f>SUM(OSRRefH22_14x_0)</f>
        <v>795</v>
      </c>
      <c r="I69" s="1"/>
      <c r="J69" s="5">
        <f t="shared" ref="J69:J79" si="45">IF(H$12=0,0,H69/H$12)</f>
        <v>7.3775644460414213E-3</v>
      </c>
      <c r="K69" s="1"/>
      <c r="L69" s="1">
        <f t="shared" ref="L69:L79" si="46">+D69-H69</f>
        <v>-795</v>
      </c>
      <c r="M69" s="1"/>
      <c r="N69" s="5">
        <f t="shared" ref="N69:N79" si="47">IF(H69=0,0,L69/H69)</f>
        <v>-1</v>
      </c>
      <c r="O69" s="14"/>
      <c r="P69" s="1">
        <f>SUM(OSRRefP22_14x_0)</f>
        <v>0</v>
      </c>
      <c r="Q69" s="1"/>
      <c r="R69" s="5">
        <f t="shared" ref="R69:R79" si="48">IF(P$12=0,0,P69/P$12)</f>
        <v>0</v>
      </c>
      <c r="S69" s="1"/>
      <c r="T69" s="1">
        <f>SUM(OSRRefT22_14x_0)</f>
        <v>795</v>
      </c>
      <c r="U69" s="1"/>
      <c r="V69" s="5">
        <f t="shared" ref="V69:V79" si="49">IF(T$12=0,0,T69/T$12)</f>
        <v>1.4417297972035663E-3</v>
      </c>
      <c r="W69" s="1"/>
      <c r="X69" s="1">
        <f t="shared" ref="X69:X79" si="50">+P69-T69</f>
        <v>-795</v>
      </c>
      <c r="Y69" s="1"/>
      <c r="Z69" s="5">
        <f t="shared" ref="Z69:Z79" si="51">IF(T69=0,0,X69/T69)</f>
        <v>-1</v>
      </c>
    </row>
    <row r="70" spans="1:26" s="24" customFormat="1" hidden="1" outlineLevel="2" x14ac:dyDescent="0.3">
      <c r="A70" s="27"/>
      <c r="B70" s="11" t="str">
        <f>CONCATENATE("          ", "6258", " - ", "MEMBERSHIP DUES")</f>
        <v xml:space="preserve">          6258 - MEMBERSHIP DUES</v>
      </c>
      <c r="C70" s="11"/>
      <c r="D70" s="6"/>
      <c r="E70" s="2"/>
      <c r="F70" s="7">
        <f t="shared" si="44"/>
        <v>0</v>
      </c>
      <c r="G70" s="2"/>
      <c r="H70" s="6">
        <v>795</v>
      </c>
      <c r="I70" s="2"/>
      <c r="J70" s="7">
        <f t="shared" si="45"/>
        <v>7.3775644460414213E-3</v>
      </c>
      <c r="K70" s="2"/>
      <c r="L70" s="6">
        <f t="shared" si="46"/>
        <v>-795</v>
      </c>
      <c r="M70" s="2"/>
      <c r="N70" s="7">
        <f t="shared" si="47"/>
        <v>-1</v>
      </c>
      <c r="O70" s="11"/>
      <c r="P70" s="6"/>
      <c r="Q70" s="2"/>
      <c r="R70" s="7">
        <f t="shared" si="48"/>
        <v>0</v>
      </c>
      <c r="S70" s="2"/>
      <c r="T70" s="6">
        <v>795</v>
      </c>
      <c r="U70" s="2"/>
      <c r="V70" s="7">
        <f t="shared" si="49"/>
        <v>1.4417297972035663E-3</v>
      </c>
      <c r="W70" s="2"/>
      <c r="X70" s="6">
        <f t="shared" si="50"/>
        <v>-795</v>
      </c>
      <c r="Y70" s="2"/>
      <c r="Z70" s="7">
        <f t="shared" si="51"/>
        <v>-1</v>
      </c>
    </row>
    <row r="71" spans="1:26" s="29" customFormat="1" outlineLevel="1" collapsed="1" x14ac:dyDescent="0.3">
      <c r="A71" s="28"/>
      <c r="B71" s="14" t="str">
        <f>CONCATENATE("     ","Supplies                                          ")</f>
        <v xml:space="preserve">     Supplies                                          </v>
      </c>
      <c r="C71" s="14"/>
      <c r="D71" s="1">
        <f>SUM(OSRRefD22_15x_0)</f>
        <v>20353</v>
      </c>
      <c r="E71" s="1"/>
      <c r="F71" s="5">
        <f t="shared" si="44"/>
        <v>1.583627133268024E-2</v>
      </c>
      <c r="G71" s="1"/>
      <c r="H71" s="1">
        <f>SUM(OSRRefH22_15x_0)</f>
        <v>21390.29</v>
      </c>
      <c r="I71" s="1"/>
      <c r="J71" s="5">
        <f t="shared" si="45"/>
        <v>0.19850093458429607</v>
      </c>
      <c r="K71" s="1"/>
      <c r="L71" s="1">
        <f t="shared" si="46"/>
        <v>-1037.2900000000009</v>
      </c>
      <c r="M71" s="1"/>
      <c r="N71" s="5">
        <f t="shared" si="47"/>
        <v>-4.8493498685618606E-2</v>
      </c>
      <c r="O71" s="14"/>
      <c r="P71" s="1">
        <f>SUM(OSRRefP22_15x_0)</f>
        <v>179777.41</v>
      </c>
      <c r="Q71" s="1"/>
      <c r="R71" s="5">
        <f t="shared" si="48"/>
        <v>3.7235502518044153E-2</v>
      </c>
      <c r="S71" s="1"/>
      <c r="T71" s="1">
        <f>SUM(OSRRefT22_15x_0)</f>
        <v>76003.199999999997</v>
      </c>
      <c r="U71" s="1"/>
      <c r="V71" s="5">
        <f t="shared" si="49"/>
        <v>0.13783154480858123</v>
      </c>
      <c r="W71" s="1"/>
      <c r="X71" s="1">
        <f t="shared" si="50"/>
        <v>103774.21</v>
      </c>
      <c r="Y71" s="1"/>
      <c r="Z71" s="5">
        <f t="shared" si="51"/>
        <v>1.3653926413624691</v>
      </c>
    </row>
    <row r="72" spans="1:26" s="24" customFormat="1" hidden="1" outlineLevel="2" x14ac:dyDescent="0.3">
      <c r="A72" s="27"/>
      <c r="B72" s="11" t="str">
        <f>CONCATENATE("          ", "6234", " - ", "EXPENDABLE SUPPLIES &amp; EQUIPMEN")</f>
        <v xml:space="preserve">          6234 - EXPENDABLE SUPPLIES &amp; EQUIPMEN</v>
      </c>
      <c r="C72" s="11"/>
      <c r="D72" s="6"/>
      <c r="E72" s="2"/>
      <c r="F72" s="7">
        <f t="shared" si="44"/>
        <v>0</v>
      </c>
      <c r="G72" s="2"/>
      <c r="H72" s="6"/>
      <c r="I72" s="2"/>
      <c r="J72" s="7">
        <f t="shared" si="45"/>
        <v>0</v>
      </c>
      <c r="K72" s="2"/>
      <c r="L72" s="6">
        <f t="shared" si="46"/>
        <v>0</v>
      </c>
      <c r="M72" s="2"/>
      <c r="N72" s="7">
        <f t="shared" si="47"/>
        <v>0</v>
      </c>
      <c r="O72" s="11"/>
      <c r="P72" s="6">
        <v>21.98</v>
      </c>
      <c r="Q72" s="2"/>
      <c r="R72" s="7">
        <f t="shared" si="48"/>
        <v>4.5524982551846229E-6</v>
      </c>
      <c r="S72" s="2"/>
      <c r="T72" s="6"/>
      <c r="U72" s="2"/>
      <c r="V72" s="7">
        <f t="shared" si="49"/>
        <v>0</v>
      </c>
      <c r="W72" s="2"/>
      <c r="X72" s="6">
        <f t="shared" si="50"/>
        <v>21.98</v>
      </c>
      <c r="Y72" s="2"/>
      <c r="Z72" s="7">
        <f t="shared" si="51"/>
        <v>0</v>
      </c>
    </row>
    <row r="73" spans="1:26" s="24" customFormat="1" hidden="1" outlineLevel="2" x14ac:dyDescent="0.3">
      <c r="A73" s="27"/>
      <c r="B73" s="11" t="str">
        <f>CONCATENATE("          ", "6235", " - ", "COVID-19 EXPENSES")</f>
        <v xml:space="preserve">          6235 - COVID-19 EXPENSES</v>
      </c>
      <c r="C73" s="11"/>
      <c r="D73" s="6"/>
      <c r="E73" s="2"/>
      <c r="F73" s="7">
        <f t="shared" si="44"/>
        <v>0</v>
      </c>
      <c r="G73" s="2"/>
      <c r="H73" s="6">
        <v>11925.52</v>
      </c>
      <c r="I73" s="2"/>
      <c r="J73" s="7">
        <f t="shared" si="45"/>
        <v>0.11066829226736591</v>
      </c>
      <c r="K73" s="2"/>
      <c r="L73" s="6">
        <f t="shared" si="46"/>
        <v>-11925.52</v>
      </c>
      <c r="M73" s="2"/>
      <c r="N73" s="7">
        <f t="shared" si="47"/>
        <v>-1</v>
      </c>
      <c r="O73" s="11"/>
      <c r="P73" s="6"/>
      <c r="Q73" s="2"/>
      <c r="R73" s="7">
        <f t="shared" si="48"/>
        <v>0</v>
      </c>
      <c r="S73" s="2"/>
      <c r="T73" s="6">
        <v>43012.17</v>
      </c>
      <c r="U73" s="2"/>
      <c r="V73" s="7">
        <f t="shared" si="49"/>
        <v>7.8002424064635617E-2</v>
      </c>
      <c r="W73" s="2"/>
      <c r="X73" s="6">
        <f t="shared" si="50"/>
        <v>-43012.17</v>
      </c>
      <c r="Y73" s="2"/>
      <c r="Z73" s="7">
        <f t="shared" si="51"/>
        <v>-1</v>
      </c>
    </row>
    <row r="74" spans="1:26" s="24" customFormat="1" hidden="1" outlineLevel="2" x14ac:dyDescent="0.3">
      <c r="A74" s="27"/>
      <c r="B74" s="11" t="str">
        <f>CONCATENATE("          ", "6237", " - ", "JANITORIAL SUPPLIES")</f>
        <v xml:space="preserve">          6237 - JANITORIAL SUPPLIES</v>
      </c>
      <c r="C74" s="11"/>
      <c r="D74" s="6">
        <v>4059.52</v>
      </c>
      <c r="E74" s="2"/>
      <c r="F74" s="7">
        <f t="shared" si="44"/>
        <v>3.1586331351860703E-3</v>
      </c>
      <c r="G74" s="2"/>
      <c r="H74" s="6">
        <v>390.1</v>
      </c>
      <c r="I74" s="2"/>
      <c r="J74" s="7">
        <f t="shared" si="45"/>
        <v>3.6201105539632188E-3</v>
      </c>
      <c r="K74" s="2"/>
      <c r="L74" s="6">
        <f t="shared" si="46"/>
        <v>3669.42</v>
      </c>
      <c r="M74" s="2"/>
      <c r="N74" s="7">
        <f t="shared" si="47"/>
        <v>9.4063573442706989</v>
      </c>
      <c r="O74" s="11"/>
      <c r="P74" s="6">
        <v>27061.88</v>
      </c>
      <c r="Q74" s="2"/>
      <c r="R74" s="7">
        <f t="shared" si="48"/>
        <v>5.6050573922664078E-3</v>
      </c>
      <c r="S74" s="2"/>
      <c r="T74" s="6">
        <v>8282.26</v>
      </c>
      <c r="U74" s="2"/>
      <c r="V74" s="7">
        <f t="shared" si="49"/>
        <v>1.5019850352436741E-2</v>
      </c>
      <c r="W74" s="2"/>
      <c r="X74" s="6">
        <f t="shared" si="50"/>
        <v>18779.620000000003</v>
      </c>
      <c r="Y74" s="2"/>
      <c r="Z74" s="7">
        <f t="shared" si="51"/>
        <v>2.2674511546365368</v>
      </c>
    </row>
    <row r="75" spans="1:26" s="24" customFormat="1" hidden="1" outlineLevel="2" x14ac:dyDescent="0.3">
      <c r="A75" s="27"/>
      <c r="B75" s="11" t="str">
        <f>CONCATENATE("          ", "6239", " - ", "KITCHEN SUPPLIES")</f>
        <v xml:space="preserve">          6239 - KITCHEN SUPPLIES</v>
      </c>
      <c r="C75" s="11"/>
      <c r="D75" s="6">
        <v>871.69</v>
      </c>
      <c r="E75" s="2"/>
      <c r="F75" s="7">
        <f t="shared" si="44"/>
        <v>6.7824494462654348E-4</v>
      </c>
      <c r="G75" s="2"/>
      <c r="H75" s="6">
        <v>1494.83</v>
      </c>
      <c r="I75" s="2"/>
      <c r="J75" s="7">
        <f t="shared" si="45"/>
        <v>1.387195554827182E-2</v>
      </c>
      <c r="K75" s="2"/>
      <c r="L75" s="6">
        <f t="shared" si="46"/>
        <v>-623.13999999999987</v>
      </c>
      <c r="M75" s="2"/>
      <c r="N75" s="7">
        <f t="shared" si="47"/>
        <v>-0.41686345604516895</v>
      </c>
      <c r="O75" s="11"/>
      <c r="P75" s="6">
        <v>23993.26</v>
      </c>
      <c r="Q75" s="2"/>
      <c r="R75" s="7">
        <f t="shared" si="48"/>
        <v>4.9694847263963143E-3</v>
      </c>
      <c r="S75" s="2"/>
      <c r="T75" s="6">
        <v>5666.51</v>
      </c>
      <c r="U75" s="2"/>
      <c r="V75" s="7">
        <f t="shared" si="49"/>
        <v>1.0276196620316957E-2</v>
      </c>
      <c r="W75" s="2"/>
      <c r="X75" s="6">
        <f t="shared" si="50"/>
        <v>18326.75</v>
      </c>
      <c r="Y75" s="2"/>
      <c r="Z75" s="7">
        <f t="shared" si="51"/>
        <v>3.2342217696606905</v>
      </c>
    </row>
    <row r="76" spans="1:26" s="24" customFormat="1" hidden="1" outlineLevel="2" x14ac:dyDescent="0.3">
      <c r="A76" s="27"/>
      <c r="B76" s="11" t="str">
        <f>CONCATENATE("          ", "6241", " - ", "OFFICE EXPENSE")</f>
        <v xml:space="preserve">          6241 - OFFICE EXPENSE</v>
      </c>
      <c r="C76" s="11"/>
      <c r="D76" s="6">
        <v>566.19000000000005</v>
      </c>
      <c r="E76" s="2"/>
      <c r="F76" s="7">
        <f t="shared" si="44"/>
        <v>4.4054136814475635E-4</v>
      </c>
      <c r="G76" s="2"/>
      <c r="H76" s="6">
        <v>1207.05</v>
      </c>
      <c r="I76" s="2"/>
      <c r="J76" s="7">
        <f t="shared" si="45"/>
        <v>1.1201370018357608E-2</v>
      </c>
      <c r="K76" s="2"/>
      <c r="L76" s="6">
        <f t="shared" si="46"/>
        <v>-640.8599999999999</v>
      </c>
      <c r="M76" s="2"/>
      <c r="N76" s="7">
        <f t="shared" si="47"/>
        <v>-0.53093078165776064</v>
      </c>
      <c r="O76" s="11"/>
      <c r="P76" s="6">
        <v>11182.57</v>
      </c>
      <c r="Q76" s="2"/>
      <c r="R76" s="7">
        <f t="shared" si="48"/>
        <v>2.3161342317324796E-3</v>
      </c>
      <c r="S76" s="2"/>
      <c r="T76" s="6">
        <v>2561.98</v>
      </c>
      <c r="U76" s="2"/>
      <c r="V76" s="7">
        <f t="shared" si="49"/>
        <v>4.6461420199240162E-3</v>
      </c>
      <c r="W76" s="2"/>
      <c r="X76" s="6">
        <f t="shared" si="50"/>
        <v>8620.59</v>
      </c>
      <c r="Y76" s="2"/>
      <c r="Z76" s="7">
        <f t="shared" si="51"/>
        <v>3.3648154942661535</v>
      </c>
    </row>
    <row r="77" spans="1:26" s="24" customFormat="1" hidden="1" outlineLevel="2" x14ac:dyDescent="0.3">
      <c r="A77" s="27"/>
      <c r="B77" s="11" t="str">
        <f>CONCATENATE("          ", "6243", " - ", "PAPER SUPPLIES")</f>
        <v xml:space="preserve">          6243 - PAPER SUPPLIES</v>
      </c>
      <c r="C77" s="11"/>
      <c r="D77" s="6">
        <v>14679.37</v>
      </c>
      <c r="E77" s="2"/>
      <c r="F77" s="7">
        <f t="shared" si="44"/>
        <v>1.1421730767592312E-2</v>
      </c>
      <c r="G77" s="2"/>
      <c r="H77" s="6">
        <v>5686.88</v>
      </c>
      <c r="I77" s="2"/>
      <c r="J77" s="7">
        <f t="shared" si="45"/>
        <v>5.2773992071577409E-2</v>
      </c>
      <c r="K77" s="2"/>
      <c r="L77" s="6">
        <f t="shared" si="46"/>
        <v>8992.4900000000016</v>
      </c>
      <c r="M77" s="2"/>
      <c r="N77" s="7">
        <f t="shared" si="47"/>
        <v>1.5812695186112598</v>
      </c>
      <c r="O77" s="11"/>
      <c r="P77" s="6">
        <v>111106.46</v>
      </c>
      <c r="Q77" s="2"/>
      <c r="R77" s="7">
        <f t="shared" si="48"/>
        <v>2.3012373307085537E-2</v>
      </c>
      <c r="S77" s="2"/>
      <c r="T77" s="6">
        <v>11979.69</v>
      </c>
      <c r="U77" s="2"/>
      <c r="V77" s="7">
        <f t="shared" si="49"/>
        <v>2.1725127087121501E-2</v>
      </c>
      <c r="W77" s="2"/>
      <c r="X77" s="6">
        <f t="shared" si="50"/>
        <v>99126.77</v>
      </c>
      <c r="Y77" s="2"/>
      <c r="Z77" s="7">
        <f t="shared" si="51"/>
        <v>8.2745688744867358</v>
      </c>
    </row>
    <row r="78" spans="1:26" s="24" customFormat="1" hidden="1" outlineLevel="2" x14ac:dyDescent="0.3">
      <c r="A78" s="27"/>
      <c r="B78" s="11" t="str">
        <f>CONCATENATE("          ", "6247", " - ", "STORE SUPPLIES")</f>
        <v xml:space="preserve">          6247 - STORE SUPPLIES</v>
      </c>
      <c r="C78" s="11"/>
      <c r="D78" s="6">
        <v>176.23</v>
      </c>
      <c r="E78" s="2"/>
      <c r="F78" s="7">
        <f t="shared" si="44"/>
        <v>1.3712111713055759E-4</v>
      </c>
      <c r="G78" s="2"/>
      <c r="H78" s="6"/>
      <c r="I78" s="2"/>
      <c r="J78" s="7">
        <f t="shared" si="45"/>
        <v>0</v>
      </c>
      <c r="K78" s="2"/>
      <c r="L78" s="6">
        <f t="shared" si="46"/>
        <v>176.23</v>
      </c>
      <c r="M78" s="2"/>
      <c r="N78" s="7">
        <f t="shared" si="47"/>
        <v>0</v>
      </c>
      <c r="O78" s="11"/>
      <c r="P78" s="6">
        <v>800.03</v>
      </c>
      <c r="Q78" s="2"/>
      <c r="R78" s="7">
        <f t="shared" si="48"/>
        <v>1.6570223744746831E-4</v>
      </c>
      <c r="S78" s="2"/>
      <c r="T78" s="6"/>
      <c r="U78" s="2"/>
      <c r="V78" s="7">
        <f t="shared" si="49"/>
        <v>0</v>
      </c>
      <c r="W78" s="2"/>
      <c r="X78" s="6">
        <f t="shared" si="50"/>
        <v>800.03</v>
      </c>
      <c r="Y78" s="2"/>
      <c r="Z78" s="7">
        <f t="shared" si="51"/>
        <v>0</v>
      </c>
    </row>
    <row r="79" spans="1:26" s="24" customFormat="1" hidden="1" outlineLevel="2" x14ac:dyDescent="0.3">
      <c r="A79" s="27"/>
      <c r="B79" s="11" t="str">
        <f>CONCATENATE("          ", "6248", " - ", "UNIFORMS")</f>
        <v xml:space="preserve">          6248 - UNIFORMS</v>
      </c>
      <c r="C79" s="11"/>
      <c r="D79" s="6"/>
      <c r="E79" s="2"/>
      <c r="F79" s="7">
        <f t="shared" si="44"/>
        <v>0</v>
      </c>
      <c r="G79" s="2"/>
      <c r="H79" s="6">
        <v>685.91</v>
      </c>
      <c r="I79" s="2"/>
      <c r="J79" s="7">
        <f t="shared" si="45"/>
        <v>6.3652141247600895E-3</v>
      </c>
      <c r="K79" s="2"/>
      <c r="L79" s="6">
        <f t="shared" si="46"/>
        <v>-685.91</v>
      </c>
      <c r="M79" s="2"/>
      <c r="N79" s="7">
        <f t="shared" si="47"/>
        <v>-1</v>
      </c>
      <c r="O79" s="11"/>
      <c r="P79" s="6">
        <v>5611.23</v>
      </c>
      <c r="Q79" s="2"/>
      <c r="R79" s="7">
        <f t="shared" si="48"/>
        <v>1.1621981248607647E-3</v>
      </c>
      <c r="S79" s="2"/>
      <c r="T79" s="6">
        <v>4500.59</v>
      </c>
      <c r="U79" s="2"/>
      <c r="V79" s="7">
        <f t="shared" si="49"/>
        <v>8.1618046641464131E-3</v>
      </c>
      <c r="W79" s="2"/>
      <c r="X79" s="6">
        <f t="shared" si="50"/>
        <v>1110.6399999999994</v>
      </c>
      <c r="Y79" s="2"/>
      <c r="Z79" s="7">
        <f t="shared" si="51"/>
        <v>0.24677653374335351</v>
      </c>
    </row>
    <row r="80" spans="1:26" s="29" customFormat="1" outlineLevel="1" collapsed="1" x14ac:dyDescent="0.3">
      <c r="A80" s="28"/>
      <c r="B80" s="14" t="str">
        <f>CONCATENATE("     ","Telephone/Data Lines                              ")</f>
        <v xml:space="preserve">     Telephone/Data Lines                              </v>
      </c>
      <c r="C80" s="14"/>
      <c r="D80" s="1">
        <f>SUM(OSRRefD22_16x_0)</f>
        <v>770</v>
      </c>
      <c r="E80" s="1"/>
      <c r="F80" s="5">
        <f t="shared" ref="F80:F86" si="52">IF(D$12=0,0,D80/D$12)</f>
        <v>5.9912194399664841E-4</v>
      </c>
      <c r="G80" s="1"/>
      <c r="H80" s="1">
        <f>SUM(OSRRefH22_16x_0)</f>
        <v>498</v>
      </c>
      <c r="I80" s="1"/>
      <c r="J80" s="5">
        <f t="shared" ref="J80:J86" si="53">IF(H$12=0,0,H80/H$12)</f>
        <v>4.6214177284636827E-3</v>
      </c>
      <c r="K80" s="1"/>
      <c r="L80" s="1">
        <f t="shared" ref="L80:L86" si="54">+D80-H80</f>
        <v>272</v>
      </c>
      <c r="M80" s="1"/>
      <c r="N80" s="5">
        <f t="shared" ref="N80:N86" si="55">IF(H80=0,0,L80/H80)</f>
        <v>0.54618473895582331</v>
      </c>
      <c r="O80" s="14"/>
      <c r="P80" s="1">
        <f>SUM(OSRRefP22_16x_0)</f>
        <v>4001.85</v>
      </c>
      <c r="Q80" s="1"/>
      <c r="R80" s="5">
        <f t="shared" ref="R80:R86" si="56">IF(P$12=0,0,P80/P$12)</f>
        <v>8.2886329128801551E-4</v>
      </c>
      <c r="S80" s="1"/>
      <c r="T80" s="1">
        <f>SUM(OSRRefT22_16x_0)</f>
        <v>3285.32</v>
      </c>
      <c r="U80" s="1"/>
      <c r="V80" s="5">
        <f t="shared" ref="V80:V86" si="57">IF(T$12=0,0,T80/T$12)</f>
        <v>5.957916650753234E-3</v>
      </c>
      <c r="W80" s="1"/>
      <c r="X80" s="1">
        <f t="shared" ref="X80:X86" si="58">+P80-T80</f>
        <v>716.52999999999975</v>
      </c>
      <c r="Y80" s="1"/>
      <c r="Z80" s="5">
        <f t="shared" ref="Z80:Z86" si="59">IF(T80=0,0,X80/T80)</f>
        <v>0.21810051988847348</v>
      </c>
    </row>
    <row r="81" spans="1:26" s="24" customFormat="1" hidden="1" outlineLevel="2" x14ac:dyDescent="0.3">
      <c r="A81" s="27"/>
      <c r="B81" s="11" t="str">
        <f>CONCATENATE("          ", "6309", " - ", "TELEPHONE")</f>
        <v xml:space="preserve">          6309 - TELEPHONE</v>
      </c>
      <c r="C81" s="11"/>
      <c r="D81" s="6">
        <v>770</v>
      </c>
      <c r="E81" s="2"/>
      <c r="F81" s="7">
        <f t="shared" si="52"/>
        <v>5.9912194399664841E-4</v>
      </c>
      <c r="G81" s="2"/>
      <c r="H81" s="6">
        <v>498</v>
      </c>
      <c r="I81" s="2"/>
      <c r="J81" s="7">
        <f t="shared" si="53"/>
        <v>4.6214177284636827E-3</v>
      </c>
      <c r="K81" s="2"/>
      <c r="L81" s="6">
        <f t="shared" si="54"/>
        <v>272</v>
      </c>
      <c r="M81" s="2"/>
      <c r="N81" s="7">
        <f t="shared" si="55"/>
        <v>0.54618473895582331</v>
      </c>
      <c r="O81" s="11"/>
      <c r="P81" s="6">
        <v>4001.85</v>
      </c>
      <c r="Q81" s="2"/>
      <c r="R81" s="7">
        <f t="shared" si="56"/>
        <v>8.2886329128801551E-4</v>
      </c>
      <c r="S81" s="2"/>
      <c r="T81" s="6">
        <v>3285.32</v>
      </c>
      <c r="U81" s="2"/>
      <c r="V81" s="7">
        <f t="shared" si="57"/>
        <v>5.957916650753234E-3</v>
      </c>
      <c r="W81" s="2"/>
      <c r="X81" s="6">
        <f t="shared" si="58"/>
        <v>716.52999999999975</v>
      </c>
      <c r="Y81" s="2"/>
      <c r="Z81" s="7">
        <f t="shared" si="59"/>
        <v>0.21810051988847348</v>
      </c>
    </row>
    <row r="82" spans="1:26" s="29" customFormat="1" outlineLevel="1" collapsed="1" x14ac:dyDescent="0.3">
      <c r="A82" s="28"/>
      <c r="B82" s="14" t="str">
        <f>CONCATENATE("     ","Training                                          ")</f>
        <v xml:space="preserve">     Training                                          </v>
      </c>
      <c r="C82" s="14"/>
      <c r="D82" s="1">
        <f>SUM(OSRRefD22_17x_0)</f>
        <v>245</v>
      </c>
      <c r="E82" s="1"/>
      <c r="F82" s="5">
        <f t="shared" si="52"/>
        <v>1.9062970945347903E-4</v>
      </c>
      <c r="G82" s="1"/>
      <c r="H82" s="1">
        <f>SUM(OSRRefH22_17x_0)</f>
        <v>0</v>
      </c>
      <c r="I82" s="1"/>
      <c r="J82" s="5">
        <f t="shared" si="53"/>
        <v>0</v>
      </c>
      <c r="K82" s="1"/>
      <c r="L82" s="1">
        <f t="shared" si="54"/>
        <v>245</v>
      </c>
      <c r="M82" s="1"/>
      <c r="N82" s="5">
        <f t="shared" si="55"/>
        <v>0</v>
      </c>
      <c r="O82" s="14"/>
      <c r="P82" s="1">
        <f>SUM(OSRRefP22_17x_0)</f>
        <v>245</v>
      </c>
      <c r="Q82" s="1"/>
      <c r="R82" s="5">
        <f t="shared" si="56"/>
        <v>5.0744407303013305E-5</v>
      </c>
      <c r="S82" s="1"/>
      <c r="T82" s="1">
        <f>SUM(OSRRefT22_17x_0)</f>
        <v>735</v>
      </c>
      <c r="U82" s="1"/>
      <c r="V82" s="5">
        <f t="shared" si="57"/>
        <v>1.3329200011882028E-3</v>
      </c>
      <c r="W82" s="1"/>
      <c r="X82" s="1">
        <f t="shared" si="58"/>
        <v>-490</v>
      </c>
      <c r="Y82" s="1"/>
      <c r="Z82" s="5">
        <f t="shared" si="59"/>
        <v>-0.66666666666666663</v>
      </c>
    </row>
    <row r="83" spans="1:26" s="24" customFormat="1" hidden="1" outlineLevel="2" x14ac:dyDescent="0.3">
      <c r="A83" s="27"/>
      <c r="B83" s="11" t="str">
        <f>CONCATENATE("          ", "6376", " - ", "TRAINING")</f>
        <v xml:space="preserve">          6376 - TRAINING</v>
      </c>
      <c r="C83" s="11"/>
      <c r="D83" s="6">
        <v>245</v>
      </c>
      <c r="E83" s="2"/>
      <c r="F83" s="7">
        <f t="shared" si="52"/>
        <v>1.9062970945347903E-4</v>
      </c>
      <c r="G83" s="2"/>
      <c r="H83" s="6"/>
      <c r="I83" s="2"/>
      <c r="J83" s="7">
        <f t="shared" si="53"/>
        <v>0</v>
      </c>
      <c r="K83" s="2"/>
      <c r="L83" s="6">
        <f t="shared" si="54"/>
        <v>245</v>
      </c>
      <c r="M83" s="2"/>
      <c r="N83" s="7">
        <f t="shared" si="55"/>
        <v>0</v>
      </c>
      <c r="O83" s="11"/>
      <c r="P83" s="6">
        <v>245</v>
      </c>
      <c r="Q83" s="2"/>
      <c r="R83" s="7">
        <f t="shared" si="56"/>
        <v>5.0744407303013305E-5</v>
      </c>
      <c r="S83" s="2"/>
      <c r="T83" s="6">
        <v>735</v>
      </c>
      <c r="U83" s="2"/>
      <c r="V83" s="7">
        <f t="shared" si="57"/>
        <v>1.3329200011882028E-3</v>
      </c>
      <c r="W83" s="2"/>
      <c r="X83" s="6">
        <f t="shared" si="58"/>
        <v>-490</v>
      </c>
      <c r="Y83" s="2"/>
      <c r="Z83" s="7">
        <f t="shared" si="59"/>
        <v>-0.66666666666666663</v>
      </c>
    </row>
    <row r="84" spans="1:26" s="29" customFormat="1" outlineLevel="1" collapsed="1" x14ac:dyDescent="0.3">
      <c r="A84" s="28"/>
      <c r="B84" s="14" t="str">
        <f>CONCATENATE("     ","Travel                                            ")</f>
        <v xml:space="preserve">     Travel                                            </v>
      </c>
      <c r="C84" s="14"/>
      <c r="D84" s="1">
        <f>SUM(OSRRefD22_18x_0)</f>
        <v>0</v>
      </c>
      <c r="E84" s="1"/>
      <c r="F84" s="5">
        <f t="shared" si="52"/>
        <v>0</v>
      </c>
      <c r="G84" s="1"/>
      <c r="H84" s="1">
        <f>SUM(OSRRefH22_18x_0)</f>
        <v>0</v>
      </c>
      <c r="I84" s="1"/>
      <c r="J84" s="5">
        <f t="shared" si="53"/>
        <v>0</v>
      </c>
      <c r="K84" s="1"/>
      <c r="L84" s="1">
        <f t="shared" si="54"/>
        <v>0</v>
      </c>
      <c r="M84" s="1"/>
      <c r="N84" s="5">
        <f t="shared" si="55"/>
        <v>0</v>
      </c>
      <c r="O84" s="14"/>
      <c r="P84" s="1">
        <f>SUM(OSRRefP22_18x_0)</f>
        <v>699.02</v>
      </c>
      <c r="Q84" s="1"/>
      <c r="R84" s="5">
        <f t="shared" si="56"/>
        <v>1.4478104323654024E-4</v>
      </c>
      <c r="S84" s="1"/>
      <c r="T84" s="1">
        <f>SUM(OSRRefT22_18x_0)</f>
        <v>0</v>
      </c>
      <c r="U84" s="1"/>
      <c r="V84" s="5">
        <f t="shared" si="57"/>
        <v>0</v>
      </c>
      <c r="W84" s="1"/>
      <c r="X84" s="1">
        <f t="shared" si="58"/>
        <v>699.02</v>
      </c>
      <c r="Y84" s="1"/>
      <c r="Z84" s="5">
        <f t="shared" si="59"/>
        <v>0</v>
      </c>
    </row>
    <row r="85" spans="1:26" s="24" customFormat="1" hidden="1" outlineLevel="2" x14ac:dyDescent="0.3">
      <c r="A85" s="27"/>
      <c r="B85" s="11" t="str">
        <f>CONCATENATE("          ", "6292", " - ", "TRAVEL/CONFERENCE")</f>
        <v xml:space="preserve">          6292 - TRAVEL/CONFERENCE</v>
      </c>
      <c r="C85" s="11"/>
      <c r="D85" s="6"/>
      <c r="E85" s="2"/>
      <c r="F85" s="7">
        <f t="shared" si="52"/>
        <v>0</v>
      </c>
      <c r="G85" s="2"/>
      <c r="H85" s="6"/>
      <c r="I85" s="2"/>
      <c r="J85" s="7">
        <f t="shared" si="53"/>
        <v>0</v>
      </c>
      <c r="K85" s="2"/>
      <c r="L85" s="6">
        <f t="shared" si="54"/>
        <v>0</v>
      </c>
      <c r="M85" s="2"/>
      <c r="N85" s="7">
        <f t="shared" si="55"/>
        <v>0</v>
      </c>
      <c r="O85" s="11"/>
      <c r="P85" s="6">
        <v>595</v>
      </c>
      <c r="Q85" s="2"/>
      <c r="R85" s="7">
        <f t="shared" si="56"/>
        <v>1.2323641773588946E-4</v>
      </c>
      <c r="S85" s="2"/>
      <c r="T85" s="6"/>
      <c r="U85" s="2"/>
      <c r="V85" s="7">
        <f t="shared" si="57"/>
        <v>0</v>
      </c>
      <c r="W85" s="2"/>
      <c r="X85" s="6">
        <f t="shared" si="58"/>
        <v>595</v>
      </c>
      <c r="Y85" s="2"/>
      <c r="Z85" s="7">
        <f t="shared" si="59"/>
        <v>0</v>
      </c>
    </row>
    <row r="86" spans="1:26" s="24" customFormat="1" hidden="1" outlineLevel="2" x14ac:dyDescent="0.3">
      <c r="A86" s="27"/>
      <c r="B86" s="11" t="str">
        <f>CONCATENATE("          ", "6298", " - ", "VEHICLE MILEAGE")</f>
        <v xml:space="preserve">          6298 - VEHICLE MILEAGE</v>
      </c>
      <c r="C86" s="11"/>
      <c r="D86" s="6"/>
      <c r="E86" s="2"/>
      <c r="F86" s="7">
        <f t="shared" si="52"/>
        <v>0</v>
      </c>
      <c r="G86" s="2"/>
      <c r="H86" s="6"/>
      <c r="I86" s="2"/>
      <c r="J86" s="7">
        <f t="shared" si="53"/>
        <v>0</v>
      </c>
      <c r="K86" s="2"/>
      <c r="L86" s="6">
        <f t="shared" si="54"/>
        <v>0</v>
      </c>
      <c r="M86" s="2"/>
      <c r="N86" s="7">
        <f t="shared" si="55"/>
        <v>0</v>
      </c>
      <c r="O86" s="11"/>
      <c r="P86" s="6">
        <v>104.02</v>
      </c>
      <c r="Q86" s="2"/>
      <c r="R86" s="7">
        <f t="shared" si="56"/>
        <v>2.1544625500650792E-5</v>
      </c>
      <c r="S86" s="2"/>
      <c r="T86" s="6"/>
      <c r="U86" s="2"/>
      <c r="V86" s="7">
        <f t="shared" si="57"/>
        <v>0</v>
      </c>
      <c r="W86" s="2"/>
      <c r="X86" s="6">
        <f t="shared" si="58"/>
        <v>104.02</v>
      </c>
      <c r="Y86" s="2"/>
      <c r="Z86" s="7">
        <f t="shared" si="59"/>
        <v>0</v>
      </c>
    </row>
    <row r="87" spans="1:26" s="62" customFormat="1" x14ac:dyDescent="0.3">
      <c r="A87" s="37"/>
      <c r="B87" s="37"/>
      <c r="C87" s="37"/>
      <c r="D87" s="1"/>
      <c r="E87" s="1"/>
      <c r="F87" s="5"/>
      <c r="G87" s="1"/>
      <c r="H87" s="1"/>
      <c r="I87" s="1"/>
      <c r="J87" s="5"/>
      <c r="K87" s="1"/>
      <c r="L87" s="1"/>
      <c r="M87" s="1"/>
      <c r="N87" s="5"/>
      <c r="O87" s="37"/>
      <c r="P87" s="1"/>
      <c r="Q87" s="1"/>
      <c r="R87" s="5"/>
      <c r="S87" s="1"/>
      <c r="T87" s="1"/>
      <c r="U87" s="1"/>
      <c r="V87" s="5"/>
      <c r="W87" s="1"/>
      <c r="X87" s="1"/>
      <c r="Y87" s="1"/>
      <c r="Z87" s="5"/>
    </row>
    <row r="88" spans="1:26" s="23" customFormat="1" x14ac:dyDescent="0.3">
      <c r="A88" s="10"/>
      <c r="B88" s="26" t="s">
        <v>292</v>
      </c>
      <c r="C88" s="10"/>
      <c r="D88" s="4">
        <f>SUM(0)</f>
        <v>0</v>
      </c>
      <c r="E88" s="4"/>
      <c r="F88" s="12">
        <f>IF(D$12=0,0,D88/D$12)</f>
        <v>0</v>
      </c>
      <c r="G88" s="4"/>
      <c r="H88" s="4">
        <f>SUM(0)</f>
        <v>0</v>
      </c>
      <c r="I88" s="4"/>
      <c r="J88" s="12">
        <f>IF(H$12=0,0,H88/H$12)</f>
        <v>0</v>
      </c>
      <c r="K88" s="4"/>
      <c r="L88" s="4">
        <f>+D88-H88</f>
        <v>0</v>
      </c>
      <c r="M88" s="4"/>
      <c r="N88" s="12">
        <f>IF(H88=0,0,L88/H88)</f>
        <v>0</v>
      </c>
      <c r="O88" s="10"/>
      <c r="P88" s="4">
        <f>SUM(0)</f>
        <v>0</v>
      </c>
      <c r="Q88" s="4"/>
      <c r="R88" s="12">
        <f>IF(P$12=0,0,P88/P$12)</f>
        <v>0</v>
      </c>
      <c r="S88" s="4"/>
      <c r="T88" s="4">
        <f>SUM(0)</f>
        <v>0</v>
      </c>
      <c r="U88" s="4"/>
      <c r="V88" s="12">
        <f>IF(T$12=0,0,T88/T$12)</f>
        <v>0</v>
      </c>
      <c r="W88" s="4"/>
      <c r="X88" s="4">
        <f>+P88-T88</f>
        <v>0</v>
      </c>
      <c r="Y88" s="4"/>
      <c r="Z88" s="12">
        <f>IF(T88=0,0,X88/T88)</f>
        <v>0</v>
      </c>
    </row>
    <row r="89" spans="1:26" x14ac:dyDescent="0.3">
      <c r="A89" s="9"/>
      <c r="B89" s="10"/>
      <c r="C89" s="10"/>
      <c r="D89" s="3"/>
      <c r="E89" s="3"/>
      <c r="F89" s="8"/>
      <c r="G89" s="3"/>
      <c r="H89" s="3"/>
      <c r="I89" s="3"/>
      <c r="J89" s="8"/>
      <c r="K89" s="3"/>
      <c r="L89" s="3"/>
      <c r="M89" s="3"/>
      <c r="N89" s="8"/>
      <c r="O89" s="10"/>
      <c r="P89" s="3"/>
      <c r="Q89" s="3"/>
      <c r="R89" s="8"/>
      <c r="S89" s="3"/>
      <c r="T89" s="3"/>
      <c r="U89" s="3"/>
      <c r="V89" s="8"/>
      <c r="W89" s="3"/>
      <c r="X89" s="3"/>
      <c r="Y89" s="3"/>
      <c r="Z89" s="8"/>
    </row>
    <row r="90" spans="1:26" s="23" customFormat="1" x14ac:dyDescent="0.3">
      <c r="A90" s="10"/>
      <c r="B90" s="25" t="s">
        <v>276</v>
      </c>
      <c r="C90" s="25"/>
      <c r="D90" s="21">
        <f>+D21-D23+D88</f>
        <v>519736.41999999993</v>
      </c>
      <c r="E90" s="13"/>
      <c r="F90" s="22">
        <f>IF(D$12=0,0,D90/D$12)</f>
        <v>0.40439674586527075</v>
      </c>
      <c r="G90" s="13"/>
      <c r="H90" s="21">
        <f>+H21-H23+H88</f>
        <v>-174656.75999999995</v>
      </c>
      <c r="I90" s="13"/>
      <c r="J90" s="22">
        <f>IF(H$12=0,0,H90/H$12)</f>
        <v>-1.620806921807282</v>
      </c>
      <c r="K90" s="16"/>
      <c r="L90" s="21">
        <f>+D90-H90</f>
        <v>694393.17999999993</v>
      </c>
      <c r="M90" s="16"/>
      <c r="N90" s="22">
        <f>IF(H90=0,0,L90/H90)</f>
        <v>-3.975758968619366</v>
      </c>
      <c r="O90" s="26"/>
      <c r="P90" s="21">
        <f>+P21-P23+P88</f>
        <v>1307055.7400000012</v>
      </c>
      <c r="Q90" s="13"/>
      <c r="R90" s="22">
        <f>IF(P$12=0,0,P90/P$12)</f>
        <v>0.27071742382980213</v>
      </c>
      <c r="S90" s="13"/>
      <c r="T90" s="21">
        <f>+T21-T23+T88</f>
        <v>-819825.16999999981</v>
      </c>
      <c r="U90" s="13"/>
      <c r="V90" s="22">
        <f>IF(T$12=0,0,T90/T$12)</f>
        <v>-1.4867501585993446</v>
      </c>
      <c r="W90" s="16"/>
      <c r="X90" s="21">
        <f>+P90-T90</f>
        <v>2126880.9100000011</v>
      </c>
      <c r="Y90" s="16"/>
      <c r="Z90" s="22">
        <f>IF(T90=0,0,X90/T90)</f>
        <v>-2.5943103332628854</v>
      </c>
    </row>
    <row r="91" spans="1:26" x14ac:dyDescent="0.3">
      <c r="A91" s="9"/>
      <c r="B91" s="10"/>
      <c r="C91" s="9"/>
      <c r="D91" s="3"/>
      <c r="E91" s="3"/>
      <c r="F91" s="8"/>
      <c r="G91" s="3"/>
      <c r="H91" s="3"/>
      <c r="I91" s="3"/>
      <c r="J91" s="8"/>
      <c r="K91" s="3"/>
      <c r="L91" s="3"/>
      <c r="M91" s="3"/>
      <c r="N91" s="8"/>
      <c r="P91" s="3"/>
      <c r="Q91" s="3"/>
      <c r="R91" s="8"/>
      <c r="S91" s="3"/>
      <c r="T91" s="3"/>
      <c r="U91" s="3"/>
      <c r="V91" s="8"/>
      <c r="W91" s="3"/>
      <c r="X91" s="3"/>
      <c r="Y91" s="3"/>
      <c r="Z91" s="8"/>
    </row>
    <row r="92" spans="1:26" s="23" customFormat="1" x14ac:dyDescent="0.3">
      <c r="A92" s="51"/>
      <c r="B92" s="10" t="s">
        <v>127</v>
      </c>
      <c r="C92" s="10"/>
      <c r="D92" s="4">
        <v>165555.14000000001</v>
      </c>
      <c r="E92" s="4"/>
      <c r="F92" s="12">
        <f>IF(D$12=0,0,D92/D$12)</f>
        <v>0.1288152172927757</v>
      </c>
      <c r="G92" s="4"/>
      <c r="H92" s="4">
        <v>-8485.89</v>
      </c>
      <c r="I92" s="4"/>
      <c r="J92" s="12">
        <f>IF(H$12=0,0,H92/H$12)</f>
        <v>-7.8748679694362805E-2</v>
      </c>
      <c r="K92" s="4"/>
      <c r="L92" s="4">
        <f>+D92-H92</f>
        <v>174041.03000000003</v>
      </c>
      <c r="M92" s="4"/>
      <c r="N92" s="12">
        <f>IF(H92=0,0,L92/H92)</f>
        <v>-20.509460999376618</v>
      </c>
      <c r="O92" s="10"/>
      <c r="P92" s="4">
        <v>575085.57999999996</v>
      </c>
      <c r="Q92" s="4"/>
      <c r="R92" s="12">
        <f>IF(P$12=0,0,P92/P$12)</f>
        <v>0.11911174247187609</v>
      </c>
      <c r="S92" s="4"/>
      <c r="T92" s="4">
        <v>87620.800000000003</v>
      </c>
      <c r="U92" s="4"/>
      <c r="V92" s="12">
        <f>IF(T$12=0,0,T92/T$12)</f>
        <v>0.15890002291171604</v>
      </c>
      <c r="W92" s="4"/>
      <c r="X92" s="4">
        <f>+P92-T92</f>
        <v>487464.77999999997</v>
      </c>
      <c r="Y92" s="4"/>
      <c r="Z92" s="12">
        <f>IF(T92=0,0,X92/T92)</f>
        <v>5.5633454613516422</v>
      </c>
    </row>
    <row r="93" spans="1:26" x14ac:dyDescent="0.3">
      <c r="A93" s="9"/>
      <c r="B93" s="10"/>
      <c r="C93" s="10"/>
      <c r="D93" s="3"/>
      <c r="E93" s="3"/>
      <c r="F93" s="8"/>
      <c r="G93" s="3"/>
      <c r="H93" s="3"/>
      <c r="I93" s="3"/>
      <c r="J93" s="8"/>
      <c r="K93" s="3"/>
      <c r="L93" s="3"/>
      <c r="M93" s="3"/>
      <c r="N93" s="8"/>
      <c r="O93" s="10"/>
      <c r="P93" s="3"/>
      <c r="Q93" s="3"/>
      <c r="R93" s="8"/>
      <c r="S93" s="3"/>
      <c r="T93" s="3"/>
      <c r="U93" s="3"/>
      <c r="V93" s="8"/>
      <c r="W93" s="3"/>
      <c r="X93" s="3"/>
      <c r="Y93" s="3"/>
      <c r="Z93" s="8"/>
    </row>
    <row r="94" spans="1:26" s="23" customFormat="1" ht="15" thickBot="1" x14ac:dyDescent="0.35">
      <c r="A94" s="10"/>
      <c r="B94" s="25" t="s">
        <v>125</v>
      </c>
      <c r="C94" s="25"/>
      <c r="D94" s="35">
        <f>+D90-D92</f>
        <v>354181.27999999991</v>
      </c>
      <c r="E94" s="13"/>
      <c r="F94" s="31">
        <f>IF(D$12=0,0,D94/D$12)</f>
        <v>0.27558152857249507</v>
      </c>
      <c r="G94" s="13"/>
      <c r="H94" s="35">
        <f>+H90-H92</f>
        <v>-166170.86999999994</v>
      </c>
      <c r="I94" s="13"/>
      <c r="J94" s="31">
        <f>IF(H$12=0,0,H94/H$12)</f>
        <v>-1.542058242112919</v>
      </c>
      <c r="K94" s="16"/>
      <c r="L94" s="35">
        <f>D94-H94</f>
        <v>520352.14999999985</v>
      </c>
      <c r="M94" s="16"/>
      <c r="N94" s="31">
        <f>IF(H94=0,0,L94/H94)</f>
        <v>-3.1314282100105757</v>
      </c>
      <c r="O94" s="26"/>
      <c r="P94" s="35">
        <f>+P90-P92</f>
        <v>731970.1600000012</v>
      </c>
      <c r="Q94" s="13"/>
      <c r="R94" s="31">
        <f>IF(P$12=0,0,P94/P$12)</f>
        <v>0.15160568135792604</v>
      </c>
      <c r="S94" s="13"/>
      <c r="T94" s="35">
        <f>+T90-T92</f>
        <v>-907445.96999999986</v>
      </c>
      <c r="U94" s="13"/>
      <c r="V94" s="31">
        <f>IF(T$12=0,0,T94/T$12)</f>
        <v>-1.6456501815110607</v>
      </c>
      <c r="W94" s="16"/>
      <c r="X94" s="35">
        <f>P94-T94</f>
        <v>1639416.1300000011</v>
      </c>
      <c r="Y94" s="16"/>
      <c r="Z94" s="31">
        <f>IF(T94=0,0,X94/T94)</f>
        <v>-1.8066267129931728</v>
      </c>
    </row>
    <row r="95" spans="1:26" ht="15" thickTop="1" x14ac:dyDescent="0.3">
      <c r="A95" s="9"/>
      <c r="B95" s="9"/>
      <c r="C95" s="9"/>
      <c r="D95" s="3"/>
      <c r="E95" s="3"/>
      <c r="F95" s="8"/>
      <c r="G95" s="3"/>
      <c r="H95" s="3"/>
      <c r="I95" s="3"/>
      <c r="J95" s="8"/>
      <c r="K95" s="3"/>
      <c r="L95" s="3"/>
      <c r="M95" s="3"/>
      <c r="N95" s="8"/>
      <c r="P95" s="3"/>
      <c r="Q95" s="3"/>
      <c r="R95" s="8"/>
      <c r="S95" s="3"/>
      <c r="T95" s="3"/>
      <c r="U95" s="3"/>
      <c r="V95" s="8"/>
      <c r="W95" s="3"/>
      <c r="X95" s="3"/>
      <c r="Y95" s="3"/>
      <c r="Z95" s="8"/>
    </row>
    <row r="96" spans="1:26" x14ac:dyDescent="0.3">
      <c r="A96" s="9"/>
      <c r="B96" s="9"/>
      <c r="C96" s="9"/>
      <c r="D96" s="3"/>
      <c r="E96" s="3"/>
      <c r="F96" s="8"/>
      <c r="G96" s="3"/>
      <c r="H96" s="3"/>
      <c r="I96" s="3"/>
      <c r="J96" s="8"/>
      <c r="K96" s="3"/>
      <c r="L96" s="3"/>
      <c r="M96" s="3"/>
      <c r="N96" s="8"/>
      <c r="P96" s="3"/>
      <c r="Q96" s="3"/>
      <c r="R96" s="8"/>
      <c r="S96" s="3"/>
      <c r="T96" s="3"/>
      <c r="U96" s="3"/>
      <c r="V96" s="8"/>
      <c r="W96" s="3"/>
      <c r="X96" s="3"/>
      <c r="Y96" s="3"/>
      <c r="Z96" s="8"/>
    </row>
    <row r="97" spans="1:26" s="23" customFormat="1" ht="15" thickBot="1" x14ac:dyDescent="0.35">
      <c r="A97" s="10"/>
      <c r="B97" s="25" t="s">
        <v>293</v>
      </c>
      <c r="C97" s="25"/>
      <c r="D97" s="36">
        <f>SUM(D94:D96)</f>
        <v>354181.27999999991</v>
      </c>
      <c r="E97" s="13"/>
      <c r="F97" s="33">
        <f>IF(D$12=0,0,D97/D$12)</f>
        <v>0.27558152857249507</v>
      </c>
      <c r="G97" s="13"/>
      <c r="H97" s="36">
        <f>SUM(H94:H96)</f>
        <v>-166170.86999999994</v>
      </c>
      <c r="I97" s="13"/>
      <c r="J97" s="33">
        <f>IF(H$12=0,0,H97/H$12)</f>
        <v>-1.542058242112919</v>
      </c>
      <c r="K97" s="16"/>
      <c r="L97" s="36">
        <f>+D97-H97</f>
        <v>520352.14999999985</v>
      </c>
      <c r="M97" s="16"/>
      <c r="N97" s="33">
        <f>IF(H97=0,0,L97/H97)</f>
        <v>-3.1314282100105757</v>
      </c>
      <c r="O97" s="26"/>
      <c r="P97" s="36">
        <f>SUM(P94:P96)</f>
        <v>731970.1600000012</v>
      </c>
      <c r="Q97" s="13"/>
      <c r="R97" s="33">
        <f>IF(P$12=0,0,P97/P$12)</f>
        <v>0.15160568135792604</v>
      </c>
      <c r="S97" s="13"/>
      <c r="T97" s="36">
        <f>SUM(T94:T96)</f>
        <v>-907445.96999999986</v>
      </c>
      <c r="U97" s="13"/>
      <c r="V97" s="33">
        <f>IF(T$12=0,0,T97/T$12)</f>
        <v>-1.6456501815110607</v>
      </c>
      <c r="W97" s="16"/>
      <c r="X97" s="36">
        <f>+P97-T97</f>
        <v>1639416.1300000011</v>
      </c>
      <c r="Y97" s="16"/>
      <c r="Z97" s="33">
        <f>IF(T97=0,0,X97/T97)</f>
        <v>-1.8066267129931728</v>
      </c>
    </row>
    <row r="98" spans="1:26" ht="15" thickTop="1" x14ac:dyDescent="0.3">
      <c r="A98" s="9"/>
      <c r="C98" s="9"/>
      <c r="D98" s="17"/>
      <c r="E98" s="17"/>
      <c r="G98" s="17"/>
      <c r="H98" s="17"/>
      <c r="I98" s="17"/>
      <c r="J98" s="42"/>
      <c r="K98" s="17"/>
      <c r="L98" s="17"/>
      <c r="M98" s="17"/>
      <c r="P98" s="17"/>
      <c r="Q98" s="17"/>
      <c r="R98" s="42"/>
      <c r="S98" s="17"/>
      <c r="T98" s="17"/>
      <c r="U98" s="17"/>
      <c r="V98" s="42"/>
      <c r="W98" s="17"/>
      <c r="X98" s="17"/>
    </row>
    <row r="99" spans="1:26" x14ac:dyDescent="0.3">
      <c r="A99" s="9"/>
      <c r="B99" s="52">
        <v>44543.765546296294</v>
      </c>
      <c r="D99" s="17"/>
      <c r="E99" s="17"/>
      <c r="G99" s="17"/>
      <c r="H99" s="17"/>
      <c r="I99" s="17"/>
      <c r="J99" s="42"/>
      <c r="K99" s="17"/>
      <c r="L99" s="17"/>
      <c r="M99" s="17"/>
      <c r="P99" s="17"/>
      <c r="Q99" s="17"/>
      <c r="R99" s="42"/>
      <c r="S99" s="17"/>
      <c r="T99" s="17"/>
      <c r="U99" s="17"/>
      <c r="V99" s="42"/>
      <c r="W99" s="17"/>
      <c r="X99" s="17"/>
    </row>
    <row r="100" spans="1:26" x14ac:dyDescent="0.3">
      <c r="A100" s="9"/>
      <c r="B100" s="59" t="s">
        <v>56</v>
      </c>
      <c r="D100" s="17"/>
      <c r="E100" s="17"/>
      <c r="G100" s="17"/>
      <c r="H100" s="17"/>
      <c r="I100" s="17"/>
      <c r="J100" s="42"/>
      <c r="K100" s="17"/>
      <c r="L100" s="17"/>
      <c r="M100" s="17"/>
      <c r="P100" s="17"/>
      <c r="Q100" s="17"/>
      <c r="R100" s="42"/>
      <c r="S100" s="17"/>
      <c r="T100" s="17"/>
      <c r="U100" s="17"/>
      <c r="V100" s="42"/>
      <c r="W100" s="17"/>
      <c r="X100" s="17"/>
    </row>
    <row r="101" spans="1:26" x14ac:dyDescent="0.3">
      <c r="A101" s="9"/>
      <c r="B101" s="61"/>
      <c r="D101" s="17"/>
      <c r="E101" s="17"/>
      <c r="G101" s="17"/>
      <c r="H101" s="17"/>
      <c r="I101" s="17"/>
      <c r="J101" s="42"/>
      <c r="K101" s="17"/>
      <c r="L101" s="17"/>
      <c r="M101" s="17"/>
      <c r="P101" s="17"/>
      <c r="Q101" s="17"/>
      <c r="R101" s="42"/>
      <c r="S101" s="17"/>
      <c r="T101" s="17"/>
      <c r="U101" s="17"/>
      <c r="V101" s="42"/>
      <c r="W101" s="17"/>
      <c r="X101" s="17"/>
    </row>
    <row r="102" spans="1:26" x14ac:dyDescent="0.3">
      <c r="D102" s="17"/>
      <c r="E102" s="17"/>
      <c r="G102" s="17"/>
      <c r="H102" s="17"/>
      <c r="I102" s="17"/>
      <c r="J102" s="42"/>
      <c r="K102" s="17"/>
      <c r="L102" s="17"/>
      <c r="M102" s="17"/>
      <c r="P102" s="17"/>
      <c r="Q102" s="17"/>
      <c r="R102" s="42"/>
      <c r="S102" s="17"/>
      <c r="T102" s="17"/>
      <c r="U102" s="17"/>
      <c r="V102" s="42"/>
      <c r="W102" s="17"/>
      <c r="X102" s="17"/>
    </row>
  </sheetData>
  <pageMargins left="0.25" right="0.25" top="0.75" bottom="0.75" header="0.3" footer="0.3"/>
  <pageSetup scale="55" fitToWidth="2" orientation="landscape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92D050"/>
    <outlinePr summaryBelow="0" summaryRight="0"/>
  </sheetPr>
  <dimension ref="A2:Z58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","430", " - ", "Res Hall Management")</f>
        <v>Department 430 - Res Hall Management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17012.580000000002</v>
      </c>
      <c r="E18" s="20"/>
      <c r="F18" s="32">
        <f t="shared" ref="F18:F27" si="0">IF(D$12=0,0,D18/D$12)</f>
        <v>0</v>
      </c>
      <c r="G18" s="20"/>
      <c r="H18" s="20">
        <f>SUM(OSRRefH22x_0)</f>
        <v>14697.869999999999</v>
      </c>
      <c r="I18" s="20"/>
      <c r="J18" s="32">
        <f t="shared" ref="J18:J27" si="1">IF(H$12=0,0,H18/H$12)</f>
        <v>0</v>
      </c>
      <c r="K18" s="4"/>
      <c r="L18" s="20">
        <f t="shared" ref="L18:L27" si="2">+D18-H18</f>
        <v>2314.7100000000028</v>
      </c>
      <c r="M18" s="4"/>
      <c r="N18" s="32">
        <f t="shared" ref="N18:N27" si="3">IF(H18=0,0,L18/H18)</f>
        <v>0.15748608471839817</v>
      </c>
      <c r="O18" s="10"/>
      <c r="P18" s="20">
        <f>SUM(OSRRefP22x_0)</f>
        <v>96079.510000000009</v>
      </c>
      <c r="Q18" s="20"/>
      <c r="R18" s="32">
        <f t="shared" ref="R18:R27" si="4">IF(P$12=0,0,P18/P$12)</f>
        <v>0</v>
      </c>
      <c r="S18" s="20"/>
      <c r="T18" s="20">
        <f>SUM(OSRRefT22x_0)</f>
        <v>80153.219999999987</v>
      </c>
      <c r="U18" s="20"/>
      <c r="V18" s="32">
        <f t="shared" ref="V18:V27" si="5">IF(T$12=0,0,T18/T$12)</f>
        <v>0</v>
      </c>
      <c r="W18" s="4"/>
      <c r="X18" s="20">
        <f t="shared" ref="X18:X27" si="6">+P18-T18</f>
        <v>15926.290000000023</v>
      </c>
      <c r="Y18" s="4"/>
      <c r="Z18" s="32">
        <f t="shared" ref="Z18:Z27" si="7">IF(T18=0,0,X18/T18)</f>
        <v>0.19869806852425922</v>
      </c>
    </row>
    <row r="19" spans="1:26" s="29" customFormat="1" outlineLevel="1" collapsed="1" x14ac:dyDescent="0.3">
      <c r="A19" s="28"/>
      <c r="B19" s="14" t="str">
        <f>CONCATENATE("     ","*Benefits                                         ")</f>
        <v xml:space="preserve">     *Benefits                                         </v>
      </c>
      <c r="C19" s="14"/>
      <c r="D19" s="1">
        <f>SUM(OSRRefD22_0x_0)</f>
        <v>5517.35</v>
      </c>
      <c r="E19" s="1"/>
      <c r="F19" s="5">
        <f t="shared" si="0"/>
        <v>0</v>
      </c>
      <c r="G19" s="1"/>
      <c r="H19" s="1">
        <f>SUM(OSRRefH22_0x_0)</f>
        <v>6136.31</v>
      </c>
      <c r="I19" s="1"/>
      <c r="J19" s="5">
        <f t="shared" si="1"/>
        <v>0</v>
      </c>
      <c r="K19" s="1"/>
      <c r="L19" s="1">
        <f t="shared" si="2"/>
        <v>-618.96</v>
      </c>
      <c r="M19" s="1"/>
      <c r="N19" s="5">
        <f t="shared" si="3"/>
        <v>-0.10086843722041422</v>
      </c>
      <c r="O19" s="14"/>
      <c r="P19" s="1">
        <f>SUM(OSRRefP22_0x_0)</f>
        <v>29913.920000000002</v>
      </c>
      <c r="Q19" s="1"/>
      <c r="R19" s="5">
        <f t="shared" si="4"/>
        <v>0</v>
      </c>
      <c r="S19" s="1"/>
      <c r="T19" s="1">
        <f>SUM(OSRRefT22_0x_0)</f>
        <v>29616.699999999997</v>
      </c>
      <c r="U19" s="1"/>
      <c r="V19" s="5">
        <f t="shared" si="5"/>
        <v>0</v>
      </c>
      <c r="W19" s="1"/>
      <c r="X19" s="1">
        <f t="shared" si="6"/>
        <v>297.2200000000048</v>
      </c>
      <c r="Y19" s="1"/>
      <c r="Z19" s="5">
        <f t="shared" si="7"/>
        <v>1.0035554264992549E-2</v>
      </c>
    </row>
    <row r="20" spans="1:26" s="24" customFormat="1" hidden="1" outlineLevel="2" x14ac:dyDescent="0.3">
      <c r="A20" s="27"/>
      <c r="B20" s="11" t="str">
        <f>CONCATENATE("          ", "6111", " - ", "F.I.C.A.")</f>
        <v xml:space="preserve">          6111 - F.I.C.A.</v>
      </c>
      <c r="C20" s="11"/>
      <c r="D20" s="6">
        <v>718.56</v>
      </c>
      <c r="E20" s="2"/>
      <c r="F20" s="7">
        <f t="shared" si="0"/>
        <v>0</v>
      </c>
      <c r="G20" s="2"/>
      <c r="H20" s="6">
        <v>702.21</v>
      </c>
      <c r="I20" s="2"/>
      <c r="J20" s="7">
        <f t="shared" si="1"/>
        <v>0</v>
      </c>
      <c r="K20" s="2"/>
      <c r="L20" s="6">
        <f t="shared" si="2"/>
        <v>16.349999999999909</v>
      </c>
      <c r="M20" s="2"/>
      <c r="N20" s="7">
        <f t="shared" si="3"/>
        <v>2.3283633101208911E-2</v>
      </c>
      <c r="O20" s="11"/>
      <c r="P20" s="6">
        <v>3825.87</v>
      </c>
      <c r="Q20" s="2"/>
      <c r="R20" s="7">
        <f t="shared" si="4"/>
        <v>0</v>
      </c>
      <c r="S20" s="2"/>
      <c r="T20" s="6">
        <v>3987.08</v>
      </c>
      <c r="U20" s="2"/>
      <c r="V20" s="7">
        <f t="shared" si="5"/>
        <v>0</v>
      </c>
      <c r="W20" s="2"/>
      <c r="X20" s="6">
        <f t="shared" si="6"/>
        <v>-161.21000000000004</v>
      </c>
      <c r="Y20" s="2"/>
      <c r="Z20" s="7">
        <f t="shared" si="7"/>
        <v>-4.0433098909477626E-2</v>
      </c>
    </row>
    <row r="21" spans="1:26" s="24" customFormat="1" hidden="1" outlineLevel="2" x14ac:dyDescent="0.3">
      <c r="A21" s="27"/>
      <c r="B21" s="11" t="str">
        <f>CONCATENATE("          ", "6112", " - ", "COMPENSATION INSURANCE")</f>
        <v xml:space="preserve">          6112 - COMPENSATION INSURANCE</v>
      </c>
      <c r="C21" s="11"/>
      <c r="D21" s="6">
        <v>338.15</v>
      </c>
      <c r="E21" s="2"/>
      <c r="F21" s="7">
        <f t="shared" si="0"/>
        <v>0</v>
      </c>
      <c r="G21" s="2"/>
      <c r="H21" s="6">
        <v>688.97</v>
      </c>
      <c r="I21" s="2"/>
      <c r="J21" s="7">
        <f t="shared" si="1"/>
        <v>0</v>
      </c>
      <c r="K21" s="2"/>
      <c r="L21" s="6">
        <f t="shared" si="2"/>
        <v>-350.82000000000005</v>
      </c>
      <c r="M21" s="2"/>
      <c r="N21" s="7">
        <f t="shared" si="3"/>
        <v>-0.50919488511836519</v>
      </c>
      <c r="O21" s="11"/>
      <c r="P21" s="6">
        <v>1800.39</v>
      </c>
      <c r="Q21" s="2"/>
      <c r="R21" s="7">
        <f t="shared" si="4"/>
        <v>0</v>
      </c>
      <c r="S21" s="2"/>
      <c r="T21" s="6">
        <v>2226.41</v>
      </c>
      <c r="U21" s="2"/>
      <c r="V21" s="7">
        <f t="shared" si="5"/>
        <v>0</v>
      </c>
      <c r="W21" s="2"/>
      <c r="X21" s="6">
        <f t="shared" si="6"/>
        <v>-426.01999999999975</v>
      </c>
      <c r="Y21" s="2"/>
      <c r="Z21" s="7">
        <f t="shared" si="7"/>
        <v>-0.19134840393278857</v>
      </c>
    </row>
    <row r="22" spans="1:26" s="24" customFormat="1" hidden="1" outlineLevel="2" x14ac:dyDescent="0.3">
      <c r="A22" s="27"/>
      <c r="B22" s="11" t="str">
        <f>CONCATENATE("          ", "6113", " - ", "GROUP INSURANCE")</f>
        <v xml:space="preserve">          6113 - GROUP INSURANCE</v>
      </c>
      <c r="C22" s="11"/>
      <c r="D22" s="6">
        <v>2687.98</v>
      </c>
      <c r="E22" s="2"/>
      <c r="F22" s="7">
        <f t="shared" si="0"/>
        <v>0</v>
      </c>
      <c r="G22" s="2"/>
      <c r="H22" s="6">
        <v>2737.9</v>
      </c>
      <c r="I22" s="2"/>
      <c r="J22" s="7">
        <f t="shared" si="1"/>
        <v>0</v>
      </c>
      <c r="K22" s="2"/>
      <c r="L22" s="6">
        <f t="shared" si="2"/>
        <v>-49.920000000000073</v>
      </c>
      <c r="M22" s="2"/>
      <c r="N22" s="7">
        <f t="shared" si="3"/>
        <v>-1.8232952262683105E-2</v>
      </c>
      <c r="O22" s="11"/>
      <c r="P22" s="6">
        <v>13451.15</v>
      </c>
      <c r="Q22" s="2"/>
      <c r="R22" s="7">
        <f t="shared" si="4"/>
        <v>0</v>
      </c>
      <c r="S22" s="2"/>
      <c r="T22" s="6">
        <v>13689.5</v>
      </c>
      <c r="U22" s="2"/>
      <c r="V22" s="7">
        <f t="shared" si="5"/>
        <v>0</v>
      </c>
      <c r="W22" s="2"/>
      <c r="X22" s="6">
        <f t="shared" si="6"/>
        <v>-238.35000000000036</v>
      </c>
      <c r="Y22" s="2"/>
      <c r="Z22" s="7">
        <f t="shared" si="7"/>
        <v>-1.7411154534497267E-2</v>
      </c>
    </row>
    <row r="23" spans="1:26" s="24" customFormat="1" hidden="1" outlineLevel="2" x14ac:dyDescent="0.3">
      <c r="A23" s="27"/>
      <c r="B23" s="11" t="str">
        <f>CONCATENATE("          ", "6114", " - ", "STATE UNEMPLOYMENT INSURANCE")</f>
        <v xml:space="preserve">          6114 - STATE UNEMPLOYMENT INSURANCE</v>
      </c>
      <c r="C23" s="11"/>
      <c r="D23" s="6">
        <v>24.42</v>
      </c>
      <c r="E23" s="2"/>
      <c r="F23" s="7">
        <f t="shared" si="0"/>
        <v>0</v>
      </c>
      <c r="G23" s="2"/>
      <c r="H23" s="6">
        <v>41.76</v>
      </c>
      <c r="I23" s="2"/>
      <c r="J23" s="7">
        <f t="shared" si="1"/>
        <v>0</v>
      </c>
      <c r="K23" s="2"/>
      <c r="L23" s="6">
        <f t="shared" si="2"/>
        <v>-17.339999999999996</v>
      </c>
      <c r="M23" s="2"/>
      <c r="N23" s="7">
        <f t="shared" si="3"/>
        <v>-0.41522988505747122</v>
      </c>
      <c r="O23" s="11"/>
      <c r="P23" s="6">
        <v>130.02000000000001</v>
      </c>
      <c r="Q23" s="2"/>
      <c r="R23" s="7">
        <f t="shared" si="4"/>
        <v>0</v>
      </c>
      <c r="S23" s="2"/>
      <c r="T23" s="6">
        <v>134.91999999999999</v>
      </c>
      <c r="U23" s="2"/>
      <c r="V23" s="7">
        <f t="shared" si="5"/>
        <v>0</v>
      </c>
      <c r="W23" s="2"/>
      <c r="X23" s="6">
        <f t="shared" si="6"/>
        <v>-4.8999999999999773</v>
      </c>
      <c r="Y23" s="2"/>
      <c r="Z23" s="7">
        <f t="shared" si="7"/>
        <v>-3.631781796620203E-2</v>
      </c>
    </row>
    <row r="24" spans="1:26" s="24" customFormat="1" hidden="1" outlineLevel="2" x14ac:dyDescent="0.3">
      <c r="A24" s="27"/>
      <c r="B24" s="11" t="str">
        <f>CONCATENATE("          ", "6115", " - ", "P.E.R.S.")</f>
        <v xml:space="preserve">          6115 - P.E.R.S.</v>
      </c>
      <c r="C24" s="11"/>
      <c r="D24" s="6">
        <v>707.23</v>
      </c>
      <c r="E24" s="2"/>
      <c r="F24" s="7">
        <f t="shared" si="0"/>
        <v>0</v>
      </c>
      <c r="G24" s="2"/>
      <c r="H24" s="6">
        <v>692.57</v>
      </c>
      <c r="I24" s="2"/>
      <c r="J24" s="7">
        <f t="shared" si="1"/>
        <v>0</v>
      </c>
      <c r="K24" s="2"/>
      <c r="L24" s="6">
        <f t="shared" si="2"/>
        <v>14.659999999999968</v>
      </c>
      <c r="M24" s="2"/>
      <c r="N24" s="7">
        <f t="shared" si="3"/>
        <v>2.1167535411582897E-2</v>
      </c>
      <c r="O24" s="11"/>
      <c r="P24" s="6">
        <v>3767.36</v>
      </c>
      <c r="Q24" s="2"/>
      <c r="R24" s="7">
        <f t="shared" si="4"/>
        <v>0</v>
      </c>
      <c r="S24" s="2"/>
      <c r="T24" s="6">
        <v>3809.14</v>
      </c>
      <c r="U24" s="2"/>
      <c r="V24" s="7">
        <f t="shared" si="5"/>
        <v>0</v>
      </c>
      <c r="W24" s="2"/>
      <c r="X24" s="6">
        <f t="shared" si="6"/>
        <v>-41.779999999999745</v>
      </c>
      <c r="Y24" s="2"/>
      <c r="Z24" s="7">
        <f t="shared" si="7"/>
        <v>-1.0968355061772407E-2</v>
      </c>
    </row>
    <row r="25" spans="1:26" s="24" customFormat="1" hidden="1" outlineLevel="2" x14ac:dyDescent="0.3">
      <c r="A25" s="27"/>
      <c r="B25" s="11" t="str">
        <f>CONCATENATE("          ", "6118", " - ", "VACATION")</f>
        <v xml:space="preserve">          6118 - VACATION</v>
      </c>
      <c r="C25" s="11"/>
      <c r="D25" s="6">
        <v>497.34</v>
      </c>
      <c r="E25" s="2"/>
      <c r="F25" s="7">
        <f t="shared" si="0"/>
        <v>0</v>
      </c>
      <c r="G25" s="2"/>
      <c r="H25" s="6">
        <v>827.64</v>
      </c>
      <c r="I25" s="2"/>
      <c r="J25" s="7">
        <f t="shared" si="1"/>
        <v>0</v>
      </c>
      <c r="K25" s="2"/>
      <c r="L25" s="6">
        <f t="shared" si="2"/>
        <v>-330.3</v>
      </c>
      <c r="M25" s="2"/>
      <c r="N25" s="7">
        <f t="shared" si="3"/>
        <v>-0.39908655937364074</v>
      </c>
      <c r="O25" s="11"/>
      <c r="P25" s="6">
        <v>4221.72</v>
      </c>
      <c r="Q25" s="2"/>
      <c r="R25" s="7">
        <f t="shared" si="4"/>
        <v>0</v>
      </c>
      <c r="S25" s="2"/>
      <c r="T25" s="6">
        <v>3344.72</v>
      </c>
      <c r="U25" s="2"/>
      <c r="V25" s="7">
        <f t="shared" si="5"/>
        <v>0</v>
      </c>
      <c r="W25" s="2"/>
      <c r="X25" s="6">
        <f t="shared" si="6"/>
        <v>877.00000000000045</v>
      </c>
      <c r="Y25" s="2"/>
      <c r="Z25" s="7">
        <f t="shared" si="7"/>
        <v>0.26220431007677786</v>
      </c>
    </row>
    <row r="26" spans="1:26" s="24" customFormat="1" hidden="1" outlineLevel="2" x14ac:dyDescent="0.3">
      <c r="A26" s="27"/>
      <c r="B26" s="11" t="str">
        <f>CONCATENATE("          ", "6119", " - ", "SICK LEAVE")</f>
        <v xml:space="preserve">          6119 - SICK LEAVE</v>
      </c>
      <c r="C26" s="11"/>
      <c r="D26" s="6">
        <v>429.78</v>
      </c>
      <c r="E26" s="2"/>
      <c r="F26" s="7">
        <f t="shared" si="0"/>
        <v>0</v>
      </c>
      <c r="G26" s="2"/>
      <c r="H26" s="6">
        <v>413.26</v>
      </c>
      <c r="I26" s="2"/>
      <c r="J26" s="7">
        <f t="shared" si="1"/>
        <v>0</v>
      </c>
      <c r="K26" s="2"/>
      <c r="L26" s="6">
        <f t="shared" si="2"/>
        <v>16.519999999999982</v>
      </c>
      <c r="M26" s="2"/>
      <c r="N26" s="7">
        <f t="shared" si="3"/>
        <v>3.9974834244785325E-2</v>
      </c>
      <c r="O26" s="11"/>
      <c r="P26" s="6">
        <v>2289.4499999999998</v>
      </c>
      <c r="Q26" s="2"/>
      <c r="R26" s="7">
        <f t="shared" si="4"/>
        <v>0</v>
      </c>
      <c r="S26" s="2"/>
      <c r="T26" s="6">
        <v>2272.9299999999998</v>
      </c>
      <c r="U26" s="2"/>
      <c r="V26" s="7">
        <f t="shared" si="5"/>
        <v>0</v>
      </c>
      <c r="W26" s="2"/>
      <c r="X26" s="6">
        <f t="shared" si="6"/>
        <v>16.519999999999982</v>
      </c>
      <c r="Y26" s="2"/>
      <c r="Z26" s="7">
        <f t="shared" si="7"/>
        <v>7.2681516808700587E-3</v>
      </c>
    </row>
    <row r="27" spans="1:26" s="24" customFormat="1" hidden="1" outlineLevel="2" x14ac:dyDescent="0.3">
      <c r="A27" s="27"/>
      <c r="B27" s="11" t="str">
        <f>CONCATENATE("          ", "6156", " - ", "EMPLOYEE MEALS")</f>
        <v xml:space="preserve">          6156 - EMPLOYEE MEALS</v>
      </c>
      <c r="C27" s="11"/>
      <c r="D27" s="6">
        <v>113.89</v>
      </c>
      <c r="E27" s="2"/>
      <c r="F27" s="7">
        <f t="shared" si="0"/>
        <v>0</v>
      </c>
      <c r="G27" s="2"/>
      <c r="H27" s="6">
        <v>32</v>
      </c>
      <c r="I27" s="2"/>
      <c r="J27" s="7">
        <f t="shared" si="1"/>
        <v>0</v>
      </c>
      <c r="K27" s="2"/>
      <c r="L27" s="6">
        <f t="shared" si="2"/>
        <v>81.89</v>
      </c>
      <c r="M27" s="2"/>
      <c r="N27" s="7">
        <f t="shared" si="3"/>
        <v>2.5590625</v>
      </c>
      <c r="O27" s="11"/>
      <c r="P27" s="6">
        <v>427.96</v>
      </c>
      <c r="Q27" s="2"/>
      <c r="R27" s="7">
        <f t="shared" si="4"/>
        <v>0</v>
      </c>
      <c r="S27" s="2"/>
      <c r="T27" s="6">
        <v>152</v>
      </c>
      <c r="U27" s="2"/>
      <c r="V27" s="7">
        <f t="shared" si="5"/>
        <v>0</v>
      </c>
      <c r="W27" s="2"/>
      <c r="X27" s="6">
        <f t="shared" si="6"/>
        <v>275.95999999999998</v>
      </c>
      <c r="Y27" s="2"/>
      <c r="Z27" s="7">
        <f t="shared" si="7"/>
        <v>1.8155263157894737</v>
      </c>
    </row>
    <row r="28" spans="1:26" s="29" customFormat="1" outlineLevel="1" collapsed="1" x14ac:dyDescent="0.3">
      <c r="A28" s="28"/>
      <c r="B28" s="14" t="str">
        <f>CONCATENATE("     ","*Payroll                                          ")</f>
        <v xml:space="preserve">     *Payroll                                          </v>
      </c>
      <c r="C28" s="14"/>
      <c r="D28" s="1">
        <f>SUM(OSRRefD22_1x_0)</f>
        <v>7920.23</v>
      </c>
      <c r="E28" s="1"/>
      <c r="F28" s="5">
        <f t="shared" ref="F28:F38" si="8">IF(D$12=0,0,D28/D$12)</f>
        <v>0</v>
      </c>
      <c r="G28" s="1"/>
      <c r="H28" s="1">
        <f>SUM(OSRRefH22_1x_0)</f>
        <v>8511.56</v>
      </c>
      <c r="I28" s="1"/>
      <c r="J28" s="5">
        <f t="shared" ref="J28:J38" si="9">IF(H$12=0,0,H28/H$12)</f>
        <v>0</v>
      </c>
      <c r="K28" s="1"/>
      <c r="L28" s="1">
        <f t="shared" ref="L28:L38" si="10">+D28-H28</f>
        <v>-591.32999999999993</v>
      </c>
      <c r="M28" s="1"/>
      <c r="N28" s="5">
        <f t="shared" ref="N28:N38" si="11">IF(H28=0,0,L28/H28)</f>
        <v>-6.947375099276748E-2</v>
      </c>
      <c r="O28" s="14"/>
      <c r="P28" s="1">
        <f>SUM(OSRRefP22_1x_0)</f>
        <v>46894.18</v>
      </c>
      <c r="Q28" s="1"/>
      <c r="R28" s="5">
        <f t="shared" ref="R28:R38" si="12">IF(P$12=0,0,P28/P$12)</f>
        <v>0</v>
      </c>
      <c r="S28" s="1"/>
      <c r="T28" s="1">
        <f>SUM(OSRRefT22_1x_0)</f>
        <v>45245.67</v>
      </c>
      <c r="U28" s="1"/>
      <c r="V28" s="5">
        <f t="shared" ref="V28:V38" si="13">IF(T$12=0,0,T28/T$12)</f>
        <v>0</v>
      </c>
      <c r="W28" s="1"/>
      <c r="X28" s="1">
        <f t="shared" ref="X28:X38" si="14">+P28-T28</f>
        <v>1648.510000000002</v>
      </c>
      <c r="Y28" s="1"/>
      <c r="Z28" s="5">
        <f t="shared" ref="Z28:Z38" si="15">IF(T28=0,0,X28/T28)</f>
        <v>3.6434646674477406E-2</v>
      </c>
    </row>
    <row r="29" spans="1:26" s="24" customFormat="1" hidden="1" outlineLevel="2" x14ac:dyDescent="0.3">
      <c r="A29" s="27"/>
      <c r="B29" s="11" t="str">
        <f>CONCATENATE("          ", "6001", " - ", "ADMINISTRATIVE SALARIES")</f>
        <v xml:space="preserve">          6001 - ADMINISTRATIVE SALARIES</v>
      </c>
      <c r="C29" s="11"/>
      <c r="D29" s="6">
        <v>7920.23</v>
      </c>
      <c r="E29" s="2"/>
      <c r="F29" s="7">
        <f t="shared" si="8"/>
        <v>0</v>
      </c>
      <c r="G29" s="2"/>
      <c r="H29" s="6">
        <v>8511.56</v>
      </c>
      <c r="I29" s="2"/>
      <c r="J29" s="7">
        <f t="shared" si="9"/>
        <v>0</v>
      </c>
      <c r="K29" s="2"/>
      <c r="L29" s="6">
        <f t="shared" si="10"/>
        <v>-591.32999999999993</v>
      </c>
      <c r="M29" s="2"/>
      <c r="N29" s="7">
        <f t="shared" si="11"/>
        <v>-6.947375099276748E-2</v>
      </c>
      <c r="O29" s="11"/>
      <c r="P29" s="6">
        <v>46894.18</v>
      </c>
      <c r="Q29" s="2"/>
      <c r="R29" s="7">
        <f t="shared" si="12"/>
        <v>0</v>
      </c>
      <c r="S29" s="2"/>
      <c r="T29" s="6">
        <v>45245.67</v>
      </c>
      <c r="U29" s="2"/>
      <c r="V29" s="7">
        <f t="shared" si="13"/>
        <v>0</v>
      </c>
      <c r="W29" s="2"/>
      <c r="X29" s="6">
        <f t="shared" si="14"/>
        <v>1648.510000000002</v>
      </c>
      <c r="Y29" s="2"/>
      <c r="Z29" s="7">
        <f t="shared" si="15"/>
        <v>3.6434646674477406E-2</v>
      </c>
    </row>
    <row r="30" spans="1:26" s="29" customFormat="1" outlineLevel="1" collapsed="1" x14ac:dyDescent="0.3">
      <c r="A30" s="28"/>
      <c r="B30" s="14" t="str">
        <f>CONCATENATE("     ","Advertising/Promo                                 ")</f>
        <v xml:space="preserve">     Advertising/Promo                                 </v>
      </c>
      <c r="C30" s="14"/>
      <c r="D30" s="1">
        <f>SUM(OSRRefD22_2x_0)</f>
        <v>0</v>
      </c>
      <c r="E30" s="1"/>
      <c r="F30" s="5">
        <f t="shared" si="8"/>
        <v>0</v>
      </c>
      <c r="G30" s="1"/>
      <c r="H30" s="1">
        <f>SUM(OSRRefH22_2x_0)</f>
        <v>0</v>
      </c>
      <c r="I30" s="1"/>
      <c r="J30" s="5">
        <f t="shared" si="9"/>
        <v>0</v>
      </c>
      <c r="K30" s="1"/>
      <c r="L30" s="1">
        <f t="shared" si="10"/>
        <v>0</v>
      </c>
      <c r="M30" s="1"/>
      <c r="N30" s="5">
        <f t="shared" si="11"/>
        <v>0</v>
      </c>
      <c r="O30" s="14"/>
      <c r="P30" s="1">
        <f>SUM(OSRRefP22_2x_0)</f>
        <v>45</v>
      </c>
      <c r="Q30" s="1"/>
      <c r="R30" s="5">
        <f t="shared" si="12"/>
        <v>0</v>
      </c>
      <c r="S30" s="1"/>
      <c r="T30" s="1">
        <f>SUM(OSRRefT22_2x_0)</f>
        <v>0</v>
      </c>
      <c r="U30" s="1"/>
      <c r="V30" s="5">
        <f t="shared" si="13"/>
        <v>0</v>
      </c>
      <c r="W30" s="1"/>
      <c r="X30" s="1">
        <f t="shared" si="14"/>
        <v>45</v>
      </c>
      <c r="Y30" s="1"/>
      <c r="Z30" s="5">
        <f t="shared" si="15"/>
        <v>0</v>
      </c>
    </row>
    <row r="31" spans="1:26" s="24" customFormat="1" hidden="1" outlineLevel="2" x14ac:dyDescent="0.3">
      <c r="A31" s="27"/>
      <c r="B31" s="11" t="str">
        <f>CONCATENATE("          ", "6362", " - ", "ADVERTISING EXPENSE")</f>
        <v xml:space="preserve">          6362 - ADVERTISING EXPENSE</v>
      </c>
      <c r="C31" s="11"/>
      <c r="D31" s="6"/>
      <c r="E31" s="2"/>
      <c r="F31" s="7">
        <f t="shared" si="8"/>
        <v>0</v>
      </c>
      <c r="G31" s="2"/>
      <c r="H31" s="6"/>
      <c r="I31" s="2"/>
      <c r="J31" s="7">
        <f t="shared" si="9"/>
        <v>0</v>
      </c>
      <c r="K31" s="2"/>
      <c r="L31" s="6">
        <f t="shared" si="10"/>
        <v>0</v>
      </c>
      <c r="M31" s="2"/>
      <c r="N31" s="7">
        <f t="shared" si="11"/>
        <v>0</v>
      </c>
      <c r="O31" s="11"/>
      <c r="P31" s="6">
        <v>45</v>
      </c>
      <c r="Q31" s="2"/>
      <c r="R31" s="7">
        <f t="shared" si="12"/>
        <v>0</v>
      </c>
      <c r="S31" s="2"/>
      <c r="T31" s="6"/>
      <c r="U31" s="2"/>
      <c r="V31" s="7">
        <f t="shared" si="13"/>
        <v>0</v>
      </c>
      <c r="W31" s="2"/>
      <c r="X31" s="6">
        <f t="shared" si="14"/>
        <v>45</v>
      </c>
      <c r="Y31" s="2"/>
      <c r="Z31" s="7">
        <f t="shared" si="15"/>
        <v>0</v>
      </c>
    </row>
    <row r="32" spans="1:26" s="29" customFormat="1" outlineLevel="1" collapsed="1" x14ac:dyDescent="0.3">
      <c r="A32" s="28"/>
      <c r="B32" s="14" t="str">
        <f>CONCATENATE("     ","General                                           ")</f>
        <v xml:space="preserve">     General                                           </v>
      </c>
      <c r="C32" s="14"/>
      <c r="D32" s="1">
        <f>SUM(OSRRefD22_3x_0)</f>
        <v>0</v>
      </c>
      <c r="E32" s="1"/>
      <c r="F32" s="5">
        <f t="shared" si="8"/>
        <v>0</v>
      </c>
      <c r="G32" s="1"/>
      <c r="H32" s="1">
        <f>SUM(OSRRefH22_3x_0)</f>
        <v>0</v>
      </c>
      <c r="I32" s="1"/>
      <c r="J32" s="5">
        <f t="shared" si="9"/>
        <v>0</v>
      </c>
      <c r="K32" s="1"/>
      <c r="L32" s="1">
        <f t="shared" si="10"/>
        <v>0</v>
      </c>
      <c r="M32" s="1"/>
      <c r="N32" s="5">
        <f t="shared" si="11"/>
        <v>0</v>
      </c>
      <c r="O32" s="14"/>
      <c r="P32" s="1">
        <f>SUM(OSRRefP22_3x_0)</f>
        <v>170</v>
      </c>
      <c r="Q32" s="1"/>
      <c r="R32" s="5">
        <f t="shared" si="12"/>
        <v>0</v>
      </c>
      <c r="S32" s="1"/>
      <c r="T32" s="1">
        <f>SUM(OSRRefT22_3x_0)</f>
        <v>1.65</v>
      </c>
      <c r="U32" s="1"/>
      <c r="V32" s="5">
        <f t="shared" si="13"/>
        <v>0</v>
      </c>
      <c r="W32" s="1"/>
      <c r="X32" s="1">
        <f t="shared" si="14"/>
        <v>168.35</v>
      </c>
      <c r="Y32" s="1"/>
      <c r="Z32" s="5">
        <f t="shared" si="15"/>
        <v>102.03030303030303</v>
      </c>
    </row>
    <row r="33" spans="1:26" s="24" customFormat="1" hidden="1" outlineLevel="2" x14ac:dyDescent="0.3">
      <c r="A33" s="27"/>
      <c r="B33" s="11" t="str">
        <f>CONCATENATE("          ", "6279", " - ", "GENERAL EXPENSE")</f>
        <v xml:space="preserve">          6279 - GENERAL EXPENSE</v>
      </c>
      <c r="C33" s="11"/>
      <c r="D33" s="6"/>
      <c r="E33" s="2"/>
      <c r="F33" s="7">
        <f t="shared" si="8"/>
        <v>0</v>
      </c>
      <c r="G33" s="2"/>
      <c r="H33" s="6"/>
      <c r="I33" s="2"/>
      <c r="J33" s="7">
        <f t="shared" si="9"/>
        <v>0</v>
      </c>
      <c r="K33" s="2"/>
      <c r="L33" s="6">
        <f t="shared" si="10"/>
        <v>0</v>
      </c>
      <c r="M33" s="2"/>
      <c r="N33" s="7">
        <f t="shared" si="11"/>
        <v>0</v>
      </c>
      <c r="O33" s="11"/>
      <c r="P33" s="6">
        <v>170</v>
      </c>
      <c r="Q33" s="2"/>
      <c r="R33" s="7">
        <f t="shared" si="12"/>
        <v>0</v>
      </c>
      <c r="S33" s="2"/>
      <c r="T33" s="6">
        <v>1.65</v>
      </c>
      <c r="U33" s="2"/>
      <c r="V33" s="7">
        <f t="shared" si="13"/>
        <v>0</v>
      </c>
      <c r="W33" s="2"/>
      <c r="X33" s="6">
        <f t="shared" si="14"/>
        <v>168.35</v>
      </c>
      <c r="Y33" s="2"/>
      <c r="Z33" s="7">
        <f t="shared" si="15"/>
        <v>102.03030303030303</v>
      </c>
    </row>
    <row r="34" spans="1:26" s="29" customFormat="1" outlineLevel="1" collapsed="1" x14ac:dyDescent="0.3">
      <c r="A34" s="28"/>
      <c r="B34" s="14" t="str">
        <f>CONCATENATE("     ","Repair and Maintenance                            ")</f>
        <v xml:space="preserve">     Repair and Maintenance                            </v>
      </c>
      <c r="C34" s="14"/>
      <c r="D34" s="1">
        <f>SUM(OSRRefD22_4x_0)</f>
        <v>3500</v>
      </c>
      <c r="E34" s="1"/>
      <c r="F34" s="5">
        <f t="shared" si="8"/>
        <v>0</v>
      </c>
      <c r="G34" s="1"/>
      <c r="H34" s="1">
        <f>SUM(OSRRefH22_4x_0)</f>
        <v>0</v>
      </c>
      <c r="I34" s="1"/>
      <c r="J34" s="5">
        <f t="shared" si="9"/>
        <v>0</v>
      </c>
      <c r="K34" s="1"/>
      <c r="L34" s="1">
        <f t="shared" si="10"/>
        <v>3500</v>
      </c>
      <c r="M34" s="1"/>
      <c r="N34" s="5">
        <f t="shared" si="11"/>
        <v>0</v>
      </c>
      <c r="O34" s="14"/>
      <c r="P34" s="1">
        <f>SUM(OSRRefP22_4x_0)</f>
        <v>17500</v>
      </c>
      <c r="Q34" s="1"/>
      <c r="R34" s="5">
        <f t="shared" si="12"/>
        <v>0</v>
      </c>
      <c r="S34" s="1"/>
      <c r="T34" s="1">
        <f>SUM(OSRRefT22_4x_0)</f>
        <v>0</v>
      </c>
      <c r="U34" s="1"/>
      <c r="V34" s="5">
        <f t="shared" si="13"/>
        <v>0</v>
      </c>
      <c r="W34" s="1"/>
      <c r="X34" s="1">
        <f t="shared" si="14"/>
        <v>17500</v>
      </c>
      <c r="Y34" s="1"/>
      <c r="Z34" s="5">
        <f t="shared" si="15"/>
        <v>0</v>
      </c>
    </row>
    <row r="35" spans="1:26" s="24" customFormat="1" hidden="1" outlineLevel="2" x14ac:dyDescent="0.3">
      <c r="A35" s="27"/>
      <c r="B35" s="11" t="str">
        <f>CONCATENATE("          ", "6371", " - ", "COMPUTER SOFTWARE MAINTENANCE")</f>
        <v xml:space="preserve">          6371 - COMPUTER SOFTWARE MAINTENANCE</v>
      </c>
      <c r="C35" s="11"/>
      <c r="D35" s="6">
        <v>3500</v>
      </c>
      <c r="E35" s="2"/>
      <c r="F35" s="7">
        <f t="shared" si="8"/>
        <v>0</v>
      </c>
      <c r="G35" s="2"/>
      <c r="H35" s="6"/>
      <c r="I35" s="2"/>
      <c r="J35" s="7">
        <f t="shared" si="9"/>
        <v>0</v>
      </c>
      <c r="K35" s="2"/>
      <c r="L35" s="6">
        <f t="shared" si="10"/>
        <v>3500</v>
      </c>
      <c r="M35" s="2"/>
      <c r="N35" s="7">
        <f t="shared" si="11"/>
        <v>0</v>
      </c>
      <c r="O35" s="11"/>
      <c r="P35" s="6">
        <v>17500</v>
      </c>
      <c r="Q35" s="2"/>
      <c r="R35" s="7">
        <f t="shared" si="12"/>
        <v>0</v>
      </c>
      <c r="S35" s="2"/>
      <c r="T35" s="6"/>
      <c r="U35" s="2"/>
      <c r="V35" s="7">
        <f t="shared" si="13"/>
        <v>0</v>
      </c>
      <c r="W35" s="2"/>
      <c r="X35" s="6">
        <f t="shared" si="14"/>
        <v>17500</v>
      </c>
      <c r="Y35" s="2"/>
      <c r="Z35" s="7">
        <f t="shared" si="15"/>
        <v>0</v>
      </c>
    </row>
    <row r="36" spans="1:26" s="29" customFormat="1" outlineLevel="1" collapsed="1" x14ac:dyDescent="0.3">
      <c r="A36" s="28"/>
      <c r="B36" s="14" t="str">
        <f>CONCATENATE("     ","Supplies                                          ")</f>
        <v xml:space="preserve">     Supplies                                          </v>
      </c>
      <c r="C36" s="14"/>
      <c r="D36" s="1">
        <f>SUM(OSRRefD22_5x_0)</f>
        <v>0</v>
      </c>
      <c r="E36" s="1"/>
      <c r="F36" s="5">
        <f t="shared" si="8"/>
        <v>0</v>
      </c>
      <c r="G36" s="1"/>
      <c r="H36" s="1">
        <f>SUM(OSRRefH22_5x_0)</f>
        <v>0</v>
      </c>
      <c r="I36" s="1"/>
      <c r="J36" s="5">
        <f t="shared" si="9"/>
        <v>0</v>
      </c>
      <c r="K36" s="1"/>
      <c r="L36" s="1">
        <f t="shared" si="10"/>
        <v>0</v>
      </c>
      <c r="M36" s="1"/>
      <c r="N36" s="5">
        <f t="shared" si="11"/>
        <v>0</v>
      </c>
      <c r="O36" s="14"/>
      <c r="P36" s="1">
        <f>SUM(OSRRefP22_5x_0)</f>
        <v>528.41</v>
      </c>
      <c r="Q36" s="1"/>
      <c r="R36" s="5">
        <f t="shared" si="12"/>
        <v>0</v>
      </c>
      <c r="S36" s="1"/>
      <c r="T36" s="1">
        <f>SUM(OSRRefT22_5x_0)</f>
        <v>4939.2</v>
      </c>
      <c r="U36" s="1"/>
      <c r="V36" s="5">
        <f t="shared" si="13"/>
        <v>0</v>
      </c>
      <c r="W36" s="1"/>
      <c r="X36" s="1">
        <f t="shared" si="14"/>
        <v>-4410.79</v>
      </c>
      <c r="Y36" s="1"/>
      <c r="Z36" s="5">
        <f t="shared" si="15"/>
        <v>-0.893017087787496</v>
      </c>
    </row>
    <row r="37" spans="1:26" s="24" customFormat="1" hidden="1" outlineLevel="2" x14ac:dyDescent="0.3">
      <c r="A37" s="27"/>
      <c r="B37" s="11" t="str">
        <f>CONCATENATE("          ", "6235", " - ", "COVID-19 EXPENSES")</f>
        <v xml:space="preserve">          6235 - COVID-19 EXPENSES</v>
      </c>
      <c r="C37" s="11"/>
      <c r="D37" s="6"/>
      <c r="E37" s="2"/>
      <c r="F37" s="7">
        <f t="shared" si="8"/>
        <v>0</v>
      </c>
      <c r="G37" s="2"/>
      <c r="H37" s="6"/>
      <c r="I37" s="2"/>
      <c r="J37" s="7">
        <f t="shared" si="9"/>
        <v>0</v>
      </c>
      <c r="K37" s="2"/>
      <c r="L37" s="6">
        <f t="shared" si="10"/>
        <v>0</v>
      </c>
      <c r="M37" s="2"/>
      <c r="N37" s="7">
        <f t="shared" si="11"/>
        <v>0</v>
      </c>
      <c r="O37" s="11"/>
      <c r="P37" s="6"/>
      <c r="Q37" s="2"/>
      <c r="R37" s="7">
        <f t="shared" si="12"/>
        <v>0</v>
      </c>
      <c r="S37" s="2"/>
      <c r="T37" s="6">
        <v>4939.2</v>
      </c>
      <c r="U37" s="2"/>
      <c r="V37" s="7">
        <f t="shared" si="13"/>
        <v>0</v>
      </c>
      <c r="W37" s="2"/>
      <c r="X37" s="6">
        <f t="shared" si="14"/>
        <v>-4939.2</v>
      </c>
      <c r="Y37" s="2"/>
      <c r="Z37" s="7">
        <f t="shared" si="15"/>
        <v>-1</v>
      </c>
    </row>
    <row r="38" spans="1:26" s="24" customFormat="1" hidden="1" outlineLevel="2" x14ac:dyDescent="0.3">
      <c r="A38" s="27"/>
      <c r="B38" s="11" t="str">
        <f>CONCATENATE("          ", "6241", " - ", "OFFICE EXPENSE")</f>
        <v xml:space="preserve">          6241 - OFFICE EXPENSE</v>
      </c>
      <c r="C38" s="11"/>
      <c r="D38" s="6"/>
      <c r="E38" s="2"/>
      <c r="F38" s="7">
        <f t="shared" si="8"/>
        <v>0</v>
      </c>
      <c r="G38" s="2"/>
      <c r="H38" s="6"/>
      <c r="I38" s="2"/>
      <c r="J38" s="7">
        <f t="shared" si="9"/>
        <v>0</v>
      </c>
      <c r="K38" s="2"/>
      <c r="L38" s="6">
        <f t="shared" si="10"/>
        <v>0</v>
      </c>
      <c r="M38" s="2"/>
      <c r="N38" s="7">
        <f t="shared" si="11"/>
        <v>0</v>
      </c>
      <c r="O38" s="11"/>
      <c r="P38" s="6">
        <v>528.41</v>
      </c>
      <c r="Q38" s="2"/>
      <c r="R38" s="7">
        <f t="shared" si="12"/>
        <v>0</v>
      </c>
      <c r="S38" s="2"/>
      <c r="T38" s="6"/>
      <c r="U38" s="2"/>
      <c r="V38" s="7">
        <f t="shared" si="13"/>
        <v>0</v>
      </c>
      <c r="W38" s="2"/>
      <c r="X38" s="6">
        <f t="shared" si="14"/>
        <v>528.41</v>
      </c>
      <c r="Y38" s="2"/>
      <c r="Z38" s="7">
        <f t="shared" si="15"/>
        <v>0</v>
      </c>
    </row>
    <row r="39" spans="1:26" s="29" customFormat="1" outlineLevel="1" collapsed="1" x14ac:dyDescent="0.3">
      <c r="A39" s="28"/>
      <c r="B39" s="14" t="str">
        <f>CONCATENATE("     ","Telephone/Data Lines                              ")</f>
        <v xml:space="preserve">     Telephone/Data Lines                              </v>
      </c>
      <c r="C39" s="14"/>
      <c r="D39" s="1">
        <f>SUM(OSRRefD22_6x_0)</f>
        <v>75</v>
      </c>
      <c r="E39" s="1"/>
      <c r="F39" s="5">
        <f t="shared" ref="F39:F42" si="16">IF(D$12=0,0,D39/D$12)</f>
        <v>0</v>
      </c>
      <c r="G39" s="1"/>
      <c r="H39" s="1">
        <f>SUM(OSRRefH22_6x_0)</f>
        <v>50</v>
      </c>
      <c r="I39" s="1"/>
      <c r="J39" s="5">
        <f t="shared" ref="J39:J42" si="17">IF(H$12=0,0,H39/H$12)</f>
        <v>0</v>
      </c>
      <c r="K39" s="1"/>
      <c r="L39" s="1">
        <f t="shared" ref="L39:L42" si="18">+D39-H39</f>
        <v>25</v>
      </c>
      <c r="M39" s="1"/>
      <c r="N39" s="5">
        <f t="shared" ref="N39:N42" si="19">IF(H39=0,0,L39/H39)</f>
        <v>0.5</v>
      </c>
      <c r="O39" s="14"/>
      <c r="P39" s="1">
        <f>SUM(OSRRefP22_6x_0)</f>
        <v>433</v>
      </c>
      <c r="Q39" s="1"/>
      <c r="R39" s="5">
        <f t="shared" ref="R39:R42" si="20">IF(P$12=0,0,P39/P$12)</f>
        <v>0</v>
      </c>
      <c r="S39" s="1"/>
      <c r="T39" s="1">
        <f>SUM(OSRRefT22_6x_0)</f>
        <v>350</v>
      </c>
      <c r="U39" s="1"/>
      <c r="V39" s="5">
        <f t="shared" ref="V39:V42" si="21">IF(T$12=0,0,T39/T$12)</f>
        <v>0</v>
      </c>
      <c r="W39" s="1"/>
      <c r="X39" s="1">
        <f t="shared" ref="X39:X42" si="22">+P39-T39</f>
        <v>83</v>
      </c>
      <c r="Y39" s="1"/>
      <c r="Z39" s="5">
        <f t="shared" ref="Z39:Z42" si="23">IF(T39=0,0,X39/T39)</f>
        <v>0.23714285714285716</v>
      </c>
    </row>
    <row r="40" spans="1:26" s="24" customFormat="1" hidden="1" outlineLevel="2" x14ac:dyDescent="0.3">
      <c r="A40" s="27"/>
      <c r="B40" s="11" t="str">
        <f>CONCATENATE("          ", "6309", " - ", "TELEPHONE")</f>
        <v xml:space="preserve">          6309 - TELEPHONE</v>
      </c>
      <c r="C40" s="11"/>
      <c r="D40" s="6">
        <v>75</v>
      </c>
      <c r="E40" s="2"/>
      <c r="F40" s="7">
        <f t="shared" si="16"/>
        <v>0</v>
      </c>
      <c r="G40" s="2"/>
      <c r="H40" s="6">
        <v>50</v>
      </c>
      <c r="I40" s="2"/>
      <c r="J40" s="7">
        <f t="shared" si="17"/>
        <v>0</v>
      </c>
      <c r="K40" s="2"/>
      <c r="L40" s="6">
        <f t="shared" si="18"/>
        <v>25</v>
      </c>
      <c r="M40" s="2"/>
      <c r="N40" s="7">
        <f t="shared" si="19"/>
        <v>0.5</v>
      </c>
      <c r="O40" s="11"/>
      <c r="P40" s="6">
        <v>433</v>
      </c>
      <c r="Q40" s="2"/>
      <c r="R40" s="7">
        <f t="shared" si="20"/>
        <v>0</v>
      </c>
      <c r="S40" s="2"/>
      <c r="T40" s="6">
        <v>350</v>
      </c>
      <c r="U40" s="2"/>
      <c r="V40" s="7">
        <f t="shared" si="21"/>
        <v>0</v>
      </c>
      <c r="W40" s="2"/>
      <c r="X40" s="6">
        <f t="shared" si="22"/>
        <v>83</v>
      </c>
      <c r="Y40" s="2"/>
      <c r="Z40" s="7">
        <f t="shared" si="23"/>
        <v>0.23714285714285716</v>
      </c>
    </row>
    <row r="41" spans="1:26" s="29" customFormat="1" outlineLevel="1" collapsed="1" x14ac:dyDescent="0.3">
      <c r="A41" s="28"/>
      <c r="B41" s="14" t="str">
        <f>CONCATENATE("     ","Travel                                            ")</f>
        <v xml:space="preserve">     Travel                                            </v>
      </c>
      <c r="C41" s="14"/>
      <c r="D41" s="1">
        <f>SUM(OSRRefD22_7x_0)</f>
        <v>0</v>
      </c>
      <c r="E41" s="1"/>
      <c r="F41" s="5">
        <f t="shared" si="16"/>
        <v>0</v>
      </c>
      <c r="G41" s="1"/>
      <c r="H41" s="1">
        <f>SUM(OSRRefH22_7x_0)</f>
        <v>0</v>
      </c>
      <c r="I41" s="1"/>
      <c r="J41" s="5">
        <f t="shared" si="17"/>
        <v>0</v>
      </c>
      <c r="K41" s="1"/>
      <c r="L41" s="1">
        <f t="shared" si="18"/>
        <v>0</v>
      </c>
      <c r="M41" s="1"/>
      <c r="N41" s="5">
        <f t="shared" si="19"/>
        <v>0</v>
      </c>
      <c r="O41" s="14"/>
      <c r="P41" s="1">
        <f>SUM(OSRRefP22_7x_0)</f>
        <v>595</v>
      </c>
      <c r="Q41" s="1"/>
      <c r="R41" s="5">
        <f t="shared" si="20"/>
        <v>0</v>
      </c>
      <c r="S41" s="1"/>
      <c r="T41" s="1">
        <f>SUM(OSRRefT22_7x_0)</f>
        <v>0</v>
      </c>
      <c r="U41" s="1"/>
      <c r="V41" s="5">
        <f t="shared" si="21"/>
        <v>0</v>
      </c>
      <c r="W41" s="1"/>
      <c r="X41" s="1">
        <f t="shared" si="22"/>
        <v>595</v>
      </c>
      <c r="Y41" s="1"/>
      <c r="Z41" s="5">
        <f t="shared" si="23"/>
        <v>0</v>
      </c>
    </row>
    <row r="42" spans="1:26" s="24" customFormat="1" hidden="1" outlineLevel="2" x14ac:dyDescent="0.3">
      <c r="A42" s="27"/>
      <c r="B42" s="11" t="str">
        <f>CONCATENATE("          ", "6292", " - ", "TRAVEL/CONFERENCE")</f>
        <v xml:space="preserve">          6292 - TRAVEL/CONFERENCE</v>
      </c>
      <c r="C42" s="11"/>
      <c r="D42" s="6"/>
      <c r="E42" s="2"/>
      <c r="F42" s="7">
        <f t="shared" si="16"/>
        <v>0</v>
      </c>
      <c r="G42" s="2"/>
      <c r="H42" s="6"/>
      <c r="I42" s="2"/>
      <c r="J42" s="7">
        <f t="shared" si="17"/>
        <v>0</v>
      </c>
      <c r="K42" s="2"/>
      <c r="L42" s="6">
        <f t="shared" si="18"/>
        <v>0</v>
      </c>
      <c r="M42" s="2"/>
      <c r="N42" s="7">
        <f t="shared" si="19"/>
        <v>0</v>
      </c>
      <c r="O42" s="11"/>
      <c r="P42" s="6">
        <v>595</v>
      </c>
      <c r="Q42" s="2"/>
      <c r="R42" s="7">
        <f t="shared" si="20"/>
        <v>0</v>
      </c>
      <c r="S42" s="2"/>
      <c r="T42" s="6"/>
      <c r="U42" s="2"/>
      <c r="V42" s="7">
        <f t="shared" si="21"/>
        <v>0</v>
      </c>
      <c r="W42" s="2"/>
      <c r="X42" s="6">
        <f t="shared" si="22"/>
        <v>595</v>
      </c>
      <c r="Y42" s="2"/>
      <c r="Z42" s="7">
        <f t="shared" si="23"/>
        <v>0</v>
      </c>
    </row>
    <row r="43" spans="1:26" s="62" customFormat="1" x14ac:dyDescent="0.3">
      <c r="A43" s="37"/>
      <c r="B43" s="37"/>
      <c r="C43" s="37"/>
      <c r="D43" s="1"/>
      <c r="E43" s="1"/>
      <c r="F43" s="5"/>
      <c r="G43" s="1"/>
      <c r="H43" s="1"/>
      <c r="I43" s="1"/>
      <c r="J43" s="5"/>
      <c r="K43" s="1"/>
      <c r="L43" s="1"/>
      <c r="M43" s="1"/>
      <c r="N43" s="5"/>
      <c r="O43" s="37"/>
      <c r="P43" s="1"/>
      <c r="Q43" s="1"/>
      <c r="R43" s="5"/>
      <c r="S43" s="1"/>
      <c r="T43" s="1"/>
      <c r="U43" s="1"/>
      <c r="V43" s="5"/>
      <c r="W43" s="1"/>
      <c r="X43" s="1"/>
      <c r="Y43" s="1"/>
      <c r="Z43" s="5"/>
    </row>
    <row r="44" spans="1:26" s="23" customFormat="1" x14ac:dyDescent="0.3">
      <c r="A44" s="10"/>
      <c r="B44" s="26" t="s">
        <v>292</v>
      </c>
      <c r="C44" s="10"/>
      <c r="D44" s="4">
        <f>SUM(0)</f>
        <v>0</v>
      </c>
      <c r="E44" s="4"/>
      <c r="F44" s="12">
        <f>IF(D$12=0,0,D44/D$12)</f>
        <v>0</v>
      </c>
      <c r="G44" s="4"/>
      <c r="H44" s="4">
        <f>SUM(0)</f>
        <v>0</v>
      </c>
      <c r="I44" s="4"/>
      <c r="J44" s="12">
        <f>IF(H$12=0,0,H44/H$12)</f>
        <v>0</v>
      </c>
      <c r="K44" s="4"/>
      <c r="L44" s="4">
        <f>+D44-H44</f>
        <v>0</v>
      </c>
      <c r="M44" s="4"/>
      <c r="N44" s="12">
        <f>IF(H44=0,0,L44/H44)</f>
        <v>0</v>
      </c>
      <c r="O44" s="10"/>
      <c r="P44" s="4">
        <f>SUM(0)</f>
        <v>0</v>
      </c>
      <c r="Q44" s="4"/>
      <c r="R44" s="12">
        <f>IF(P$12=0,0,P44/P$12)</f>
        <v>0</v>
      </c>
      <c r="S44" s="4"/>
      <c r="T44" s="4">
        <f>SUM(0)</f>
        <v>0</v>
      </c>
      <c r="U44" s="4"/>
      <c r="V44" s="12">
        <f>IF(T$12=0,0,T44/T$12)</f>
        <v>0</v>
      </c>
      <c r="W44" s="4"/>
      <c r="X44" s="4">
        <f>+P44-T44</f>
        <v>0</v>
      </c>
      <c r="Y44" s="4"/>
      <c r="Z44" s="12">
        <f>IF(T44=0,0,X44/T44)</f>
        <v>0</v>
      </c>
    </row>
    <row r="45" spans="1:26" x14ac:dyDescent="0.3">
      <c r="A45" s="9"/>
      <c r="B45" s="10"/>
      <c r="C45" s="10"/>
      <c r="D45" s="3"/>
      <c r="E45" s="3"/>
      <c r="F45" s="8"/>
      <c r="G45" s="3"/>
      <c r="H45" s="3"/>
      <c r="I45" s="3"/>
      <c r="J45" s="8"/>
      <c r="K45" s="3"/>
      <c r="L45" s="3"/>
      <c r="M45" s="3"/>
      <c r="N45" s="8"/>
      <c r="O45" s="10"/>
      <c r="P45" s="3"/>
      <c r="Q45" s="3"/>
      <c r="R45" s="8"/>
      <c r="S45" s="3"/>
      <c r="T45" s="3"/>
      <c r="U45" s="3"/>
      <c r="V45" s="8"/>
      <c r="W45" s="3"/>
      <c r="X45" s="3"/>
      <c r="Y45" s="3"/>
      <c r="Z45" s="8"/>
    </row>
    <row r="46" spans="1:26" s="23" customFormat="1" x14ac:dyDescent="0.3">
      <c r="A46" s="10"/>
      <c r="B46" s="25" t="s">
        <v>276</v>
      </c>
      <c r="C46" s="25"/>
      <c r="D46" s="21">
        <f>+D16-D18+D44</f>
        <v>-17012.580000000002</v>
      </c>
      <c r="E46" s="13"/>
      <c r="F46" s="22">
        <f>IF(D$12=0,0,D46/D$12)</f>
        <v>0</v>
      </c>
      <c r="G46" s="13"/>
      <c r="H46" s="21">
        <f>+H16-H18+H44</f>
        <v>-14697.869999999999</v>
      </c>
      <c r="I46" s="13"/>
      <c r="J46" s="22">
        <f>IF(H$12=0,0,H46/H$12)</f>
        <v>0</v>
      </c>
      <c r="K46" s="16"/>
      <c r="L46" s="21">
        <f>+D46-H46</f>
        <v>-2314.7100000000028</v>
      </c>
      <c r="M46" s="16"/>
      <c r="N46" s="22">
        <f>IF(H46=0,0,L46/H46)</f>
        <v>0.15748608471839817</v>
      </c>
      <c r="O46" s="26"/>
      <c r="P46" s="21">
        <f>+P16-P18+P44</f>
        <v>-96079.510000000009</v>
      </c>
      <c r="Q46" s="13"/>
      <c r="R46" s="22">
        <f>IF(P$12=0,0,P46/P$12)</f>
        <v>0</v>
      </c>
      <c r="S46" s="13"/>
      <c r="T46" s="21">
        <f>+T16-T18+T44</f>
        <v>-80153.219999999987</v>
      </c>
      <c r="U46" s="13"/>
      <c r="V46" s="22">
        <f>IF(T$12=0,0,T46/T$12)</f>
        <v>0</v>
      </c>
      <c r="W46" s="16"/>
      <c r="X46" s="21">
        <f>+P46-T46</f>
        <v>-15926.290000000023</v>
      </c>
      <c r="Y46" s="16"/>
      <c r="Z46" s="22">
        <f>IF(T46=0,0,X46/T46)</f>
        <v>0.19869806852425922</v>
      </c>
    </row>
    <row r="47" spans="1:26" x14ac:dyDescent="0.3">
      <c r="A47" s="9"/>
      <c r="B47" s="10"/>
      <c r="C47" s="9"/>
      <c r="D47" s="3"/>
      <c r="E47" s="3"/>
      <c r="F47" s="8"/>
      <c r="G47" s="3"/>
      <c r="H47" s="3"/>
      <c r="I47" s="3"/>
      <c r="J47" s="8"/>
      <c r="K47" s="3"/>
      <c r="L47" s="3"/>
      <c r="M47" s="3"/>
      <c r="N47" s="8"/>
      <c r="P47" s="3"/>
      <c r="Q47" s="3"/>
      <c r="R47" s="8"/>
      <c r="S47" s="3"/>
      <c r="T47" s="3"/>
      <c r="U47" s="3"/>
      <c r="V47" s="8"/>
      <c r="W47" s="3"/>
      <c r="X47" s="3"/>
      <c r="Y47" s="3"/>
      <c r="Z47" s="8"/>
    </row>
    <row r="48" spans="1:26" s="23" customFormat="1" x14ac:dyDescent="0.3">
      <c r="A48" s="51"/>
      <c r="B48" s="10" t="s">
        <v>127</v>
      </c>
      <c r="C48" s="10"/>
      <c r="D48" s="4"/>
      <c r="E48" s="4"/>
      <c r="F48" s="12">
        <f>IF(D$12=0,0,D48/D$12)</f>
        <v>0</v>
      </c>
      <c r="G48" s="4"/>
      <c r="H48" s="4"/>
      <c r="I48" s="4"/>
      <c r="J48" s="12">
        <f>IF(H$12=0,0,H48/H$12)</f>
        <v>0</v>
      </c>
      <c r="K48" s="4"/>
      <c r="L48" s="4">
        <f>+D48-H48</f>
        <v>0</v>
      </c>
      <c r="M48" s="4"/>
      <c r="N48" s="12">
        <f>IF(H48=0,0,L48/H48)</f>
        <v>0</v>
      </c>
      <c r="O48" s="10"/>
      <c r="P48" s="4"/>
      <c r="Q48" s="4"/>
      <c r="R48" s="12">
        <f>IF(P$12=0,0,P48/P$12)</f>
        <v>0</v>
      </c>
      <c r="S48" s="4"/>
      <c r="T48" s="4"/>
      <c r="U48" s="4"/>
      <c r="V48" s="12">
        <f>IF(T$12=0,0,T48/T$12)</f>
        <v>0</v>
      </c>
      <c r="W48" s="4"/>
      <c r="X48" s="4">
        <f>+P48-T48</f>
        <v>0</v>
      </c>
      <c r="Y48" s="4"/>
      <c r="Z48" s="12">
        <f>IF(T48=0,0,X48/T48)</f>
        <v>0</v>
      </c>
    </row>
    <row r="49" spans="1:26" x14ac:dyDescent="0.3">
      <c r="A49" s="9"/>
      <c r="B49" s="10"/>
      <c r="C49" s="10"/>
      <c r="D49" s="3"/>
      <c r="E49" s="3"/>
      <c r="F49" s="8"/>
      <c r="G49" s="3"/>
      <c r="H49" s="3"/>
      <c r="I49" s="3"/>
      <c r="J49" s="8"/>
      <c r="K49" s="3"/>
      <c r="L49" s="3"/>
      <c r="M49" s="3"/>
      <c r="N49" s="8"/>
      <c r="O49" s="10"/>
      <c r="P49" s="3"/>
      <c r="Q49" s="3"/>
      <c r="R49" s="8"/>
      <c r="S49" s="3"/>
      <c r="T49" s="3"/>
      <c r="U49" s="3"/>
      <c r="V49" s="8"/>
      <c r="W49" s="3"/>
      <c r="X49" s="3"/>
      <c r="Y49" s="3"/>
      <c r="Z49" s="8"/>
    </row>
    <row r="50" spans="1:26" s="23" customFormat="1" ht="15" thickBot="1" x14ac:dyDescent="0.35">
      <c r="A50" s="10"/>
      <c r="B50" s="25" t="s">
        <v>125</v>
      </c>
      <c r="C50" s="25"/>
      <c r="D50" s="35">
        <f>+D46-D48</f>
        <v>-17012.580000000002</v>
      </c>
      <c r="E50" s="13"/>
      <c r="F50" s="31">
        <f>IF(D$12=0,0,D50/D$12)</f>
        <v>0</v>
      </c>
      <c r="G50" s="13"/>
      <c r="H50" s="35">
        <f>+H46-H48</f>
        <v>-14697.869999999999</v>
      </c>
      <c r="I50" s="13"/>
      <c r="J50" s="31">
        <f>IF(H$12=0,0,H50/H$12)</f>
        <v>0</v>
      </c>
      <c r="K50" s="16"/>
      <c r="L50" s="35">
        <f>D50-H50</f>
        <v>-2314.7100000000028</v>
      </c>
      <c r="M50" s="16"/>
      <c r="N50" s="31">
        <f>IF(H50=0,0,L50/H50)</f>
        <v>0.15748608471839817</v>
      </c>
      <c r="O50" s="26"/>
      <c r="P50" s="35">
        <f>+P46-P48</f>
        <v>-96079.510000000009</v>
      </c>
      <c r="Q50" s="13"/>
      <c r="R50" s="31">
        <f>IF(P$12=0,0,P50/P$12)</f>
        <v>0</v>
      </c>
      <c r="S50" s="13"/>
      <c r="T50" s="35">
        <f>+T46-T48</f>
        <v>-80153.219999999987</v>
      </c>
      <c r="U50" s="13"/>
      <c r="V50" s="31">
        <f>IF(T$12=0,0,T50/T$12)</f>
        <v>0</v>
      </c>
      <c r="W50" s="16"/>
      <c r="X50" s="35">
        <f>P50-T50</f>
        <v>-15926.290000000023</v>
      </c>
      <c r="Y50" s="16"/>
      <c r="Z50" s="31">
        <f>IF(T50=0,0,X50/T50)</f>
        <v>0.19869806852425922</v>
      </c>
    </row>
    <row r="51" spans="1:26" ht="15" thickTop="1" x14ac:dyDescent="0.3">
      <c r="A51" s="9"/>
      <c r="B51" s="9"/>
      <c r="C51" s="9"/>
      <c r="D51" s="3"/>
      <c r="E51" s="3"/>
      <c r="F51" s="8"/>
      <c r="G51" s="3"/>
      <c r="H51" s="3"/>
      <c r="I51" s="3"/>
      <c r="J51" s="8"/>
      <c r="K51" s="3"/>
      <c r="L51" s="3"/>
      <c r="M51" s="3"/>
      <c r="N51" s="8"/>
      <c r="P51" s="3"/>
      <c r="Q51" s="3"/>
      <c r="R51" s="8"/>
      <c r="S51" s="3"/>
      <c r="T51" s="3"/>
      <c r="U51" s="3"/>
      <c r="V51" s="8"/>
      <c r="W51" s="3"/>
      <c r="X51" s="3"/>
      <c r="Y51" s="3"/>
      <c r="Z51" s="8"/>
    </row>
    <row r="52" spans="1:26" x14ac:dyDescent="0.3">
      <c r="A52" s="9"/>
      <c r="B52" s="9"/>
      <c r="C52" s="9"/>
      <c r="D52" s="3"/>
      <c r="E52" s="3"/>
      <c r="F52" s="8"/>
      <c r="G52" s="3"/>
      <c r="H52" s="3"/>
      <c r="I52" s="3"/>
      <c r="J52" s="8"/>
      <c r="K52" s="3"/>
      <c r="L52" s="3"/>
      <c r="M52" s="3"/>
      <c r="N52" s="8"/>
      <c r="P52" s="3"/>
      <c r="Q52" s="3"/>
      <c r="R52" s="8"/>
      <c r="S52" s="3"/>
      <c r="T52" s="3"/>
      <c r="U52" s="3"/>
      <c r="V52" s="8"/>
      <c r="W52" s="3"/>
      <c r="X52" s="3"/>
      <c r="Y52" s="3"/>
      <c r="Z52" s="8"/>
    </row>
    <row r="53" spans="1:26" s="23" customFormat="1" ht="15" thickBot="1" x14ac:dyDescent="0.35">
      <c r="A53" s="10"/>
      <c r="B53" s="25" t="s">
        <v>293</v>
      </c>
      <c r="C53" s="25"/>
      <c r="D53" s="36">
        <f>SUM(D50:D52)</f>
        <v>-17012.580000000002</v>
      </c>
      <c r="E53" s="13"/>
      <c r="F53" s="33">
        <f>IF(D$12=0,0,D53/D$12)</f>
        <v>0</v>
      </c>
      <c r="G53" s="13"/>
      <c r="H53" s="36">
        <f>SUM(H50:H52)</f>
        <v>-14697.869999999999</v>
      </c>
      <c r="I53" s="13"/>
      <c r="J53" s="33">
        <f>IF(H$12=0,0,H53/H$12)</f>
        <v>0</v>
      </c>
      <c r="K53" s="16"/>
      <c r="L53" s="36">
        <f>+D53-H53</f>
        <v>-2314.7100000000028</v>
      </c>
      <c r="M53" s="16"/>
      <c r="N53" s="33">
        <f>IF(H53=0,0,L53/H53)</f>
        <v>0.15748608471839817</v>
      </c>
      <c r="O53" s="26"/>
      <c r="P53" s="36">
        <f>SUM(P50:P52)</f>
        <v>-96079.510000000009</v>
      </c>
      <c r="Q53" s="13"/>
      <c r="R53" s="33">
        <f>IF(P$12=0,0,P53/P$12)</f>
        <v>0</v>
      </c>
      <c r="S53" s="13"/>
      <c r="T53" s="36">
        <f>SUM(T50:T52)</f>
        <v>-80153.219999999987</v>
      </c>
      <c r="U53" s="13"/>
      <c r="V53" s="33">
        <f>IF(T$12=0,0,T53/T$12)</f>
        <v>0</v>
      </c>
      <c r="W53" s="16"/>
      <c r="X53" s="36">
        <f>+P53-T53</f>
        <v>-15926.290000000023</v>
      </c>
      <c r="Y53" s="16"/>
      <c r="Z53" s="33">
        <f>IF(T53=0,0,X53/T53)</f>
        <v>0.19869806852425922</v>
      </c>
    </row>
    <row r="54" spans="1:26" ht="15" thickTop="1" x14ac:dyDescent="0.3">
      <c r="A54" s="9"/>
      <c r="C54" s="9"/>
      <c r="D54" s="17"/>
      <c r="E54" s="17"/>
      <c r="G54" s="17"/>
      <c r="H54" s="17"/>
      <c r="I54" s="17"/>
      <c r="J54" s="42"/>
      <c r="K54" s="17"/>
      <c r="L54" s="17"/>
      <c r="M54" s="17"/>
      <c r="P54" s="17"/>
      <c r="Q54" s="17"/>
      <c r="R54" s="42"/>
      <c r="S54" s="17"/>
      <c r="T54" s="17"/>
      <c r="U54" s="17"/>
      <c r="V54" s="42"/>
      <c r="W54" s="17"/>
      <c r="X54" s="17"/>
    </row>
    <row r="55" spans="1:26" x14ac:dyDescent="0.3">
      <c r="A55" s="9"/>
      <c r="B55" s="52">
        <v>44543.765594675926</v>
      </c>
      <c r="D55" s="17"/>
      <c r="E55" s="17"/>
      <c r="G55" s="17"/>
      <c r="H55" s="17"/>
      <c r="I55" s="17"/>
      <c r="J55" s="42"/>
      <c r="K55" s="17"/>
      <c r="L55" s="17"/>
      <c r="M55" s="17"/>
      <c r="P55" s="17"/>
      <c r="Q55" s="17"/>
      <c r="R55" s="42"/>
      <c r="S55" s="17"/>
      <c r="T55" s="17"/>
      <c r="U55" s="17"/>
      <c r="V55" s="42"/>
      <c r="W55" s="17"/>
      <c r="X55" s="17"/>
    </row>
    <row r="56" spans="1:26" x14ac:dyDescent="0.3">
      <c r="A56" s="9"/>
      <c r="B56" s="59" t="s">
        <v>56</v>
      </c>
      <c r="D56" s="17"/>
      <c r="E56" s="17"/>
      <c r="G56" s="17"/>
      <c r="H56" s="17"/>
      <c r="I56" s="17"/>
      <c r="J56" s="42"/>
      <c r="K56" s="17"/>
      <c r="L56" s="17"/>
      <c r="M56" s="17"/>
      <c r="P56" s="17"/>
      <c r="Q56" s="17"/>
      <c r="R56" s="42"/>
      <c r="S56" s="17"/>
      <c r="T56" s="17"/>
      <c r="U56" s="17"/>
      <c r="V56" s="42"/>
      <c r="W56" s="17"/>
      <c r="X56" s="17"/>
    </row>
    <row r="57" spans="1:26" x14ac:dyDescent="0.3">
      <c r="A57" s="9"/>
      <c r="B57" s="61"/>
      <c r="D57" s="17"/>
      <c r="E57" s="17"/>
      <c r="G57" s="17"/>
      <c r="H57" s="17"/>
      <c r="I57" s="17"/>
      <c r="J57" s="42"/>
      <c r="K57" s="17"/>
      <c r="L57" s="17"/>
      <c r="M57" s="17"/>
      <c r="P57" s="17"/>
      <c r="Q57" s="17"/>
      <c r="R57" s="42"/>
      <c r="S57" s="17"/>
      <c r="T57" s="17"/>
      <c r="U57" s="17"/>
      <c r="V57" s="42"/>
      <c r="W57" s="17"/>
      <c r="X57" s="17"/>
    </row>
    <row r="58" spans="1:26" x14ac:dyDescent="0.3">
      <c r="D58" s="17"/>
      <c r="E58" s="17"/>
      <c r="G58" s="17"/>
      <c r="H58" s="17"/>
      <c r="I58" s="17"/>
      <c r="J58" s="42"/>
      <c r="K58" s="17"/>
      <c r="L58" s="17"/>
      <c r="M58" s="17"/>
      <c r="P58" s="17"/>
      <c r="Q58" s="17"/>
      <c r="R58" s="42"/>
      <c r="S58" s="17"/>
      <c r="T58" s="17"/>
      <c r="U58" s="17"/>
      <c r="V58" s="42"/>
      <c r="W58" s="17"/>
      <c r="X58" s="17"/>
    </row>
  </sheetData>
  <pageMargins left="0.25" right="0.25" top="0.75" bottom="0.75" header="0.3" footer="0.3"/>
  <pageSetup scale="55" fitToWidth="2" orientation="landscape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92D050"/>
    <outlinePr summaryBelow="0" summaryRight="0"/>
  </sheetPr>
  <dimension ref="A2:Z9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","433", " - ", "Hillside Dining Hall")</f>
        <v>Department 433 - Hillside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414220.14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414220.14</v>
      </c>
      <c r="M12" s="4"/>
      <c r="N12" s="12">
        <f t="shared" ref="N12:N15" si="1">IF(H12=0,0,L12/H12)</f>
        <v>0</v>
      </c>
      <c r="O12" s="10"/>
      <c r="P12" s="4">
        <f>SUM(OSRRefP13x_0)</f>
        <v>1723765.06</v>
      </c>
      <c r="Q12" s="4"/>
      <c r="R12" s="12"/>
      <c r="S12" s="4"/>
      <c r="T12" s="4">
        <f>SUM(OSRRefT13x_0)</f>
        <v>23802.12</v>
      </c>
      <c r="U12" s="4"/>
      <c r="V12" s="12"/>
      <c r="W12" s="4"/>
      <c r="X12" s="4">
        <f t="shared" ref="X12:X15" si="2">+P12-T12</f>
        <v>1699962.94</v>
      </c>
      <c r="Y12" s="4"/>
      <c r="Z12" s="12">
        <f t="shared" ref="Z12:Z15" si="3">IF(T12=0,0,X12/T12)</f>
        <v>71.420652446084631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--359.71</f>
        <v>359.71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359.71</v>
      </c>
      <c r="M13" s="2"/>
      <c r="N13" s="19">
        <f t="shared" si="1"/>
        <v>0</v>
      </c>
      <c r="O13" s="11"/>
      <c r="P13" s="2">
        <f>--1672.28</f>
        <v>1672.28</v>
      </c>
      <c r="Q13" s="2"/>
      <c r="R13" s="19"/>
      <c r="S13" s="2"/>
      <c r="T13" s="2">
        <f>--217.65</f>
        <v>217.65</v>
      </c>
      <c r="U13" s="2"/>
      <c r="V13" s="19"/>
      <c r="W13" s="2"/>
      <c r="X13" s="2">
        <f t="shared" si="2"/>
        <v>1454.6299999999999</v>
      </c>
      <c r="Y13" s="2"/>
      <c r="Z13" s="19">
        <f t="shared" si="3"/>
        <v>6.6833448196645984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--410089.14</f>
        <v>410089.14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410089.14</v>
      </c>
      <c r="M14" s="2"/>
      <c r="N14" s="19">
        <f t="shared" si="1"/>
        <v>0</v>
      </c>
      <c r="O14" s="11"/>
      <c r="P14" s="2">
        <f>--1687562.66</f>
        <v>1687562.66</v>
      </c>
      <c r="Q14" s="2"/>
      <c r="R14" s="19"/>
      <c r="S14" s="2"/>
      <c r="T14" s="2">
        <f>--16096</f>
        <v>16096</v>
      </c>
      <c r="U14" s="2"/>
      <c r="V14" s="19"/>
      <c r="W14" s="2"/>
      <c r="X14" s="2">
        <f t="shared" si="2"/>
        <v>1671466.66</v>
      </c>
      <c r="Y14" s="2"/>
      <c r="Z14" s="19">
        <f t="shared" si="3"/>
        <v>103.8436046222664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--3771.29</f>
        <v>3771.29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3771.29</v>
      </c>
      <c r="M15" s="2"/>
      <c r="N15" s="19">
        <f t="shared" si="1"/>
        <v>0</v>
      </c>
      <c r="O15" s="11"/>
      <c r="P15" s="2">
        <f>--34530.12</f>
        <v>34530.120000000003</v>
      </c>
      <c r="Q15" s="2"/>
      <c r="R15" s="19"/>
      <c r="S15" s="2"/>
      <c r="T15" s="2">
        <f>--7488.47</f>
        <v>7488.47</v>
      </c>
      <c r="U15" s="2"/>
      <c r="V15" s="19"/>
      <c r="W15" s="2"/>
      <c r="X15" s="2">
        <f t="shared" si="2"/>
        <v>27041.65</v>
      </c>
      <c r="Y15" s="2"/>
      <c r="Z15" s="19">
        <f t="shared" si="3"/>
        <v>3.6111048051204051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116164.23</v>
      </c>
      <c r="E17" s="4"/>
      <c r="F17" s="12">
        <f t="shared" ref="F17:F19" si="5">IF(D$12=0,0,D17/D$12)</f>
        <v>0.28044080618581219</v>
      </c>
      <c r="G17" s="4"/>
      <c r="H17" s="4">
        <f>SUM(OSRRefH16x_0)</f>
        <v>0</v>
      </c>
      <c r="I17" s="4"/>
      <c r="J17" s="12">
        <f t="shared" ref="J17:J19" si="6">IF(H$12=0,0,H17/H$12)</f>
        <v>0</v>
      </c>
      <c r="K17" s="4"/>
      <c r="L17" s="4">
        <f t="shared" ref="L17:L19" si="7">+D17-H17</f>
        <v>116164.23</v>
      </c>
      <c r="M17" s="4"/>
      <c r="N17" s="12">
        <f t="shared" ref="N17:N19" si="8">IF(H17=0,0,L17/H17)</f>
        <v>0</v>
      </c>
      <c r="O17" s="10"/>
      <c r="P17" s="4">
        <f>SUM(OSRRefP16x_0)</f>
        <v>456346.17</v>
      </c>
      <c r="Q17" s="4"/>
      <c r="R17" s="12">
        <f t="shared" ref="R17:R19" si="9">IF(P$12=0,0,P17/P$12)</f>
        <v>0.26473803222348641</v>
      </c>
      <c r="S17" s="4"/>
      <c r="T17" s="4">
        <f>SUM(OSRRefT16x_0)</f>
        <v>25322.92</v>
      </c>
      <c r="U17" s="4"/>
      <c r="V17" s="12">
        <f t="shared" ref="V17:V19" si="10">IF(T$12=0,0,T17/T$12)</f>
        <v>1.0638934683129067</v>
      </c>
      <c r="W17" s="4"/>
      <c r="X17" s="4">
        <f t="shared" ref="X17:X19" si="11">+P17-T17</f>
        <v>431023.25</v>
      </c>
      <c r="Y17" s="4"/>
      <c r="Z17" s="12">
        <f t="shared" ref="Z17:Z19" si="12">IF(T17=0,0,X17/T17)</f>
        <v>17.021072214420769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113694.23</v>
      </c>
      <c r="E18" s="2"/>
      <c r="F18" s="19">
        <f t="shared" si="5"/>
        <v>0.27447779337817807</v>
      </c>
      <c r="G18" s="2"/>
      <c r="H18" s="2"/>
      <c r="I18" s="2"/>
      <c r="J18" s="19">
        <f t="shared" si="6"/>
        <v>0</v>
      </c>
      <c r="K18" s="2"/>
      <c r="L18" s="2">
        <f t="shared" si="7"/>
        <v>113694.23</v>
      </c>
      <c r="M18" s="2"/>
      <c r="N18" s="19">
        <f t="shared" si="8"/>
        <v>0</v>
      </c>
      <c r="O18" s="11"/>
      <c r="P18" s="2">
        <v>480184.17</v>
      </c>
      <c r="Q18" s="2"/>
      <c r="R18" s="19">
        <f t="shared" si="9"/>
        <v>0.27856706296158479</v>
      </c>
      <c r="S18" s="2"/>
      <c r="T18" s="2">
        <v>14410.92</v>
      </c>
      <c r="U18" s="2"/>
      <c r="V18" s="19">
        <f t="shared" si="10"/>
        <v>0.60544690977106241</v>
      </c>
      <c r="W18" s="2"/>
      <c r="X18" s="2">
        <f t="shared" si="11"/>
        <v>465773.25</v>
      </c>
      <c r="Y18" s="2"/>
      <c r="Z18" s="19">
        <f t="shared" si="12"/>
        <v>32.320854601926875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2470</v>
      </c>
      <c r="E19" s="2"/>
      <c r="F19" s="19">
        <f t="shared" si="5"/>
        <v>5.9630128076341238E-3</v>
      </c>
      <c r="G19" s="2"/>
      <c r="H19" s="2"/>
      <c r="I19" s="2"/>
      <c r="J19" s="19">
        <f t="shared" si="6"/>
        <v>0</v>
      </c>
      <c r="K19" s="2"/>
      <c r="L19" s="2">
        <f t="shared" si="7"/>
        <v>2470</v>
      </c>
      <c r="M19" s="2"/>
      <c r="N19" s="19">
        <f t="shared" si="8"/>
        <v>0</v>
      </c>
      <c r="O19" s="11"/>
      <c r="P19" s="2">
        <v>-23838</v>
      </c>
      <c r="Q19" s="2"/>
      <c r="R19" s="19">
        <f t="shared" si="9"/>
        <v>-1.382903073809838E-2</v>
      </c>
      <c r="S19" s="2"/>
      <c r="T19" s="2">
        <v>10912</v>
      </c>
      <c r="U19" s="2"/>
      <c r="V19" s="19">
        <f t="shared" si="10"/>
        <v>0.45844655854184418</v>
      </c>
      <c r="W19" s="2"/>
      <c r="X19" s="2">
        <f t="shared" si="11"/>
        <v>-34750</v>
      </c>
      <c r="Y19" s="2"/>
      <c r="Z19" s="19">
        <f t="shared" si="12"/>
        <v>-3.1845674486803519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298055.91000000003</v>
      </c>
      <c r="E21" s="13"/>
      <c r="F21" s="22">
        <f>IF(D$12=0,0,D21/D$12)</f>
        <v>0.71955919381418787</v>
      </c>
      <c r="G21" s="13"/>
      <c r="H21" s="21">
        <f>H12-H17</f>
        <v>0</v>
      </c>
      <c r="I21" s="13"/>
      <c r="J21" s="22">
        <f>IF(H$12=0,0,H21/H$12)</f>
        <v>0</v>
      </c>
      <c r="K21" s="16"/>
      <c r="L21" s="21">
        <f>+D21-H21</f>
        <v>298055.91000000003</v>
      </c>
      <c r="M21" s="16"/>
      <c r="N21" s="22">
        <f>IF(H21=0,0,L21/H21)</f>
        <v>0</v>
      </c>
      <c r="O21" s="26"/>
      <c r="P21" s="21">
        <f>P12-P17</f>
        <v>1267418.8900000001</v>
      </c>
      <c r="Q21" s="13"/>
      <c r="R21" s="22">
        <f>IF(P$12=0,0,P21/P$12)</f>
        <v>0.73526196777651365</v>
      </c>
      <c r="S21" s="13"/>
      <c r="T21" s="21">
        <f>T12-T17</f>
        <v>-1520.7999999999993</v>
      </c>
      <c r="U21" s="13"/>
      <c r="V21" s="22">
        <f>IF(T$12=0,0,T21/T$12)</f>
        <v>-6.3893468312906557E-2</v>
      </c>
      <c r="W21" s="16"/>
      <c r="X21" s="21">
        <f>+P21-T21</f>
        <v>1268939.6900000002</v>
      </c>
      <c r="Y21" s="16"/>
      <c r="Z21" s="22">
        <f>IF(T21=0,0,X21/T21)</f>
        <v>-834.38959100473483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149818.18</v>
      </c>
      <c r="E23" s="20"/>
      <c r="F23" s="32">
        <f t="shared" ref="F23:F33" si="13">IF(D$12=0,0,D23/D$12)</f>
        <v>0.36168733852487228</v>
      </c>
      <c r="G23" s="20"/>
      <c r="H23" s="20">
        <f>SUM(OSRRefH22x_0)</f>
        <v>49295.869999999995</v>
      </c>
      <c r="I23" s="20"/>
      <c r="J23" s="32">
        <f t="shared" ref="J23:J33" si="14">IF(H$12=0,0,H23/H$12)</f>
        <v>0</v>
      </c>
      <c r="K23" s="4"/>
      <c r="L23" s="20">
        <f t="shared" ref="L23:L33" si="15">+D23-H23</f>
        <v>100522.31</v>
      </c>
      <c r="M23" s="4"/>
      <c r="N23" s="32">
        <f t="shared" ref="N23:N33" si="16">IF(H23=0,0,L23/H23)</f>
        <v>2.0391629156763034</v>
      </c>
      <c r="O23" s="10"/>
      <c r="P23" s="20">
        <f>SUM(OSRRefP22x_0)</f>
        <v>663856.28</v>
      </c>
      <c r="Q23" s="20"/>
      <c r="R23" s="32">
        <f t="shared" ref="R23:R33" si="17">IF(P$12=0,0,P23/P$12)</f>
        <v>0.38511993043878034</v>
      </c>
      <c r="S23" s="20"/>
      <c r="T23" s="20">
        <f>SUM(OSRRefT22x_0)</f>
        <v>270602.15999999997</v>
      </c>
      <c r="U23" s="20"/>
      <c r="V23" s="32">
        <f t="shared" ref="V23:V33" si="18">IF(T$12=0,0,T23/T$12)</f>
        <v>11.36882597012367</v>
      </c>
      <c r="W23" s="4"/>
      <c r="X23" s="20">
        <f t="shared" ref="X23:X33" si="19">+P23-T23</f>
        <v>393254.12000000005</v>
      </c>
      <c r="Y23" s="4"/>
      <c r="Z23" s="32">
        <f t="shared" ref="Z23:Z33" si="20">IF(T23=0,0,X23/T23)</f>
        <v>1.4532556576784166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29454.489999999998</v>
      </c>
      <c r="E24" s="1"/>
      <c r="F24" s="5">
        <f t="shared" si="13"/>
        <v>7.1108300045478232E-2</v>
      </c>
      <c r="G24" s="1"/>
      <c r="H24" s="1">
        <f>SUM(OSRRefH22_0x_0)</f>
        <v>21880.16</v>
      </c>
      <c r="I24" s="1"/>
      <c r="J24" s="5">
        <f t="shared" si="14"/>
        <v>0</v>
      </c>
      <c r="K24" s="1"/>
      <c r="L24" s="1">
        <f t="shared" si="15"/>
        <v>7574.3299999999981</v>
      </c>
      <c r="M24" s="1"/>
      <c r="N24" s="5">
        <f t="shared" si="16"/>
        <v>0.34617342834787307</v>
      </c>
      <c r="O24" s="14"/>
      <c r="P24" s="1">
        <f>SUM(OSRRefP22_0x_0)</f>
        <v>126072.80000000002</v>
      </c>
      <c r="Q24" s="1"/>
      <c r="R24" s="5">
        <f t="shared" si="17"/>
        <v>7.3138041213110572E-2</v>
      </c>
      <c r="S24" s="1"/>
      <c r="T24" s="1">
        <f>SUM(OSRRefT22_0x_0)</f>
        <v>105569.42</v>
      </c>
      <c r="U24" s="1"/>
      <c r="V24" s="5">
        <f t="shared" si="18"/>
        <v>4.4352948392832232</v>
      </c>
      <c r="W24" s="1"/>
      <c r="X24" s="1">
        <f t="shared" si="19"/>
        <v>20503.380000000019</v>
      </c>
      <c r="Y24" s="1"/>
      <c r="Z24" s="5">
        <f t="shared" si="20"/>
        <v>0.19421703747164681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3790.53</v>
      </c>
      <c r="E25" s="2"/>
      <c r="F25" s="7">
        <f t="shared" si="13"/>
        <v>9.1510036185106797E-3</v>
      </c>
      <c r="G25" s="2"/>
      <c r="H25" s="6">
        <v>1886.12</v>
      </c>
      <c r="I25" s="2"/>
      <c r="J25" s="7">
        <f t="shared" si="14"/>
        <v>0</v>
      </c>
      <c r="K25" s="2"/>
      <c r="L25" s="6">
        <f t="shared" si="15"/>
        <v>1904.4100000000003</v>
      </c>
      <c r="M25" s="2"/>
      <c r="N25" s="7">
        <f t="shared" si="16"/>
        <v>1.0096971560664223</v>
      </c>
      <c r="O25" s="11"/>
      <c r="P25" s="6">
        <v>16877.689999999999</v>
      </c>
      <c r="Q25" s="2"/>
      <c r="R25" s="7">
        <f t="shared" si="17"/>
        <v>9.7911776910015787E-3</v>
      </c>
      <c r="S25" s="2"/>
      <c r="T25" s="6">
        <v>10801.68</v>
      </c>
      <c r="U25" s="2"/>
      <c r="V25" s="7">
        <f t="shared" si="18"/>
        <v>0.45381167727916677</v>
      </c>
      <c r="W25" s="2"/>
      <c r="X25" s="6">
        <f t="shared" si="19"/>
        <v>6076.0099999999984</v>
      </c>
      <c r="Y25" s="2"/>
      <c r="Z25" s="7">
        <f t="shared" si="20"/>
        <v>0.56250601758245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2683.52</v>
      </c>
      <c r="E26" s="2"/>
      <c r="F26" s="7">
        <f t="shared" si="13"/>
        <v>6.4784875018389981E-3</v>
      </c>
      <c r="G26" s="2"/>
      <c r="H26" s="6">
        <v>1717.48</v>
      </c>
      <c r="I26" s="2"/>
      <c r="J26" s="7">
        <f t="shared" si="14"/>
        <v>0</v>
      </c>
      <c r="K26" s="2"/>
      <c r="L26" s="6">
        <f t="shared" si="15"/>
        <v>966.04</v>
      </c>
      <c r="M26" s="2"/>
      <c r="N26" s="7">
        <f t="shared" si="16"/>
        <v>0.56247525444255531</v>
      </c>
      <c r="O26" s="11"/>
      <c r="P26" s="6">
        <v>10192.370000000001</v>
      </c>
      <c r="Q26" s="2"/>
      <c r="R26" s="7">
        <f t="shared" si="17"/>
        <v>5.9128533444111004E-3</v>
      </c>
      <c r="S26" s="2"/>
      <c r="T26" s="6">
        <v>6091.67</v>
      </c>
      <c r="U26" s="2"/>
      <c r="V26" s="7">
        <f t="shared" si="18"/>
        <v>0.25592972390694613</v>
      </c>
      <c r="W26" s="2"/>
      <c r="X26" s="6">
        <f t="shared" si="19"/>
        <v>4100.7000000000007</v>
      </c>
      <c r="Y26" s="2"/>
      <c r="Z26" s="7">
        <f t="shared" si="20"/>
        <v>0.67316515832275892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>
        <v>15085.96</v>
      </c>
      <c r="E27" s="2"/>
      <c r="F27" s="7">
        <f t="shared" si="13"/>
        <v>3.6420150888848618E-2</v>
      </c>
      <c r="G27" s="2"/>
      <c r="H27" s="6">
        <v>12526.51</v>
      </c>
      <c r="I27" s="2"/>
      <c r="J27" s="7">
        <f t="shared" si="14"/>
        <v>0</v>
      </c>
      <c r="K27" s="2"/>
      <c r="L27" s="6">
        <f t="shared" si="15"/>
        <v>2559.4499999999989</v>
      </c>
      <c r="M27" s="2"/>
      <c r="N27" s="7">
        <f t="shared" si="16"/>
        <v>0.20432267247621236</v>
      </c>
      <c r="O27" s="11"/>
      <c r="P27" s="6">
        <v>64463.85</v>
      </c>
      <c r="Q27" s="2"/>
      <c r="R27" s="7">
        <f t="shared" si="17"/>
        <v>3.7397120695786698E-2</v>
      </c>
      <c r="S27" s="2"/>
      <c r="T27" s="6">
        <v>59932.62</v>
      </c>
      <c r="U27" s="2"/>
      <c r="V27" s="7">
        <f t="shared" si="18"/>
        <v>2.5179530226719304</v>
      </c>
      <c r="W27" s="2"/>
      <c r="X27" s="6">
        <f t="shared" si="19"/>
        <v>4531.2299999999959</v>
      </c>
      <c r="Y27" s="2"/>
      <c r="Z27" s="7">
        <f t="shared" si="20"/>
        <v>7.560540486966856E-2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193.82</v>
      </c>
      <c r="E28" s="2"/>
      <c r="F28" s="7">
        <f t="shared" si="13"/>
        <v>4.6791544225734653E-4</v>
      </c>
      <c r="G28" s="2"/>
      <c r="H28" s="6">
        <v>104.09</v>
      </c>
      <c r="I28" s="2"/>
      <c r="J28" s="7">
        <f t="shared" si="14"/>
        <v>0</v>
      </c>
      <c r="K28" s="2"/>
      <c r="L28" s="6">
        <f t="shared" si="15"/>
        <v>89.72999999999999</v>
      </c>
      <c r="M28" s="2"/>
      <c r="N28" s="7">
        <f t="shared" si="16"/>
        <v>0.86204246325295408</v>
      </c>
      <c r="O28" s="11"/>
      <c r="P28" s="6">
        <v>736.13</v>
      </c>
      <c r="Q28" s="2"/>
      <c r="R28" s="7">
        <f t="shared" si="17"/>
        <v>4.2704775556826752E-4</v>
      </c>
      <c r="S28" s="2"/>
      <c r="T28" s="6">
        <v>369.19</v>
      </c>
      <c r="U28" s="2"/>
      <c r="V28" s="7">
        <f t="shared" si="18"/>
        <v>1.5510803239375317E-2</v>
      </c>
      <c r="W28" s="2"/>
      <c r="X28" s="6">
        <f t="shared" si="19"/>
        <v>366.94</v>
      </c>
      <c r="Y28" s="2"/>
      <c r="Z28" s="7">
        <f t="shared" si="20"/>
        <v>0.99390557707413529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>
        <v>1479.93</v>
      </c>
      <c r="E29" s="2"/>
      <c r="F29" s="7">
        <f t="shared" si="13"/>
        <v>3.5728103418631455E-3</v>
      </c>
      <c r="G29" s="2"/>
      <c r="H29" s="6">
        <v>1193.45</v>
      </c>
      <c r="I29" s="2"/>
      <c r="J29" s="7">
        <f t="shared" si="14"/>
        <v>0</v>
      </c>
      <c r="K29" s="2"/>
      <c r="L29" s="6">
        <f t="shared" si="15"/>
        <v>286.48</v>
      </c>
      <c r="M29" s="2"/>
      <c r="N29" s="7">
        <f t="shared" si="16"/>
        <v>0.24004357115924421</v>
      </c>
      <c r="O29" s="11"/>
      <c r="P29" s="6">
        <v>6664.89</v>
      </c>
      <c r="Q29" s="2"/>
      <c r="R29" s="7">
        <f t="shared" si="17"/>
        <v>3.8664723834232954E-3</v>
      </c>
      <c r="S29" s="2"/>
      <c r="T29" s="6">
        <v>5468.62</v>
      </c>
      <c r="U29" s="2"/>
      <c r="V29" s="7">
        <f t="shared" si="18"/>
        <v>0.22975348414342925</v>
      </c>
      <c r="W29" s="2"/>
      <c r="X29" s="6">
        <f t="shared" si="19"/>
        <v>1196.2700000000004</v>
      </c>
      <c r="Y29" s="2"/>
      <c r="Z29" s="7">
        <f t="shared" si="20"/>
        <v>0.21875171432646637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585.89</v>
      </c>
      <c r="E30" s="2"/>
      <c r="F30" s="7">
        <f t="shared" si="13"/>
        <v>1.4144411230221688E-3</v>
      </c>
      <c r="G30" s="2"/>
      <c r="H30" s="6">
        <v>381.16</v>
      </c>
      <c r="I30" s="2"/>
      <c r="J30" s="7">
        <f t="shared" si="14"/>
        <v>0</v>
      </c>
      <c r="K30" s="2"/>
      <c r="L30" s="6">
        <f t="shared" si="15"/>
        <v>204.72999999999996</v>
      </c>
      <c r="M30" s="2"/>
      <c r="N30" s="7">
        <f t="shared" si="16"/>
        <v>0.53712351768286271</v>
      </c>
      <c r="O30" s="11"/>
      <c r="P30" s="6">
        <v>2295.19</v>
      </c>
      <c r="Q30" s="2"/>
      <c r="R30" s="7">
        <f t="shared" si="17"/>
        <v>1.3314981567151617E-3</v>
      </c>
      <c r="S30" s="2"/>
      <c r="T30" s="6">
        <v>2014.37</v>
      </c>
      <c r="U30" s="2"/>
      <c r="V30" s="7">
        <f t="shared" si="18"/>
        <v>8.4629856500177292E-2</v>
      </c>
      <c r="W30" s="2"/>
      <c r="X30" s="6">
        <f t="shared" si="19"/>
        <v>280.82000000000016</v>
      </c>
      <c r="Y30" s="2"/>
      <c r="Z30" s="7">
        <f t="shared" si="20"/>
        <v>0.13940835099807888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>
        <v>2143.64</v>
      </c>
      <c r="E31" s="2"/>
      <c r="F31" s="7">
        <f t="shared" si="13"/>
        <v>5.1751225809541753E-3</v>
      </c>
      <c r="G31" s="2"/>
      <c r="H31" s="6">
        <v>1900.86</v>
      </c>
      <c r="I31" s="2"/>
      <c r="J31" s="7">
        <f t="shared" si="14"/>
        <v>0</v>
      </c>
      <c r="K31" s="2"/>
      <c r="L31" s="6">
        <f t="shared" si="15"/>
        <v>242.77999999999997</v>
      </c>
      <c r="M31" s="2"/>
      <c r="N31" s="7">
        <f t="shared" si="16"/>
        <v>0.12772113674862956</v>
      </c>
      <c r="O31" s="11"/>
      <c r="P31" s="6">
        <v>10884.42</v>
      </c>
      <c r="Q31" s="2"/>
      <c r="R31" s="7">
        <f t="shared" si="17"/>
        <v>6.3143291696607425E-3</v>
      </c>
      <c r="S31" s="2"/>
      <c r="T31" s="6">
        <v>10084.629999999999</v>
      </c>
      <c r="U31" s="2"/>
      <c r="V31" s="7">
        <f t="shared" si="18"/>
        <v>0.42368620946369484</v>
      </c>
      <c r="W31" s="2"/>
      <c r="X31" s="6">
        <f t="shared" si="19"/>
        <v>799.79000000000087</v>
      </c>
      <c r="Y31" s="2"/>
      <c r="Z31" s="7">
        <f t="shared" si="20"/>
        <v>7.9307817936800945E-2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>
        <v>1837.25</v>
      </c>
      <c r="E32" s="2"/>
      <c r="F32" s="7">
        <f t="shared" si="13"/>
        <v>4.4354434335327104E-3</v>
      </c>
      <c r="G32" s="2"/>
      <c r="H32" s="6">
        <v>1214.78</v>
      </c>
      <c r="I32" s="2"/>
      <c r="J32" s="7">
        <f t="shared" si="14"/>
        <v>0</v>
      </c>
      <c r="K32" s="2"/>
      <c r="L32" s="6">
        <f t="shared" si="15"/>
        <v>622.47</v>
      </c>
      <c r="M32" s="2"/>
      <c r="N32" s="7">
        <f t="shared" si="16"/>
        <v>0.51241377039463942</v>
      </c>
      <c r="O32" s="11"/>
      <c r="P32" s="6">
        <v>8101.21</v>
      </c>
      <c r="Q32" s="2"/>
      <c r="R32" s="7">
        <f t="shared" si="17"/>
        <v>4.6997181854933293E-3</v>
      </c>
      <c r="S32" s="2"/>
      <c r="T32" s="6">
        <v>6545.13</v>
      </c>
      <c r="U32" s="2"/>
      <c r="V32" s="7">
        <f t="shared" si="18"/>
        <v>0.27498096808183475</v>
      </c>
      <c r="W32" s="2"/>
      <c r="X32" s="6">
        <f t="shared" si="19"/>
        <v>1556.08</v>
      </c>
      <c r="Y32" s="2"/>
      <c r="Z32" s="7">
        <f t="shared" si="20"/>
        <v>0.23774623269514888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1653.95</v>
      </c>
      <c r="E33" s="2"/>
      <c r="F33" s="7">
        <f t="shared" si="13"/>
        <v>3.9929251146503886E-3</v>
      </c>
      <c r="G33" s="2"/>
      <c r="H33" s="6">
        <v>955.71</v>
      </c>
      <c r="I33" s="2"/>
      <c r="J33" s="7">
        <f t="shared" si="14"/>
        <v>0</v>
      </c>
      <c r="K33" s="2"/>
      <c r="L33" s="6">
        <f t="shared" si="15"/>
        <v>698.24</v>
      </c>
      <c r="M33" s="2"/>
      <c r="N33" s="7">
        <f t="shared" si="16"/>
        <v>0.73059819401282811</v>
      </c>
      <c r="O33" s="11"/>
      <c r="P33" s="6">
        <v>5857.05</v>
      </c>
      <c r="Q33" s="2"/>
      <c r="R33" s="7">
        <f t="shared" si="17"/>
        <v>3.3978238310503868E-3</v>
      </c>
      <c r="S33" s="2"/>
      <c r="T33" s="6">
        <v>4261.51</v>
      </c>
      <c r="U33" s="2"/>
      <c r="V33" s="7">
        <f t="shared" si="18"/>
        <v>0.17903909399666923</v>
      </c>
      <c r="W33" s="2"/>
      <c r="X33" s="6">
        <f t="shared" si="19"/>
        <v>1595.54</v>
      </c>
      <c r="Y33" s="2"/>
      <c r="Z33" s="7">
        <f t="shared" si="20"/>
        <v>0.3744071936942539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73015.17</v>
      </c>
      <c r="E34" s="1"/>
      <c r="F34" s="5">
        <f t="shared" ref="F34:F39" si="21">IF(D$12=0,0,D34/D$12)</f>
        <v>0.17627141451885944</v>
      </c>
      <c r="G34" s="1"/>
      <c r="H34" s="1">
        <f>SUM(OSRRefH22_1x_0)</f>
        <v>22335.09</v>
      </c>
      <c r="I34" s="1"/>
      <c r="J34" s="5">
        <f t="shared" ref="J34:J39" si="22">IF(H$12=0,0,H34/H$12)</f>
        <v>0</v>
      </c>
      <c r="K34" s="1"/>
      <c r="L34" s="1">
        <f t="shared" ref="L34:L39" si="23">+D34-H34</f>
        <v>50680.08</v>
      </c>
      <c r="M34" s="1"/>
      <c r="N34" s="5">
        <f t="shared" ref="N34:N39" si="24">IF(H34=0,0,L34/H34)</f>
        <v>2.2690788351423703</v>
      </c>
      <c r="O34" s="14"/>
      <c r="P34" s="1">
        <f>SUM(OSRRefP22_1x_0)</f>
        <v>303184.05</v>
      </c>
      <c r="Q34" s="1"/>
      <c r="R34" s="5">
        <f t="shared" ref="R34:R39" si="25">IF(P$12=0,0,P34/P$12)</f>
        <v>0.17588478675858529</v>
      </c>
      <c r="S34" s="1"/>
      <c r="T34" s="1">
        <f>SUM(OSRRefT22_1x_0)</f>
        <v>117121.55</v>
      </c>
      <c r="U34" s="1"/>
      <c r="V34" s="5">
        <f t="shared" ref="V34:V39" si="26">IF(T$12=0,0,T34/T$12)</f>
        <v>4.9206352207282382</v>
      </c>
      <c r="W34" s="1"/>
      <c r="X34" s="1">
        <f t="shared" ref="X34:X39" si="27">+P34-T34</f>
        <v>186062.5</v>
      </c>
      <c r="Y34" s="1"/>
      <c r="Z34" s="5">
        <f t="shared" ref="Z34:Z39" si="28">IF(T34=0,0,X34/T34)</f>
        <v>1.5886273704540284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>
        <v>15887.18</v>
      </c>
      <c r="E35" s="2"/>
      <c r="F35" s="7">
        <f t="shared" si="21"/>
        <v>3.8354436363234296E-2</v>
      </c>
      <c r="G35" s="2"/>
      <c r="H35" s="6">
        <v>8392.92</v>
      </c>
      <c r="I35" s="2"/>
      <c r="J35" s="7">
        <f t="shared" si="22"/>
        <v>0</v>
      </c>
      <c r="K35" s="2"/>
      <c r="L35" s="6">
        <f t="shared" si="23"/>
        <v>7494.26</v>
      </c>
      <c r="M35" s="2"/>
      <c r="N35" s="7">
        <f t="shared" si="24"/>
        <v>0.892926418934054</v>
      </c>
      <c r="O35" s="11"/>
      <c r="P35" s="6">
        <v>71476.240000000005</v>
      </c>
      <c r="Q35" s="2"/>
      <c r="R35" s="7">
        <f t="shared" si="25"/>
        <v>4.1465186676889719E-2</v>
      </c>
      <c r="S35" s="2"/>
      <c r="T35" s="6">
        <v>48465.81</v>
      </c>
      <c r="U35" s="2"/>
      <c r="V35" s="7">
        <f t="shared" si="26"/>
        <v>2.0361971958800309</v>
      </c>
      <c r="W35" s="2"/>
      <c r="X35" s="6">
        <f t="shared" si="27"/>
        <v>23010.430000000008</v>
      </c>
      <c r="Y35" s="2"/>
      <c r="Z35" s="7">
        <f t="shared" si="28"/>
        <v>0.47477654866389335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6">
        <v>24904.15</v>
      </c>
      <c r="E36" s="2"/>
      <c r="F36" s="7">
        <f t="shared" si="21"/>
        <v>6.0122981948680723E-2</v>
      </c>
      <c r="G36" s="2"/>
      <c r="H36" s="6">
        <v>13942.17</v>
      </c>
      <c r="I36" s="2"/>
      <c r="J36" s="7">
        <f t="shared" si="22"/>
        <v>0</v>
      </c>
      <c r="K36" s="2"/>
      <c r="L36" s="6">
        <f t="shared" si="23"/>
        <v>10961.980000000001</v>
      </c>
      <c r="M36" s="2"/>
      <c r="N36" s="7">
        <f t="shared" si="24"/>
        <v>0.78624633037755254</v>
      </c>
      <c r="O36" s="11"/>
      <c r="P36" s="6">
        <v>108805.27</v>
      </c>
      <c r="Q36" s="2"/>
      <c r="R36" s="7">
        <f t="shared" si="25"/>
        <v>6.3120707412412685E-2</v>
      </c>
      <c r="S36" s="2"/>
      <c r="T36" s="6">
        <v>68655.740000000005</v>
      </c>
      <c r="U36" s="2"/>
      <c r="V36" s="7">
        <f t="shared" si="26"/>
        <v>2.8844380248482073</v>
      </c>
      <c r="W36" s="2"/>
      <c r="X36" s="6">
        <f t="shared" si="27"/>
        <v>40149.53</v>
      </c>
      <c r="Y36" s="2"/>
      <c r="Z36" s="7">
        <f t="shared" si="28"/>
        <v>0.58479494940991095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7163.2</v>
      </c>
      <c r="E37" s="2"/>
      <c r="F37" s="7">
        <f t="shared" si="21"/>
        <v>1.7293219977184113E-2</v>
      </c>
      <c r="G37" s="2"/>
      <c r="H37" s="6"/>
      <c r="I37" s="2"/>
      <c r="J37" s="7">
        <f t="shared" si="22"/>
        <v>0</v>
      </c>
      <c r="K37" s="2"/>
      <c r="L37" s="6">
        <f t="shared" si="23"/>
        <v>7163.2</v>
      </c>
      <c r="M37" s="2"/>
      <c r="N37" s="7">
        <f t="shared" si="24"/>
        <v>0</v>
      </c>
      <c r="O37" s="11"/>
      <c r="P37" s="6">
        <v>53548.24</v>
      </c>
      <c r="Q37" s="2"/>
      <c r="R37" s="7">
        <f t="shared" si="25"/>
        <v>3.106469741299896E-2</v>
      </c>
      <c r="S37" s="2"/>
      <c r="T37" s="6"/>
      <c r="U37" s="2"/>
      <c r="V37" s="7">
        <f t="shared" si="26"/>
        <v>0</v>
      </c>
      <c r="W37" s="2"/>
      <c r="X37" s="6">
        <f t="shared" si="27"/>
        <v>53548.24</v>
      </c>
      <c r="Y37" s="2"/>
      <c r="Z37" s="7">
        <f t="shared" si="28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17741.580000000002</v>
      </c>
      <c r="E38" s="2"/>
      <c r="F38" s="7">
        <f t="shared" si="21"/>
        <v>4.283128290188884E-2</v>
      </c>
      <c r="G38" s="2"/>
      <c r="H38" s="6"/>
      <c r="I38" s="2"/>
      <c r="J38" s="7">
        <f t="shared" si="22"/>
        <v>0</v>
      </c>
      <c r="K38" s="2"/>
      <c r="L38" s="6">
        <f t="shared" si="23"/>
        <v>17741.580000000002</v>
      </c>
      <c r="M38" s="2"/>
      <c r="N38" s="7">
        <f t="shared" si="24"/>
        <v>0</v>
      </c>
      <c r="O38" s="11"/>
      <c r="P38" s="6">
        <v>59600.08</v>
      </c>
      <c r="Q38" s="2"/>
      <c r="R38" s="7">
        <f t="shared" si="25"/>
        <v>3.4575523882587569E-2</v>
      </c>
      <c r="S38" s="2"/>
      <c r="T38" s="6">
        <v>0</v>
      </c>
      <c r="U38" s="2"/>
      <c r="V38" s="7">
        <f t="shared" si="26"/>
        <v>0</v>
      </c>
      <c r="W38" s="2"/>
      <c r="X38" s="6">
        <f t="shared" si="27"/>
        <v>59600.08</v>
      </c>
      <c r="Y38" s="2"/>
      <c r="Z38" s="7">
        <f t="shared" si="28"/>
        <v>0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7319.06</v>
      </c>
      <c r="E39" s="2"/>
      <c r="F39" s="7">
        <f t="shared" si="21"/>
        <v>1.7669493327871502E-2</v>
      </c>
      <c r="G39" s="2"/>
      <c r="H39" s="6"/>
      <c r="I39" s="2"/>
      <c r="J39" s="7">
        <f t="shared" si="22"/>
        <v>0</v>
      </c>
      <c r="K39" s="2"/>
      <c r="L39" s="6">
        <f t="shared" si="23"/>
        <v>7319.06</v>
      </c>
      <c r="M39" s="2"/>
      <c r="N39" s="7">
        <f t="shared" si="24"/>
        <v>0</v>
      </c>
      <c r="O39" s="11"/>
      <c r="P39" s="6">
        <v>9754.2199999999993</v>
      </c>
      <c r="Q39" s="2"/>
      <c r="R39" s="7">
        <f t="shared" si="25"/>
        <v>5.6586713736963661E-3</v>
      </c>
      <c r="S39" s="2"/>
      <c r="T39" s="6"/>
      <c r="U39" s="2"/>
      <c r="V39" s="7">
        <f t="shared" si="26"/>
        <v>0</v>
      </c>
      <c r="W39" s="2"/>
      <c r="X39" s="6">
        <f t="shared" si="27"/>
        <v>9754.2199999999993</v>
      </c>
      <c r="Y39" s="2"/>
      <c r="Z39" s="7">
        <f t="shared" si="28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123.48</v>
      </c>
      <c r="E40" s="1"/>
      <c r="F40" s="5">
        <f t="shared" ref="F40:F60" si="29">IF(D$12=0,0,D40/D$12)</f>
        <v>2.9810235687719095E-4</v>
      </c>
      <c r="G40" s="1"/>
      <c r="H40" s="1">
        <f>SUM(OSRRefH22_2x_0)</f>
        <v>0</v>
      </c>
      <c r="I40" s="1"/>
      <c r="J40" s="5">
        <f t="shared" ref="J40:J60" si="30">IF(H$12=0,0,H40/H$12)</f>
        <v>0</v>
      </c>
      <c r="K40" s="1"/>
      <c r="L40" s="1">
        <f t="shared" ref="L40:L60" si="31">+D40-H40</f>
        <v>123.48</v>
      </c>
      <c r="M40" s="1"/>
      <c r="N40" s="5">
        <f t="shared" ref="N40:N60" si="32">IF(H40=0,0,L40/H40)</f>
        <v>0</v>
      </c>
      <c r="O40" s="14"/>
      <c r="P40" s="1">
        <f>SUM(OSRRefP22_2x_0)</f>
        <v>1137.8499999999999</v>
      </c>
      <c r="Q40" s="1"/>
      <c r="R40" s="5">
        <f t="shared" ref="R40:R60" si="33">IF(P$12=0,0,P40/P$12)</f>
        <v>6.6009575574063433E-4</v>
      </c>
      <c r="S40" s="1"/>
      <c r="T40" s="1">
        <f>SUM(OSRRefT22_2x_0)</f>
        <v>204.75</v>
      </c>
      <c r="U40" s="1"/>
      <c r="V40" s="5">
        <f t="shared" ref="V40:V60" si="34">IF(T$12=0,0,T40/T$12)</f>
        <v>8.6021749323169534E-3</v>
      </c>
      <c r="W40" s="1"/>
      <c r="X40" s="1">
        <f t="shared" ref="X40:X60" si="35">+P40-T40</f>
        <v>933.09999999999991</v>
      </c>
      <c r="Y40" s="1"/>
      <c r="Z40" s="5">
        <f t="shared" ref="Z40:Z60" si="36">IF(T40=0,0,X40/T40)</f>
        <v>4.5572649572649571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>
        <v>123.48</v>
      </c>
      <c r="E41" s="2"/>
      <c r="F41" s="7">
        <f t="shared" si="29"/>
        <v>2.9810235687719095E-4</v>
      </c>
      <c r="G41" s="2"/>
      <c r="H41" s="6"/>
      <c r="I41" s="2"/>
      <c r="J41" s="7">
        <f t="shared" si="30"/>
        <v>0</v>
      </c>
      <c r="K41" s="2"/>
      <c r="L41" s="6">
        <f t="shared" si="31"/>
        <v>123.48</v>
      </c>
      <c r="M41" s="2"/>
      <c r="N41" s="7">
        <f t="shared" si="32"/>
        <v>0</v>
      </c>
      <c r="O41" s="11"/>
      <c r="P41" s="6">
        <v>1137.8499999999999</v>
      </c>
      <c r="Q41" s="2"/>
      <c r="R41" s="7">
        <f t="shared" si="33"/>
        <v>6.6009575574063433E-4</v>
      </c>
      <c r="S41" s="2"/>
      <c r="T41" s="6">
        <v>204.75</v>
      </c>
      <c r="U41" s="2"/>
      <c r="V41" s="7">
        <f t="shared" si="34"/>
        <v>8.6021749323169534E-3</v>
      </c>
      <c r="W41" s="2"/>
      <c r="X41" s="6">
        <f t="shared" si="35"/>
        <v>933.09999999999991</v>
      </c>
      <c r="Y41" s="2"/>
      <c r="Z41" s="7">
        <f t="shared" si="36"/>
        <v>4.5572649572649571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-8</v>
      </c>
      <c r="E42" s="1"/>
      <c r="F42" s="5">
        <f t="shared" si="29"/>
        <v>-1.9313401806102425E-5</v>
      </c>
      <c r="G42" s="1"/>
      <c r="H42" s="1">
        <f>SUM(OSRRefH22_3x_0)</f>
        <v>0</v>
      </c>
      <c r="I42" s="1"/>
      <c r="J42" s="5">
        <f t="shared" si="30"/>
        <v>0</v>
      </c>
      <c r="K42" s="1"/>
      <c r="L42" s="1">
        <f t="shared" si="31"/>
        <v>-8</v>
      </c>
      <c r="M42" s="1"/>
      <c r="N42" s="5">
        <f t="shared" si="32"/>
        <v>0</v>
      </c>
      <c r="O42" s="14"/>
      <c r="P42" s="1">
        <f>SUM(OSRRefP22_3x_0)</f>
        <v>-23.9</v>
      </c>
      <c r="Q42" s="1"/>
      <c r="R42" s="5">
        <f t="shared" si="33"/>
        <v>-1.3864998516677207E-5</v>
      </c>
      <c r="S42" s="1"/>
      <c r="T42" s="1">
        <f>SUM(OSRRefT22_3x_0)</f>
        <v>0</v>
      </c>
      <c r="U42" s="1"/>
      <c r="V42" s="5">
        <f t="shared" si="34"/>
        <v>0</v>
      </c>
      <c r="W42" s="1"/>
      <c r="X42" s="1">
        <f t="shared" si="35"/>
        <v>-23.9</v>
      </c>
      <c r="Y42" s="1"/>
      <c r="Z42" s="5">
        <f t="shared" si="36"/>
        <v>0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6">
        <v>-8</v>
      </c>
      <c r="E43" s="2"/>
      <c r="F43" s="7">
        <f t="shared" si="29"/>
        <v>-1.9313401806102425E-5</v>
      </c>
      <c r="G43" s="2"/>
      <c r="H43" s="6"/>
      <c r="I43" s="2"/>
      <c r="J43" s="7">
        <f t="shared" si="30"/>
        <v>0</v>
      </c>
      <c r="K43" s="2"/>
      <c r="L43" s="6">
        <f t="shared" si="31"/>
        <v>-8</v>
      </c>
      <c r="M43" s="2"/>
      <c r="N43" s="7">
        <f t="shared" si="32"/>
        <v>0</v>
      </c>
      <c r="O43" s="11"/>
      <c r="P43" s="6">
        <v>-23.9</v>
      </c>
      <c r="Q43" s="2"/>
      <c r="R43" s="7">
        <f t="shared" si="33"/>
        <v>-1.3864998516677207E-5</v>
      </c>
      <c r="S43" s="2"/>
      <c r="T43" s="6">
        <v>0</v>
      </c>
      <c r="U43" s="2"/>
      <c r="V43" s="7">
        <f t="shared" si="34"/>
        <v>0</v>
      </c>
      <c r="W43" s="2"/>
      <c r="X43" s="6">
        <f t="shared" si="35"/>
        <v>-23.9</v>
      </c>
      <c r="Y43" s="2"/>
      <c r="Z43" s="7">
        <f t="shared" si="36"/>
        <v>0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41.17</v>
      </c>
      <c r="E44" s="1"/>
      <c r="F44" s="5">
        <f t="shared" si="29"/>
        <v>9.9391594044654611E-5</v>
      </c>
      <c r="G44" s="1"/>
      <c r="H44" s="1">
        <f>SUM(OSRRefH22_4x_0)</f>
        <v>0</v>
      </c>
      <c r="I44" s="1"/>
      <c r="J44" s="5">
        <f t="shared" si="30"/>
        <v>0</v>
      </c>
      <c r="K44" s="1"/>
      <c r="L44" s="1">
        <f t="shared" si="31"/>
        <v>41.17</v>
      </c>
      <c r="M44" s="1"/>
      <c r="N44" s="5">
        <f t="shared" si="32"/>
        <v>0</v>
      </c>
      <c r="O44" s="14"/>
      <c r="P44" s="1">
        <f>SUM(OSRRefP22_4x_0)</f>
        <v>187.25</v>
      </c>
      <c r="Q44" s="1"/>
      <c r="R44" s="5">
        <f t="shared" si="33"/>
        <v>1.0862849256266976E-4</v>
      </c>
      <c r="S44" s="1"/>
      <c r="T44" s="1">
        <f>SUM(OSRRefT22_4x_0)</f>
        <v>0</v>
      </c>
      <c r="U44" s="1"/>
      <c r="V44" s="5">
        <f t="shared" si="34"/>
        <v>0</v>
      </c>
      <c r="W44" s="1"/>
      <c r="X44" s="1">
        <f t="shared" si="35"/>
        <v>187.25</v>
      </c>
      <c r="Y44" s="1"/>
      <c r="Z44" s="5">
        <f t="shared" si="36"/>
        <v>0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41.17</v>
      </c>
      <c r="E45" s="2"/>
      <c r="F45" s="7">
        <f t="shared" si="29"/>
        <v>9.9391594044654611E-5</v>
      </c>
      <c r="G45" s="2"/>
      <c r="H45" s="6"/>
      <c r="I45" s="2"/>
      <c r="J45" s="7">
        <f t="shared" si="30"/>
        <v>0</v>
      </c>
      <c r="K45" s="2"/>
      <c r="L45" s="6">
        <f t="shared" si="31"/>
        <v>41.17</v>
      </c>
      <c r="M45" s="2"/>
      <c r="N45" s="7">
        <f t="shared" si="32"/>
        <v>0</v>
      </c>
      <c r="O45" s="11"/>
      <c r="P45" s="6">
        <v>187.25</v>
      </c>
      <c r="Q45" s="2"/>
      <c r="R45" s="7">
        <f t="shared" si="33"/>
        <v>1.0862849256266976E-4</v>
      </c>
      <c r="S45" s="2"/>
      <c r="T45" s="6"/>
      <c r="U45" s="2"/>
      <c r="V45" s="7">
        <f t="shared" si="34"/>
        <v>0</v>
      </c>
      <c r="W45" s="2"/>
      <c r="X45" s="6">
        <f t="shared" si="35"/>
        <v>187.25</v>
      </c>
      <c r="Y45" s="2"/>
      <c r="Z45" s="7">
        <f t="shared" si="36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9"/>
        <v>6.6030106599838424E-4</v>
      </c>
      <c r="G46" s="1"/>
      <c r="H46" s="1">
        <f>SUM(OSRRefH22_5x_0)</f>
        <v>272.74</v>
      </c>
      <c r="I46" s="1"/>
      <c r="J46" s="5">
        <f t="shared" si="30"/>
        <v>0</v>
      </c>
      <c r="K46" s="1"/>
      <c r="L46" s="1">
        <f t="shared" si="31"/>
        <v>0.76999999999998181</v>
      </c>
      <c r="M46" s="1"/>
      <c r="N46" s="5">
        <f t="shared" si="32"/>
        <v>2.8232015839260165E-3</v>
      </c>
      <c r="O46" s="14"/>
      <c r="P46" s="1">
        <f>SUM(OSRRefP22_5x_0)</f>
        <v>1367.55</v>
      </c>
      <c r="Q46" s="1"/>
      <c r="R46" s="5">
        <f t="shared" si="33"/>
        <v>7.933505741205822E-4</v>
      </c>
      <c r="S46" s="1"/>
      <c r="T46" s="1">
        <f>SUM(OSRRefT22_5x_0)</f>
        <v>1099.48</v>
      </c>
      <c r="U46" s="1"/>
      <c r="V46" s="5">
        <f t="shared" si="34"/>
        <v>4.6192524027271524E-2</v>
      </c>
      <c r="W46" s="1"/>
      <c r="X46" s="1">
        <f t="shared" si="35"/>
        <v>268.06999999999994</v>
      </c>
      <c r="Y46" s="1"/>
      <c r="Z46" s="5">
        <f t="shared" si="36"/>
        <v>0.24381525812202126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9"/>
        <v>6.6030106599838424E-4</v>
      </c>
      <c r="G47" s="2"/>
      <c r="H47" s="6">
        <v>272.74</v>
      </c>
      <c r="I47" s="2"/>
      <c r="J47" s="7">
        <f t="shared" si="30"/>
        <v>0</v>
      </c>
      <c r="K47" s="2"/>
      <c r="L47" s="6">
        <f t="shared" si="31"/>
        <v>0.76999999999998181</v>
      </c>
      <c r="M47" s="2"/>
      <c r="N47" s="7">
        <f t="shared" si="32"/>
        <v>2.8232015839260165E-3</v>
      </c>
      <c r="O47" s="11"/>
      <c r="P47" s="6">
        <v>1367.55</v>
      </c>
      <c r="Q47" s="2"/>
      <c r="R47" s="7">
        <f t="shared" si="33"/>
        <v>7.933505741205822E-4</v>
      </c>
      <c r="S47" s="2"/>
      <c r="T47" s="6">
        <v>1099.48</v>
      </c>
      <c r="U47" s="2"/>
      <c r="V47" s="7">
        <f t="shared" si="34"/>
        <v>4.6192524027271524E-2</v>
      </c>
      <c r="W47" s="2"/>
      <c r="X47" s="6">
        <f t="shared" si="35"/>
        <v>268.06999999999994</v>
      </c>
      <c r="Y47" s="2"/>
      <c r="Z47" s="7">
        <f t="shared" si="36"/>
        <v>0.24381525812202126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4226.3900000000003</v>
      </c>
      <c r="E48" s="1"/>
      <c r="F48" s="5">
        <f t="shared" si="29"/>
        <v>1.0203246032411654E-2</v>
      </c>
      <c r="G48" s="1"/>
      <c r="H48" s="1">
        <f>SUM(OSRRefH22_6x_0)</f>
        <v>0</v>
      </c>
      <c r="I48" s="1"/>
      <c r="J48" s="5">
        <f t="shared" si="30"/>
        <v>0</v>
      </c>
      <c r="K48" s="1"/>
      <c r="L48" s="1">
        <f t="shared" si="31"/>
        <v>4226.3900000000003</v>
      </c>
      <c r="M48" s="1"/>
      <c r="N48" s="5">
        <f t="shared" si="32"/>
        <v>0</v>
      </c>
      <c r="O48" s="14"/>
      <c r="P48" s="1">
        <f>SUM(OSRRefP22_6x_0)</f>
        <v>16503.560000000001</v>
      </c>
      <c r="Q48" s="1"/>
      <c r="R48" s="5">
        <f t="shared" si="33"/>
        <v>9.5741353522967917E-3</v>
      </c>
      <c r="S48" s="1"/>
      <c r="T48" s="1">
        <f>SUM(OSRRefT22_6x_0)</f>
        <v>0</v>
      </c>
      <c r="U48" s="1"/>
      <c r="V48" s="5">
        <f t="shared" si="34"/>
        <v>0</v>
      </c>
      <c r="W48" s="1"/>
      <c r="X48" s="1">
        <f t="shared" si="35"/>
        <v>16503.560000000001</v>
      </c>
      <c r="Y48" s="1"/>
      <c r="Z48" s="5">
        <f t="shared" si="36"/>
        <v>0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6">
        <v>4226.3900000000003</v>
      </c>
      <c r="E49" s="2"/>
      <c r="F49" s="7">
        <f t="shared" si="29"/>
        <v>1.0203246032411654E-2</v>
      </c>
      <c r="G49" s="2"/>
      <c r="H49" s="6"/>
      <c r="I49" s="2"/>
      <c r="J49" s="7">
        <f t="shared" si="30"/>
        <v>0</v>
      </c>
      <c r="K49" s="2"/>
      <c r="L49" s="6">
        <f t="shared" si="31"/>
        <v>4226.3900000000003</v>
      </c>
      <c r="M49" s="2"/>
      <c r="N49" s="7">
        <f t="shared" si="32"/>
        <v>0</v>
      </c>
      <c r="O49" s="11"/>
      <c r="P49" s="6">
        <v>16503.560000000001</v>
      </c>
      <c r="Q49" s="2"/>
      <c r="R49" s="7">
        <f t="shared" si="33"/>
        <v>9.5741353522967917E-3</v>
      </c>
      <c r="S49" s="2"/>
      <c r="T49" s="6"/>
      <c r="U49" s="2"/>
      <c r="V49" s="7">
        <f t="shared" si="34"/>
        <v>0</v>
      </c>
      <c r="W49" s="2"/>
      <c r="X49" s="6">
        <f t="shared" si="35"/>
        <v>16503.560000000001</v>
      </c>
      <c r="Y49" s="2"/>
      <c r="Z49" s="7">
        <f t="shared" si="36"/>
        <v>0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34.47</v>
      </c>
      <c r="E50" s="1"/>
      <c r="F50" s="5">
        <f t="shared" si="29"/>
        <v>8.3216620032043826E-5</v>
      </c>
      <c r="G50" s="1"/>
      <c r="H50" s="1">
        <f>SUM(OSRRefH22_7x_0)</f>
        <v>0</v>
      </c>
      <c r="I50" s="1"/>
      <c r="J50" s="5">
        <f t="shared" si="30"/>
        <v>0</v>
      </c>
      <c r="K50" s="1"/>
      <c r="L50" s="1">
        <f t="shared" si="31"/>
        <v>34.47</v>
      </c>
      <c r="M50" s="1"/>
      <c r="N50" s="5">
        <f t="shared" si="32"/>
        <v>0</v>
      </c>
      <c r="O50" s="14"/>
      <c r="P50" s="1">
        <f>SUM(OSRRefP22_7x_0)</f>
        <v>34.47</v>
      </c>
      <c r="Q50" s="1"/>
      <c r="R50" s="5">
        <f t="shared" si="33"/>
        <v>1.9996924638906416E-5</v>
      </c>
      <c r="S50" s="1"/>
      <c r="T50" s="1">
        <f>SUM(OSRRefT22_7x_0)</f>
        <v>0</v>
      </c>
      <c r="U50" s="1"/>
      <c r="V50" s="5">
        <f t="shared" si="34"/>
        <v>0</v>
      </c>
      <c r="W50" s="1"/>
      <c r="X50" s="1">
        <f t="shared" si="35"/>
        <v>34.47</v>
      </c>
      <c r="Y50" s="1"/>
      <c r="Z50" s="5">
        <f t="shared" si="36"/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6">
        <v>34.47</v>
      </c>
      <c r="E51" s="2"/>
      <c r="F51" s="7">
        <f t="shared" si="29"/>
        <v>8.3216620032043826E-5</v>
      </c>
      <c r="G51" s="2"/>
      <c r="H51" s="6"/>
      <c r="I51" s="2"/>
      <c r="J51" s="7">
        <f t="shared" si="30"/>
        <v>0</v>
      </c>
      <c r="K51" s="2"/>
      <c r="L51" s="6">
        <f t="shared" si="31"/>
        <v>34.47</v>
      </c>
      <c r="M51" s="2"/>
      <c r="N51" s="7">
        <f t="shared" si="32"/>
        <v>0</v>
      </c>
      <c r="O51" s="11"/>
      <c r="P51" s="6">
        <v>34.47</v>
      </c>
      <c r="Q51" s="2"/>
      <c r="R51" s="7">
        <f t="shared" si="33"/>
        <v>1.9996924638906416E-5</v>
      </c>
      <c r="S51" s="2"/>
      <c r="T51" s="6"/>
      <c r="U51" s="2"/>
      <c r="V51" s="7">
        <f t="shared" si="34"/>
        <v>0</v>
      </c>
      <c r="W51" s="2"/>
      <c r="X51" s="6">
        <f t="shared" si="35"/>
        <v>34.47</v>
      </c>
      <c r="Y51" s="2"/>
      <c r="Z51" s="7">
        <f t="shared" si="36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466.67</v>
      </c>
      <c r="E52" s="1"/>
      <c r="F52" s="5">
        <f t="shared" si="29"/>
        <v>1.1266231526067274E-3</v>
      </c>
      <c r="G52" s="1"/>
      <c r="H52" s="1">
        <f>SUM(OSRRefH22_8x_0)</f>
        <v>138.88999999999999</v>
      </c>
      <c r="I52" s="1"/>
      <c r="J52" s="5">
        <f t="shared" si="30"/>
        <v>0</v>
      </c>
      <c r="K52" s="1"/>
      <c r="L52" s="1">
        <f t="shared" si="31"/>
        <v>327.78000000000003</v>
      </c>
      <c r="M52" s="1"/>
      <c r="N52" s="5">
        <f t="shared" si="32"/>
        <v>2.3599971200230403</v>
      </c>
      <c r="O52" s="14"/>
      <c r="P52" s="1">
        <f>SUM(OSRRefP22_8x_0)</f>
        <v>5977.01</v>
      </c>
      <c r="Q52" s="1"/>
      <c r="R52" s="5">
        <f t="shared" si="33"/>
        <v>3.4674156813458094E-3</v>
      </c>
      <c r="S52" s="1"/>
      <c r="T52" s="1">
        <f>SUM(OSRRefT22_8x_0)</f>
        <v>1110.02</v>
      </c>
      <c r="U52" s="1"/>
      <c r="V52" s="5">
        <f t="shared" si="34"/>
        <v>4.6635341725863075E-2</v>
      </c>
      <c r="W52" s="1"/>
      <c r="X52" s="1">
        <f t="shared" si="35"/>
        <v>4866.99</v>
      </c>
      <c r="Y52" s="1"/>
      <c r="Z52" s="5">
        <f t="shared" si="36"/>
        <v>4.3845966739338031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6">
        <v>466.67</v>
      </c>
      <c r="E53" s="2"/>
      <c r="F53" s="7">
        <f t="shared" si="29"/>
        <v>1.1266231526067274E-3</v>
      </c>
      <c r="G53" s="2"/>
      <c r="H53" s="6">
        <v>138.88999999999999</v>
      </c>
      <c r="I53" s="2"/>
      <c r="J53" s="7">
        <f t="shared" si="30"/>
        <v>0</v>
      </c>
      <c r="K53" s="2"/>
      <c r="L53" s="6">
        <f t="shared" si="31"/>
        <v>327.78000000000003</v>
      </c>
      <c r="M53" s="2"/>
      <c r="N53" s="7">
        <f t="shared" si="32"/>
        <v>2.3599971200230403</v>
      </c>
      <c r="O53" s="11"/>
      <c r="P53" s="6">
        <v>5977.01</v>
      </c>
      <c r="Q53" s="2"/>
      <c r="R53" s="7">
        <f t="shared" si="33"/>
        <v>3.4674156813458094E-3</v>
      </c>
      <c r="S53" s="2"/>
      <c r="T53" s="6">
        <v>1110.02</v>
      </c>
      <c r="U53" s="2"/>
      <c r="V53" s="7">
        <f t="shared" si="34"/>
        <v>4.6635341725863075E-2</v>
      </c>
      <c r="W53" s="2"/>
      <c r="X53" s="6">
        <f t="shared" si="35"/>
        <v>4866.99</v>
      </c>
      <c r="Y53" s="2"/>
      <c r="Z53" s="7">
        <f t="shared" si="36"/>
        <v>4.3845966739338031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29"/>
        <v>0</v>
      </c>
      <c r="G54" s="1"/>
      <c r="H54" s="1">
        <f>SUM(OSRRefH22_9x_0)</f>
        <v>38</v>
      </c>
      <c r="I54" s="1"/>
      <c r="J54" s="5">
        <f t="shared" si="30"/>
        <v>0</v>
      </c>
      <c r="K54" s="1"/>
      <c r="L54" s="1">
        <f t="shared" si="31"/>
        <v>-38</v>
      </c>
      <c r="M54" s="1"/>
      <c r="N54" s="5">
        <f t="shared" si="32"/>
        <v>-1</v>
      </c>
      <c r="O54" s="14"/>
      <c r="P54" s="1">
        <f>SUM(OSRRefP22_9x_0)</f>
        <v>7677.62</v>
      </c>
      <c r="Q54" s="1"/>
      <c r="R54" s="5">
        <f t="shared" si="33"/>
        <v>4.4539828414900109E-3</v>
      </c>
      <c r="S54" s="1"/>
      <c r="T54" s="1">
        <f>SUM(OSRRefT22_9x_0)</f>
        <v>3538.2</v>
      </c>
      <c r="U54" s="1"/>
      <c r="V54" s="5">
        <f t="shared" si="34"/>
        <v>0.14865062439816285</v>
      </c>
      <c r="W54" s="1"/>
      <c r="X54" s="1">
        <f t="shared" si="35"/>
        <v>4139.42</v>
      </c>
      <c r="Y54" s="1"/>
      <c r="Z54" s="5">
        <f t="shared" si="36"/>
        <v>1.1699225594935279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29"/>
        <v>0</v>
      </c>
      <c r="G55" s="2"/>
      <c r="H55" s="6">
        <v>38</v>
      </c>
      <c r="I55" s="2"/>
      <c r="J55" s="7">
        <f t="shared" si="30"/>
        <v>0</v>
      </c>
      <c r="K55" s="2"/>
      <c r="L55" s="6">
        <f t="shared" si="31"/>
        <v>-38</v>
      </c>
      <c r="M55" s="2"/>
      <c r="N55" s="7">
        <f t="shared" si="32"/>
        <v>-1</v>
      </c>
      <c r="O55" s="11"/>
      <c r="P55" s="6">
        <v>7677.62</v>
      </c>
      <c r="Q55" s="2"/>
      <c r="R55" s="7">
        <f t="shared" si="33"/>
        <v>4.4539828414900109E-3</v>
      </c>
      <c r="S55" s="2"/>
      <c r="T55" s="6">
        <v>3538.2</v>
      </c>
      <c r="U55" s="2"/>
      <c r="V55" s="7">
        <f t="shared" si="34"/>
        <v>0.14865062439816285</v>
      </c>
      <c r="W55" s="2"/>
      <c r="X55" s="6">
        <f t="shared" si="35"/>
        <v>4139.42</v>
      </c>
      <c r="Y55" s="2"/>
      <c r="Z55" s="7">
        <f t="shared" si="36"/>
        <v>1.1699225594935279</v>
      </c>
    </row>
    <row r="56" spans="1:26" s="29" customFormat="1" outlineLevel="1" collapsed="1" x14ac:dyDescent="0.3">
      <c r="A56" s="28"/>
      <c r="B56" s="14" t="str">
        <f>CONCATENATE("     ","R/H Commissions                                   ")</f>
        <v xml:space="preserve">     R/H Commissions                                   </v>
      </c>
      <c r="C56" s="14"/>
      <c r="D56" s="1">
        <f>SUM(OSRRefD22_10x_0)</f>
        <v>32799.5</v>
      </c>
      <c r="E56" s="1"/>
      <c r="F56" s="5">
        <f t="shared" si="29"/>
        <v>7.9183740317407061E-2</v>
      </c>
      <c r="G56" s="1"/>
      <c r="H56" s="1">
        <f>SUM(OSRRefH22_10x_0)</f>
        <v>-3</v>
      </c>
      <c r="I56" s="1"/>
      <c r="J56" s="5">
        <f t="shared" si="30"/>
        <v>0</v>
      </c>
      <c r="K56" s="1"/>
      <c r="L56" s="1">
        <f t="shared" si="31"/>
        <v>32802.5</v>
      </c>
      <c r="M56" s="1"/>
      <c r="N56" s="5">
        <f t="shared" si="32"/>
        <v>-10934.166666666666</v>
      </c>
      <c r="O56" s="14"/>
      <c r="P56" s="1">
        <f>SUM(OSRRefP22_10x_0)</f>
        <v>133011.51</v>
      </c>
      <c r="Q56" s="1"/>
      <c r="R56" s="5">
        <f t="shared" si="33"/>
        <v>7.7163363550250871E-2</v>
      </c>
      <c r="S56" s="1"/>
      <c r="T56" s="1">
        <f>SUM(OSRRefT22_10x_0)</f>
        <v>1912.17</v>
      </c>
      <c r="U56" s="1"/>
      <c r="V56" s="5">
        <f t="shared" si="34"/>
        <v>8.0336121320285767E-2</v>
      </c>
      <c r="W56" s="1"/>
      <c r="X56" s="1">
        <f t="shared" si="35"/>
        <v>131099.34</v>
      </c>
      <c r="Y56" s="1"/>
      <c r="Z56" s="5">
        <f t="shared" si="36"/>
        <v>68.560504557649153</v>
      </c>
    </row>
    <row r="57" spans="1:26" s="24" customFormat="1" hidden="1" outlineLevel="2" x14ac:dyDescent="0.3">
      <c r="A57" s="27"/>
      <c r="B57" s="11" t="str">
        <f>CONCATENATE("          ", "6387", " - ", "COMMISSION DUE HOUSING")</f>
        <v xml:space="preserve">          6387 - COMMISSION DUE HOUSING</v>
      </c>
      <c r="C57" s="11"/>
      <c r="D57" s="6">
        <v>32799.5</v>
      </c>
      <c r="E57" s="2"/>
      <c r="F57" s="7">
        <f t="shared" si="29"/>
        <v>7.9183740317407061E-2</v>
      </c>
      <c r="G57" s="2"/>
      <c r="H57" s="6">
        <v>-3</v>
      </c>
      <c r="I57" s="2"/>
      <c r="J57" s="7">
        <f t="shared" si="30"/>
        <v>0</v>
      </c>
      <c r="K57" s="2"/>
      <c r="L57" s="6">
        <f t="shared" si="31"/>
        <v>32802.5</v>
      </c>
      <c r="M57" s="2"/>
      <c r="N57" s="7">
        <f t="shared" si="32"/>
        <v>-10934.166666666666</v>
      </c>
      <c r="O57" s="11"/>
      <c r="P57" s="6">
        <v>133011.51</v>
      </c>
      <c r="Q57" s="2"/>
      <c r="R57" s="7">
        <f t="shared" si="33"/>
        <v>7.7163363550250871E-2</v>
      </c>
      <c r="S57" s="2"/>
      <c r="T57" s="6">
        <v>1912.17</v>
      </c>
      <c r="U57" s="2"/>
      <c r="V57" s="7">
        <f t="shared" si="34"/>
        <v>8.0336121320285767E-2</v>
      </c>
      <c r="W57" s="2"/>
      <c r="X57" s="6">
        <f t="shared" si="35"/>
        <v>131099.34</v>
      </c>
      <c r="Y57" s="2"/>
      <c r="Z57" s="7">
        <f t="shared" si="36"/>
        <v>68.560504557649153</v>
      </c>
    </row>
    <row r="58" spans="1:26" s="29" customFormat="1" outlineLevel="1" collapsed="1" x14ac:dyDescent="0.3">
      <c r="A58" s="28"/>
      <c r="B58" s="14" t="str">
        <f>CONCATENATE("     ","Repair and Maintenance                            ")</f>
        <v xml:space="preserve">     Repair and Maintenance                            </v>
      </c>
      <c r="C58" s="14"/>
      <c r="D58" s="1">
        <f>SUM(OSRRefD22_11x_0)</f>
        <v>348.04</v>
      </c>
      <c r="E58" s="1"/>
      <c r="F58" s="5">
        <f t="shared" si="29"/>
        <v>8.4022954557448604E-4</v>
      </c>
      <c r="G58" s="1"/>
      <c r="H58" s="1">
        <f>SUM(OSRRefH22_11x_0)</f>
        <v>0</v>
      </c>
      <c r="I58" s="1"/>
      <c r="J58" s="5">
        <f t="shared" si="30"/>
        <v>0</v>
      </c>
      <c r="K58" s="1"/>
      <c r="L58" s="1">
        <f t="shared" si="31"/>
        <v>348.04</v>
      </c>
      <c r="M58" s="1"/>
      <c r="N58" s="5">
        <f t="shared" si="32"/>
        <v>0</v>
      </c>
      <c r="O58" s="14"/>
      <c r="P58" s="1">
        <f>SUM(OSRRefP22_11x_0)</f>
        <v>2023.8</v>
      </c>
      <c r="Q58" s="1"/>
      <c r="R58" s="5">
        <f t="shared" si="33"/>
        <v>1.1740579078682568E-3</v>
      </c>
      <c r="S58" s="1"/>
      <c r="T58" s="1">
        <f>SUM(OSRRefT22_11x_0)</f>
        <v>1157.45</v>
      </c>
      <c r="U58" s="1"/>
      <c r="V58" s="5">
        <f t="shared" si="34"/>
        <v>4.8628021369525071E-2</v>
      </c>
      <c r="W58" s="1"/>
      <c r="X58" s="1">
        <f t="shared" si="35"/>
        <v>866.34999999999991</v>
      </c>
      <c r="Y58" s="1"/>
      <c r="Z58" s="5">
        <f t="shared" si="36"/>
        <v>0.748498855242127</v>
      </c>
    </row>
    <row r="59" spans="1:26" s="24" customFormat="1" hidden="1" outlineLevel="2" x14ac:dyDescent="0.3">
      <c r="A59" s="27"/>
      <c r="B59" s="11" t="str">
        <f>CONCATENATE("          ", "6373", " - ", "MAINTENANCE CONTRACTS")</f>
        <v xml:space="preserve">          6373 - MAINTENANCE CONTRACTS</v>
      </c>
      <c r="C59" s="11"/>
      <c r="D59" s="6">
        <v>19</v>
      </c>
      <c r="E59" s="2"/>
      <c r="F59" s="7">
        <f t="shared" si="29"/>
        <v>4.586932928949326E-5</v>
      </c>
      <c r="G59" s="2"/>
      <c r="H59" s="6"/>
      <c r="I59" s="2"/>
      <c r="J59" s="7">
        <f t="shared" si="30"/>
        <v>0</v>
      </c>
      <c r="K59" s="2"/>
      <c r="L59" s="6">
        <f t="shared" si="31"/>
        <v>19</v>
      </c>
      <c r="M59" s="2"/>
      <c r="N59" s="7">
        <f t="shared" si="32"/>
        <v>0</v>
      </c>
      <c r="O59" s="11"/>
      <c r="P59" s="6">
        <v>102.83</v>
      </c>
      <c r="Q59" s="2"/>
      <c r="R59" s="7">
        <f t="shared" si="33"/>
        <v>5.9654301149368926E-5</v>
      </c>
      <c r="S59" s="2"/>
      <c r="T59" s="6">
        <v>1157.45</v>
      </c>
      <c r="U59" s="2"/>
      <c r="V59" s="7">
        <f t="shared" si="34"/>
        <v>4.8628021369525071E-2</v>
      </c>
      <c r="W59" s="2"/>
      <c r="X59" s="6">
        <f t="shared" si="35"/>
        <v>-1054.6200000000001</v>
      </c>
      <c r="Y59" s="2"/>
      <c r="Z59" s="7">
        <f t="shared" si="36"/>
        <v>-0.91115814938010287</v>
      </c>
    </row>
    <row r="60" spans="1:26" s="24" customFormat="1" hidden="1" outlineLevel="2" x14ac:dyDescent="0.3">
      <c r="A60" s="27"/>
      <c r="B60" s="11" t="str">
        <f>CONCATENATE("          ", "6375", " - ", "OUTSIDE REPAIRS &amp; MAINTENANCE")</f>
        <v xml:space="preserve">          6375 - OUTSIDE REPAIRS &amp; MAINTENANCE</v>
      </c>
      <c r="C60" s="11"/>
      <c r="D60" s="6">
        <v>329.04</v>
      </c>
      <c r="E60" s="2"/>
      <c r="F60" s="7">
        <f t="shared" si="29"/>
        <v>7.9436021628499288E-4</v>
      </c>
      <c r="G60" s="2"/>
      <c r="H60" s="6"/>
      <c r="I60" s="2"/>
      <c r="J60" s="7">
        <f t="shared" si="30"/>
        <v>0</v>
      </c>
      <c r="K60" s="2"/>
      <c r="L60" s="6">
        <f t="shared" si="31"/>
        <v>329.04</v>
      </c>
      <c r="M60" s="2"/>
      <c r="N60" s="7">
        <f t="shared" si="32"/>
        <v>0</v>
      </c>
      <c r="O60" s="11"/>
      <c r="P60" s="6">
        <v>1920.97</v>
      </c>
      <c r="Q60" s="2"/>
      <c r="R60" s="7">
        <f t="shared" si="33"/>
        <v>1.1144036067188877E-3</v>
      </c>
      <c r="S60" s="2"/>
      <c r="T60" s="6"/>
      <c r="U60" s="2"/>
      <c r="V60" s="7">
        <f t="shared" si="34"/>
        <v>0</v>
      </c>
      <c r="W60" s="2"/>
      <c r="X60" s="6">
        <f t="shared" si="35"/>
        <v>1920.97</v>
      </c>
      <c r="Y60" s="2"/>
      <c r="Z60" s="7">
        <f t="shared" si="36"/>
        <v>0</v>
      </c>
    </row>
    <row r="61" spans="1:26" s="29" customFormat="1" outlineLevel="1" collapsed="1" x14ac:dyDescent="0.3">
      <c r="A61" s="28"/>
      <c r="B61" s="14" t="str">
        <f>CONCATENATE("     ","Services                                          ")</f>
        <v xml:space="preserve">     Services                                          </v>
      </c>
      <c r="C61" s="14"/>
      <c r="D61" s="1">
        <f>SUM(OSRRefD22_12x_0)</f>
        <v>5187.8599999999997</v>
      </c>
      <c r="E61" s="1"/>
      <c r="F61" s="5">
        <f t="shared" ref="F61:F64" si="37">IF(D$12=0,0,D61/D$12)</f>
        <v>1.2524403086725816E-2</v>
      </c>
      <c r="G61" s="1"/>
      <c r="H61" s="1">
        <f>SUM(OSRRefH22_12x_0)</f>
        <v>4494.99</v>
      </c>
      <c r="I61" s="1"/>
      <c r="J61" s="5">
        <f t="shared" ref="J61:J64" si="38">IF(H$12=0,0,H61/H$12)</f>
        <v>0</v>
      </c>
      <c r="K61" s="1"/>
      <c r="L61" s="1">
        <f t="shared" ref="L61:L64" si="39">+D61-H61</f>
        <v>692.86999999999989</v>
      </c>
      <c r="M61" s="1"/>
      <c r="N61" s="5">
        <f t="shared" ref="N61:N64" si="40">IF(H61=0,0,L61/H61)</f>
        <v>0.15414272334309975</v>
      </c>
      <c r="O61" s="14"/>
      <c r="P61" s="1">
        <f>SUM(OSRRefP22_12x_0)</f>
        <v>26613.339999999997</v>
      </c>
      <c r="Q61" s="1"/>
      <c r="R61" s="5">
        <f t="shared" ref="R61:R64" si="41">IF(P$12=0,0,P61/P$12)</f>
        <v>1.5439076134888124E-2</v>
      </c>
      <c r="S61" s="1"/>
      <c r="T61" s="1">
        <f>SUM(OSRRefT22_12x_0)</f>
        <v>30121.73</v>
      </c>
      <c r="U61" s="1"/>
      <c r="V61" s="5">
        <f t="shared" ref="V61:V64" si="42">IF(T$12=0,0,T61/T$12)</f>
        <v>1.2655061818022932</v>
      </c>
      <c r="W61" s="1"/>
      <c r="X61" s="1">
        <f t="shared" ref="X61:X64" si="43">+P61-T61</f>
        <v>-3508.3900000000031</v>
      </c>
      <c r="Y61" s="1"/>
      <c r="Z61" s="5">
        <f t="shared" ref="Z61:Z64" si="44">IF(T61=0,0,X61/T61)</f>
        <v>-0.11647372179486382</v>
      </c>
    </row>
    <row r="62" spans="1:26" s="24" customFormat="1" hidden="1" outlineLevel="2" x14ac:dyDescent="0.3">
      <c r="A62" s="27"/>
      <c r="B62" s="11" t="str">
        <f>CONCATENATE("          ", "6282", " - ", "JANITORIAL/EXTERMINATOR EXPENS")</f>
        <v xml:space="preserve">          6282 - JANITORIAL/EXTERMINATOR EXPENS</v>
      </c>
      <c r="C62" s="11"/>
      <c r="D62" s="6">
        <v>417.32</v>
      </c>
      <c r="E62" s="2"/>
      <c r="F62" s="7">
        <f t="shared" si="37"/>
        <v>1.0074836052153331E-3</v>
      </c>
      <c r="G62" s="2"/>
      <c r="H62" s="6">
        <v>130.69999999999999</v>
      </c>
      <c r="I62" s="2"/>
      <c r="J62" s="7">
        <f t="shared" si="38"/>
        <v>0</v>
      </c>
      <c r="K62" s="2"/>
      <c r="L62" s="6">
        <f t="shared" si="39"/>
        <v>286.62</v>
      </c>
      <c r="M62" s="2"/>
      <c r="N62" s="7">
        <f t="shared" si="40"/>
        <v>2.1929609793420046</v>
      </c>
      <c r="O62" s="11"/>
      <c r="P62" s="6">
        <v>2504.12</v>
      </c>
      <c r="Q62" s="2"/>
      <c r="R62" s="7">
        <f t="shared" si="41"/>
        <v>1.4527037692712021E-3</v>
      </c>
      <c r="S62" s="2"/>
      <c r="T62" s="6">
        <v>965.34</v>
      </c>
      <c r="U62" s="2"/>
      <c r="V62" s="7">
        <f t="shared" si="42"/>
        <v>4.0556891571002923E-2</v>
      </c>
      <c r="W62" s="2"/>
      <c r="X62" s="6">
        <f t="shared" si="43"/>
        <v>1538.7799999999997</v>
      </c>
      <c r="Y62" s="2"/>
      <c r="Z62" s="7">
        <f t="shared" si="44"/>
        <v>1.5940290467607265</v>
      </c>
    </row>
    <row r="63" spans="1:26" s="24" customFormat="1" hidden="1" outlineLevel="2" x14ac:dyDescent="0.3">
      <c r="A63" s="27"/>
      <c r="B63" s="11" t="str">
        <f>CONCATENATE("          ", "6285", " - ", "JANITORIAL SERVICES")</f>
        <v xml:space="preserve">          6285 - JANITORIAL SERVICES</v>
      </c>
      <c r="C63" s="11"/>
      <c r="D63" s="6">
        <v>4601</v>
      </c>
      <c r="E63" s="2"/>
      <c r="F63" s="7">
        <f t="shared" si="37"/>
        <v>1.1107620213734657E-2</v>
      </c>
      <c r="G63" s="2"/>
      <c r="H63" s="6">
        <v>4157.05</v>
      </c>
      <c r="I63" s="2"/>
      <c r="J63" s="7">
        <f t="shared" si="38"/>
        <v>0</v>
      </c>
      <c r="K63" s="2"/>
      <c r="L63" s="6">
        <f t="shared" si="39"/>
        <v>443.94999999999982</v>
      </c>
      <c r="M63" s="2"/>
      <c r="N63" s="7">
        <f t="shared" si="40"/>
        <v>0.10679448166367972</v>
      </c>
      <c r="O63" s="11"/>
      <c r="P63" s="6">
        <v>22627.3</v>
      </c>
      <c r="Q63" s="2"/>
      <c r="R63" s="7">
        <f t="shared" si="41"/>
        <v>1.3126672842527623E-2</v>
      </c>
      <c r="S63" s="2"/>
      <c r="T63" s="6">
        <v>24942.3</v>
      </c>
      <c r="U63" s="2"/>
      <c r="V63" s="7">
        <f t="shared" si="42"/>
        <v>1.0479024557476393</v>
      </c>
      <c r="W63" s="2"/>
      <c r="X63" s="6">
        <f t="shared" si="43"/>
        <v>-2315</v>
      </c>
      <c r="Y63" s="2"/>
      <c r="Z63" s="7">
        <f t="shared" si="44"/>
        <v>-9.2814215208701686E-2</v>
      </c>
    </row>
    <row r="64" spans="1:26" s="24" customFormat="1" hidden="1" outlineLevel="2" x14ac:dyDescent="0.3">
      <c r="A64" s="27"/>
      <c r="B64" s="11" t="str">
        <f>CONCATENATE("          ", "6286", " - ", "LAUNDRY EXPENSE")</f>
        <v xml:space="preserve">          6286 - LAUNDRY EXPENSE</v>
      </c>
      <c r="C64" s="11"/>
      <c r="D64" s="6">
        <v>169.54</v>
      </c>
      <c r="E64" s="2"/>
      <c r="F64" s="7">
        <f t="shared" si="37"/>
        <v>4.0929926777582567E-4</v>
      </c>
      <c r="G64" s="2"/>
      <c r="H64" s="6">
        <v>207.24</v>
      </c>
      <c r="I64" s="2"/>
      <c r="J64" s="7">
        <f t="shared" si="38"/>
        <v>0</v>
      </c>
      <c r="K64" s="2"/>
      <c r="L64" s="6">
        <f t="shared" si="39"/>
        <v>-37.700000000000017</v>
      </c>
      <c r="M64" s="2"/>
      <c r="N64" s="7">
        <f t="shared" si="40"/>
        <v>-0.18191468828411511</v>
      </c>
      <c r="O64" s="11"/>
      <c r="P64" s="6">
        <v>1481.92</v>
      </c>
      <c r="Q64" s="2"/>
      <c r="R64" s="7">
        <f t="shared" si="41"/>
        <v>8.5969952308930083E-4</v>
      </c>
      <c r="S64" s="2"/>
      <c r="T64" s="6">
        <v>4214.09</v>
      </c>
      <c r="U64" s="2"/>
      <c r="V64" s="7">
        <f t="shared" si="42"/>
        <v>0.17704683448365105</v>
      </c>
      <c r="W64" s="2"/>
      <c r="X64" s="6">
        <f t="shared" si="43"/>
        <v>-2732.17</v>
      </c>
      <c r="Y64" s="2"/>
      <c r="Z64" s="7">
        <f t="shared" si="44"/>
        <v>-0.6483416348488048</v>
      </c>
    </row>
    <row r="65" spans="1:26" s="29" customFormat="1" outlineLevel="1" collapsed="1" x14ac:dyDescent="0.3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3616.43</v>
      </c>
      <c r="E65" s="1"/>
      <c r="F65" s="5">
        <f t="shared" ref="F65:F73" si="45">IF(D$12=0,0,D65/D$12)</f>
        <v>8.7306957117053736E-3</v>
      </c>
      <c r="G65" s="1"/>
      <c r="H65" s="1">
        <f>SUM(OSRRefH22_13x_0)</f>
        <v>0</v>
      </c>
      <c r="I65" s="1"/>
      <c r="J65" s="5">
        <f t="shared" ref="J65:J73" si="46">IF(H$12=0,0,H65/H$12)</f>
        <v>0</v>
      </c>
      <c r="K65" s="1"/>
      <c r="L65" s="1">
        <f t="shared" ref="L65:L73" si="47">+D65-H65</f>
        <v>3616.43</v>
      </c>
      <c r="M65" s="1"/>
      <c r="N65" s="5">
        <f t="shared" ref="N65:N73" si="48">IF(H65=0,0,L65/H65)</f>
        <v>0</v>
      </c>
      <c r="O65" s="14"/>
      <c r="P65" s="1">
        <f>SUM(OSRRefP22_13x_0)</f>
        <v>38894.370000000003</v>
      </c>
      <c r="Q65" s="1"/>
      <c r="R65" s="5">
        <f t="shared" ref="R65:R73" si="49">IF(P$12=0,0,P65/P$12)</f>
        <v>2.2563614324564624E-2</v>
      </c>
      <c r="S65" s="1"/>
      <c r="T65" s="1">
        <f>SUM(OSRRefT22_13x_0)</f>
        <v>7986.3899999999994</v>
      </c>
      <c r="U65" s="1"/>
      <c r="V65" s="5">
        <f t="shared" ref="V65:V73" si="50">IF(T$12=0,0,T65/T$12)</f>
        <v>0.33553271725375722</v>
      </c>
      <c r="W65" s="1"/>
      <c r="X65" s="1">
        <f t="shared" ref="X65:X73" si="51">+P65-T65</f>
        <v>30907.980000000003</v>
      </c>
      <c r="Y65" s="1"/>
      <c r="Z65" s="5">
        <f t="shared" ref="Z65:Z73" si="52">IF(T65=0,0,X65/T65)</f>
        <v>3.8700814761112348</v>
      </c>
    </row>
    <row r="66" spans="1:26" s="24" customFormat="1" hidden="1" outlineLevel="2" x14ac:dyDescent="0.3">
      <c r="A66" s="27"/>
      <c r="B66" s="11" t="str">
        <f>CONCATENATE("          ", "6234", " - ", "EXPENDABLE SUPPLIES &amp; EQUIPMEN")</f>
        <v xml:space="preserve">          6234 - EXPENDABLE SUPPLIES &amp; EQUIPMEN</v>
      </c>
      <c r="C66" s="11"/>
      <c r="D66" s="6"/>
      <c r="E66" s="2"/>
      <c r="F66" s="7">
        <f t="shared" si="45"/>
        <v>0</v>
      </c>
      <c r="G66" s="2"/>
      <c r="H66" s="6"/>
      <c r="I66" s="2"/>
      <c r="J66" s="7">
        <f t="shared" si="46"/>
        <v>0</v>
      </c>
      <c r="K66" s="2"/>
      <c r="L66" s="6">
        <f t="shared" si="47"/>
        <v>0</v>
      </c>
      <c r="M66" s="2"/>
      <c r="N66" s="7">
        <f t="shared" si="48"/>
        <v>0</v>
      </c>
      <c r="O66" s="11"/>
      <c r="P66" s="6">
        <v>21.98</v>
      </c>
      <c r="Q66" s="2"/>
      <c r="R66" s="7">
        <f t="shared" si="49"/>
        <v>1.2751157631655442E-5</v>
      </c>
      <c r="S66" s="2"/>
      <c r="T66" s="6"/>
      <c r="U66" s="2"/>
      <c r="V66" s="7">
        <f t="shared" si="50"/>
        <v>0</v>
      </c>
      <c r="W66" s="2"/>
      <c r="X66" s="6">
        <f t="shared" si="51"/>
        <v>21.98</v>
      </c>
      <c r="Y66" s="2"/>
      <c r="Z66" s="7">
        <f t="shared" si="52"/>
        <v>0</v>
      </c>
    </row>
    <row r="67" spans="1:26" s="24" customFormat="1" hidden="1" outlineLevel="2" x14ac:dyDescent="0.3">
      <c r="A67" s="27"/>
      <c r="B67" s="11" t="str">
        <f>CONCATENATE("          ", "6235", " - ", "COVID-19 EXPENSES")</f>
        <v xml:space="preserve">          6235 - COVID-19 EXPENSES</v>
      </c>
      <c r="C67" s="11"/>
      <c r="D67" s="6"/>
      <c r="E67" s="2"/>
      <c r="F67" s="7">
        <f t="shared" si="45"/>
        <v>0</v>
      </c>
      <c r="G67" s="2"/>
      <c r="H67" s="6"/>
      <c r="I67" s="2"/>
      <c r="J67" s="7">
        <f t="shared" si="46"/>
        <v>0</v>
      </c>
      <c r="K67" s="2"/>
      <c r="L67" s="6">
        <f t="shared" si="47"/>
        <v>0</v>
      </c>
      <c r="M67" s="2"/>
      <c r="N67" s="7">
        <f t="shared" si="48"/>
        <v>0</v>
      </c>
      <c r="O67" s="11"/>
      <c r="P67" s="6"/>
      <c r="Q67" s="2"/>
      <c r="R67" s="7">
        <f t="shared" si="49"/>
        <v>0</v>
      </c>
      <c r="S67" s="2"/>
      <c r="T67" s="6">
        <v>1375.08</v>
      </c>
      <c r="U67" s="2"/>
      <c r="V67" s="7">
        <f t="shared" si="50"/>
        <v>5.7771324571088627E-2</v>
      </c>
      <c r="W67" s="2"/>
      <c r="X67" s="6">
        <f t="shared" si="51"/>
        <v>-1375.08</v>
      </c>
      <c r="Y67" s="2"/>
      <c r="Z67" s="7">
        <f t="shared" si="52"/>
        <v>-1</v>
      </c>
    </row>
    <row r="68" spans="1:26" s="24" customFormat="1" hidden="1" outlineLevel="2" x14ac:dyDescent="0.3">
      <c r="A68" s="27"/>
      <c r="B68" s="11" t="str">
        <f>CONCATENATE("          ", "6237", " - ", "JANITORIAL SUPPLIES")</f>
        <v xml:space="preserve">          6237 - JANITORIAL SUPPLIES</v>
      </c>
      <c r="C68" s="11"/>
      <c r="D68" s="6">
        <v>971.16</v>
      </c>
      <c r="E68" s="2"/>
      <c r="F68" s="7">
        <f t="shared" si="45"/>
        <v>2.3445504122518038E-3</v>
      </c>
      <c r="G68" s="2"/>
      <c r="H68" s="6"/>
      <c r="I68" s="2"/>
      <c r="J68" s="7">
        <f t="shared" si="46"/>
        <v>0</v>
      </c>
      <c r="K68" s="2"/>
      <c r="L68" s="6">
        <f t="shared" si="47"/>
        <v>971.16</v>
      </c>
      <c r="M68" s="2"/>
      <c r="N68" s="7">
        <f t="shared" si="48"/>
        <v>0</v>
      </c>
      <c r="O68" s="11"/>
      <c r="P68" s="6">
        <v>6423.2</v>
      </c>
      <c r="Q68" s="2"/>
      <c r="R68" s="7">
        <f t="shared" si="49"/>
        <v>3.7262618607665707E-3</v>
      </c>
      <c r="S68" s="2"/>
      <c r="T68" s="6">
        <v>2550.9899999999998</v>
      </c>
      <c r="U68" s="2"/>
      <c r="V68" s="7">
        <f t="shared" si="50"/>
        <v>0.10717490710911465</v>
      </c>
      <c r="W68" s="2"/>
      <c r="X68" s="6">
        <f t="shared" si="51"/>
        <v>3872.21</v>
      </c>
      <c r="Y68" s="2"/>
      <c r="Z68" s="7">
        <f t="shared" si="52"/>
        <v>1.5179244136590109</v>
      </c>
    </row>
    <row r="69" spans="1:26" s="24" customFormat="1" hidden="1" outlineLevel="2" x14ac:dyDescent="0.3">
      <c r="A69" s="27"/>
      <c r="B69" s="11" t="str">
        <f>CONCATENATE("          ", "6239", " - ", "KITCHEN SUPPLIES")</f>
        <v xml:space="preserve">          6239 - KITCHEN SUPPLIES</v>
      </c>
      <c r="C69" s="11"/>
      <c r="D69" s="6"/>
      <c r="E69" s="2"/>
      <c r="F69" s="7">
        <f t="shared" si="45"/>
        <v>0</v>
      </c>
      <c r="G69" s="2"/>
      <c r="H69" s="6"/>
      <c r="I69" s="2"/>
      <c r="J69" s="7">
        <f t="shared" si="46"/>
        <v>0</v>
      </c>
      <c r="K69" s="2"/>
      <c r="L69" s="6">
        <f t="shared" si="47"/>
        <v>0</v>
      </c>
      <c r="M69" s="2"/>
      <c r="N69" s="7">
        <f t="shared" si="48"/>
        <v>0</v>
      </c>
      <c r="O69" s="11"/>
      <c r="P69" s="6">
        <v>5556.93</v>
      </c>
      <c r="Q69" s="2"/>
      <c r="R69" s="7">
        <f t="shared" si="49"/>
        <v>3.2237165777104218E-3</v>
      </c>
      <c r="S69" s="2"/>
      <c r="T69" s="6">
        <v>1031.07</v>
      </c>
      <c r="U69" s="2"/>
      <c r="V69" s="7">
        <f t="shared" si="50"/>
        <v>4.3318410292864672E-2</v>
      </c>
      <c r="W69" s="2"/>
      <c r="X69" s="6">
        <f t="shared" si="51"/>
        <v>4525.8600000000006</v>
      </c>
      <c r="Y69" s="2"/>
      <c r="Z69" s="7">
        <f t="shared" si="52"/>
        <v>4.3894788908609508</v>
      </c>
    </row>
    <row r="70" spans="1:26" s="24" customFormat="1" hidden="1" outlineLevel="2" x14ac:dyDescent="0.3">
      <c r="A70" s="27"/>
      <c r="B70" s="11" t="str">
        <f>CONCATENATE("          ", "6241", " - ", "OFFICE EXPENSE")</f>
        <v xml:space="preserve">          6241 - OFFICE EXPENSE</v>
      </c>
      <c r="C70" s="11"/>
      <c r="D70" s="6">
        <v>39.69</v>
      </c>
      <c r="E70" s="2"/>
      <c r="F70" s="7">
        <f t="shared" si="45"/>
        <v>9.5818614710525656E-5</v>
      </c>
      <c r="G70" s="2"/>
      <c r="H70" s="6"/>
      <c r="I70" s="2"/>
      <c r="J70" s="7">
        <f t="shared" si="46"/>
        <v>0</v>
      </c>
      <c r="K70" s="2"/>
      <c r="L70" s="6">
        <f t="shared" si="47"/>
        <v>39.69</v>
      </c>
      <c r="M70" s="2"/>
      <c r="N70" s="7">
        <f t="shared" si="48"/>
        <v>0</v>
      </c>
      <c r="O70" s="11"/>
      <c r="P70" s="6">
        <v>2797.45</v>
      </c>
      <c r="Q70" s="2"/>
      <c r="R70" s="7">
        <f t="shared" si="49"/>
        <v>1.6228719707313244E-3</v>
      </c>
      <c r="S70" s="2"/>
      <c r="T70" s="6">
        <v>19.7</v>
      </c>
      <c r="U70" s="2"/>
      <c r="V70" s="7">
        <f t="shared" si="50"/>
        <v>8.2765736833525757E-4</v>
      </c>
      <c r="W70" s="2"/>
      <c r="X70" s="6">
        <f t="shared" si="51"/>
        <v>2777.75</v>
      </c>
      <c r="Y70" s="2"/>
      <c r="Z70" s="7">
        <f t="shared" si="52"/>
        <v>141.002538071066</v>
      </c>
    </row>
    <row r="71" spans="1:26" s="24" customFormat="1" hidden="1" outlineLevel="2" x14ac:dyDescent="0.3">
      <c r="A71" s="27"/>
      <c r="B71" s="11" t="str">
        <f>CONCATENATE("          ", "6243", " - ", "PAPER SUPPLIES")</f>
        <v xml:space="preserve">          6243 - PAPER SUPPLIES</v>
      </c>
      <c r="C71" s="11"/>
      <c r="D71" s="6">
        <v>2605.58</v>
      </c>
      <c r="E71" s="2"/>
      <c r="F71" s="7">
        <f t="shared" si="45"/>
        <v>6.290326684743045E-3</v>
      </c>
      <c r="G71" s="2"/>
      <c r="H71" s="6"/>
      <c r="I71" s="2"/>
      <c r="J71" s="7">
        <f t="shared" si="46"/>
        <v>0</v>
      </c>
      <c r="K71" s="2"/>
      <c r="L71" s="6">
        <f t="shared" si="47"/>
        <v>2605.58</v>
      </c>
      <c r="M71" s="2"/>
      <c r="N71" s="7">
        <f t="shared" si="48"/>
        <v>0</v>
      </c>
      <c r="O71" s="11"/>
      <c r="P71" s="6">
        <v>22016.48</v>
      </c>
      <c r="Q71" s="2"/>
      <c r="R71" s="7">
        <f t="shared" si="49"/>
        <v>1.2772320608470854E-2</v>
      </c>
      <c r="S71" s="2"/>
      <c r="T71" s="6">
        <v>3009.55</v>
      </c>
      <c r="U71" s="2"/>
      <c r="V71" s="7">
        <f t="shared" si="50"/>
        <v>0.12644041791235403</v>
      </c>
      <c r="W71" s="2"/>
      <c r="X71" s="6">
        <f t="shared" si="51"/>
        <v>19006.93</v>
      </c>
      <c r="Y71" s="2"/>
      <c r="Z71" s="7">
        <f t="shared" si="52"/>
        <v>6.3155388679370663</v>
      </c>
    </row>
    <row r="72" spans="1:26" s="24" customFormat="1" hidden="1" outlineLevel="2" x14ac:dyDescent="0.3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5"/>
        <v>0</v>
      </c>
      <c r="G72" s="2"/>
      <c r="H72" s="6"/>
      <c r="I72" s="2"/>
      <c r="J72" s="7">
        <f t="shared" si="46"/>
        <v>0</v>
      </c>
      <c r="K72" s="2"/>
      <c r="L72" s="6">
        <f t="shared" si="47"/>
        <v>0</v>
      </c>
      <c r="M72" s="2"/>
      <c r="N72" s="7">
        <f t="shared" si="48"/>
        <v>0</v>
      </c>
      <c r="O72" s="11"/>
      <c r="P72" s="6">
        <v>207.93</v>
      </c>
      <c r="Q72" s="2"/>
      <c r="R72" s="7">
        <f t="shared" si="49"/>
        <v>1.2062548709509172E-4</v>
      </c>
      <c r="S72" s="2"/>
      <c r="T72" s="6"/>
      <c r="U72" s="2"/>
      <c r="V72" s="7">
        <f t="shared" si="50"/>
        <v>0</v>
      </c>
      <c r="W72" s="2"/>
      <c r="X72" s="6">
        <f t="shared" si="51"/>
        <v>207.93</v>
      </c>
      <c r="Y72" s="2"/>
      <c r="Z72" s="7">
        <f t="shared" si="52"/>
        <v>0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5"/>
        <v>0</v>
      </c>
      <c r="G73" s="2"/>
      <c r="H73" s="6"/>
      <c r="I73" s="2"/>
      <c r="J73" s="7">
        <f t="shared" si="46"/>
        <v>0</v>
      </c>
      <c r="K73" s="2"/>
      <c r="L73" s="6">
        <f t="shared" si="47"/>
        <v>0</v>
      </c>
      <c r="M73" s="2"/>
      <c r="N73" s="7">
        <f t="shared" si="48"/>
        <v>0</v>
      </c>
      <c r="O73" s="11"/>
      <c r="P73" s="6">
        <v>1870.4</v>
      </c>
      <c r="Q73" s="2"/>
      <c r="R73" s="7">
        <f t="shared" si="49"/>
        <v>1.085066662158705E-3</v>
      </c>
      <c r="S73" s="2"/>
      <c r="T73" s="6"/>
      <c r="U73" s="2"/>
      <c r="V73" s="7">
        <f t="shared" si="50"/>
        <v>0</v>
      </c>
      <c r="W73" s="2"/>
      <c r="X73" s="6">
        <f t="shared" si="51"/>
        <v>1870.4</v>
      </c>
      <c r="Y73" s="2"/>
      <c r="Z73" s="7">
        <f t="shared" si="52"/>
        <v>0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SUM(OSRRefD22_14x_0)</f>
        <v>239</v>
      </c>
      <c r="E74" s="1"/>
      <c r="F74" s="5">
        <f t="shared" ref="F74:F75" si="53">IF(D$12=0,0,D74/D$12)</f>
        <v>5.7698787895730998E-4</v>
      </c>
      <c r="G74" s="1"/>
      <c r="H74" s="1">
        <f>SUM(OSRRefH22_14x_0)</f>
        <v>139</v>
      </c>
      <c r="I74" s="1"/>
      <c r="J74" s="5">
        <f t="shared" ref="J74:J75" si="54">IF(H$12=0,0,H74/H$12)</f>
        <v>0</v>
      </c>
      <c r="K74" s="1"/>
      <c r="L74" s="1">
        <f t="shared" ref="L74:L75" si="55">+D74-H74</f>
        <v>100</v>
      </c>
      <c r="M74" s="1"/>
      <c r="N74" s="5">
        <f t="shared" ref="N74:N75" si="56">IF(H74=0,0,L74/H74)</f>
        <v>0.71942446043165464</v>
      </c>
      <c r="O74" s="14"/>
      <c r="P74" s="1">
        <f>SUM(OSRRefP22_14x_0)</f>
        <v>1195</v>
      </c>
      <c r="Q74" s="1"/>
      <c r="R74" s="5">
        <f t="shared" ref="R74:R75" si="57">IF(P$12=0,0,P74/P$12)</f>
        <v>6.9324992583386037E-4</v>
      </c>
      <c r="S74" s="1"/>
      <c r="T74" s="1">
        <f>SUM(OSRRefT22_14x_0)</f>
        <v>781</v>
      </c>
      <c r="U74" s="1"/>
      <c r="V74" s="5">
        <f t="shared" ref="V74:V75" si="58">IF(T$12=0,0,T74/T$12)</f>
        <v>3.2812203282732801E-2</v>
      </c>
      <c r="W74" s="1"/>
      <c r="X74" s="1">
        <f t="shared" ref="X74:X75" si="59">+P74-T74</f>
        <v>414</v>
      </c>
      <c r="Y74" s="1"/>
      <c r="Z74" s="5">
        <f t="shared" ref="Z74:Z75" si="60">IF(T74=0,0,X74/T74)</f>
        <v>0.53008962868117793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6">
        <v>239</v>
      </c>
      <c r="E75" s="2"/>
      <c r="F75" s="7">
        <f t="shared" si="53"/>
        <v>5.7698787895730998E-4</v>
      </c>
      <c r="G75" s="2"/>
      <c r="H75" s="6">
        <v>139</v>
      </c>
      <c r="I75" s="2"/>
      <c r="J75" s="7">
        <f t="shared" si="54"/>
        <v>0</v>
      </c>
      <c r="K75" s="2"/>
      <c r="L75" s="6">
        <f t="shared" si="55"/>
        <v>100</v>
      </c>
      <c r="M75" s="2"/>
      <c r="N75" s="7">
        <f t="shared" si="56"/>
        <v>0.71942446043165464</v>
      </c>
      <c r="O75" s="11"/>
      <c r="P75" s="6">
        <v>1195</v>
      </c>
      <c r="Q75" s="2"/>
      <c r="R75" s="7">
        <f t="shared" si="57"/>
        <v>6.9324992583386037E-4</v>
      </c>
      <c r="S75" s="2"/>
      <c r="T75" s="6">
        <v>781</v>
      </c>
      <c r="U75" s="2"/>
      <c r="V75" s="7">
        <f t="shared" si="58"/>
        <v>3.2812203282732801E-2</v>
      </c>
      <c r="W75" s="2"/>
      <c r="X75" s="6">
        <f t="shared" si="59"/>
        <v>414</v>
      </c>
      <c r="Y75" s="2"/>
      <c r="Z75" s="7">
        <f t="shared" si="60"/>
        <v>0.53008962868117793</v>
      </c>
    </row>
    <row r="76" spans="1:26" s="62" customFormat="1" x14ac:dyDescent="0.3">
      <c r="A76" s="37"/>
      <c r="B76" s="37"/>
      <c r="C76" s="37"/>
      <c r="D76" s="1"/>
      <c r="E76" s="1"/>
      <c r="F76" s="5"/>
      <c r="G76" s="1"/>
      <c r="H76" s="1"/>
      <c r="I76" s="1"/>
      <c r="J76" s="5"/>
      <c r="K76" s="1"/>
      <c r="L76" s="1"/>
      <c r="M76" s="1"/>
      <c r="N76" s="5"/>
      <c r="O76" s="37"/>
      <c r="P76" s="1"/>
      <c r="Q76" s="1"/>
      <c r="R76" s="5"/>
      <c r="S76" s="1"/>
      <c r="T76" s="1"/>
      <c r="U76" s="1"/>
      <c r="V76" s="5"/>
      <c r="W76" s="1"/>
      <c r="X76" s="1"/>
      <c r="Y76" s="1"/>
      <c r="Z76" s="5"/>
    </row>
    <row r="77" spans="1:26" s="23" customFormat="1" x14ac:dyDescent="0.3">
      <c r="A77" s="10"/>
      <c r="B77" s="26" t="s">
        <v>292</v>
      </c>
      <c r="C77" s="10"/>
      <c r="D77" s="4">
        <f>SUM(0)</f>
        <v>0</v>
      </c>
      <c r="E77" s="4"/>
      <c r="F77" s="12">
        <f>IF(D$12=0,0,D77/D$12)</f>
        <v>0</v>
      </c>
      <c r="G77" s="4"/>
      <c r="H77" s="4">
        <f>SUM(0)</f>
        <v>0</v>
      </c>
      <c r="I77" s="4"/>
      <c r="J77" s="12">
        <f>IF(H$12=0,0,H77/H$12)</f>
        <v>0</v>
      </c>
      <c r="K77" s="4"/>
      <c r="L77" s="4">
        <f>+D77-H77</f>
        <v>0</v>
      </c>
      <c r="M77" s="4"/>
      <c r="N77" s="12">
        <f>IF(H77=0,0,L77/H77)</f>
        <v>0</v>
      </c>
      <c r="O77" s="10"/>
      <c r="P77" s="4">
        <f>SUM(0)</f>
        <v>0</v>
      </c>
      <c r="Q77" s="4"/>
      <c r="R77" s="12">
        <f>IF(P$12=0,0,P77/P$12)</f>
        <v>0</v>
      </c>
      <c r="S77" s="4"/>
      <c r="T77" s="4">
        <f>SUM(0)</f>
        <v>0</v>
      </c>
      <c r="U77" s="4"/>
      <c r="V77" s="12">
        <f>IF(T$12=0,0,T77/T$12)</f>
        <v>0</v>
      </c>
      <c r="W77" s="4"/>
      <c r="X77" s="4">
        <f>+P77-T77</f>
        <v>0</v>
      </c>
      <c r="Y77" s="4"/>
      <c r="Z77" s="12">
        <f>IF(T77=0,0,X77/T77)</f>
        <v>0</v>
      </c>
    </row>
    <row r="78" spans="1:26" x14ac:dyDescent="0.3">
      <c r="A78" s="9"/>
      <c r="B78" s="10"/>
      <c r="C78" s="10"/>
      <c r="D78" s="3"/>
      <c r="E78" s="3"/>
      <c r="F78" s="8"/>
      <c r="G78" s="3"/>
      <c r="H78" s="3"/>
      <c r="I78" s="3"/>
      <c r="J78" s="8"/>
      <c r="K78" s="3"/>
      <c r="L78" s="3"/>
      <c r="M78" s="3"/>
      <c r="N78" s="8"/>
      <c r="O78" s="10"/>
      <c r="P78" s="3"/>
      <c r="Q78" s="3"/>
      <c r="R78" s="8"/>
      <c r="S78" s="3"/>
      <c r="T78" s="3"/>
      <c r="U78" s="3"/>
      <c r="V78" s="8"/>
      <c r="W78" s="3"/>
      <c r="X78" s="3"/>
      <c r="Y78" s="3"/>
      <c r="Z78" s="8"/>
    </row>
    <row r="79" spans="1:26" s="23" customFormat="1" x14ac:dyDescent="0.3">
      <c r="A79" s="10"/>
      <c r="B79" s="25" t="s">
        <v>276</v>
      </c>
      <c r="C79" s="25"/>
      <c r="D79" s="21">
        <f>+D21-D23+D77</f>
        <v>148237.73000000004</v>
      </c>
      <c r="E79" s="13"/>
      <c r="F79" s="22">
        <f>IF(D$12=0,0,D79/D$12)</f>
        <v>0.35787185528931559</v>
      </c>
      <c r="G79" s="13"/>
      <c r="H79" s="21">
        <f>+H21-H23+H77</f>
        <v>-49295.869999999995</v>
      </c>
      <c r="I79" s="13"/>
      <c r="J79" s="22">
        <f>IF(H$12=0,0,H79/H$12)</f>
        <v>0</v>
      </c>
      <c r="K79" s="16"/>
      <c r="L79" s="21">
        <f>+D79-H79</f>
        <v>197533.60000000003</v>
      </c>
      <c r="M79" s="16"/>
      <c r="N79" s="22">
        <f>IF(H79=0,0,L79/H79)</f>
        <v>-4.0071024205476045</v>
      </c>
      <c r="O79" s="26"/>
      <c r="P79" s="21">
        <f>+P21-P23+P77</f>
        <v>603562.6100000001</v>
      </c>
      <c r="Q79" s="13"/>
      <c r="R79" s="22">
        <f>IF(P$12=0,0,P79/P$12)</f>
        <v>0.3501420373377333</v>
      </c>
      <c r="S79" s="13"/>
      <c r="T79" s="21">
        <f>+T21-T23+T77</f>
        <v>-272122.95999999996</v>
      </c>
      <c r="U79" s="13"/>
      <c r="V79" s="22">
        <f>IF(T$12=0,0,T79/T$12)</f>
        <v>-11.432719438436575</v>
      </c>
      <c r="W79" s="16"/>
      <c r="X79" s="21">
        <f>+P79-T79</f>
        <v>875685.57000000007</v>
      </c>
      <c r="Y79" s="16"/>
      <c r="Z79" s="22">
        <f>IF(T79=0,0,X79/T79)</f>
        <v>-3.2179775275118283</v>
      </c>
    </row>
    <row r="80" spans="1:26" x14ac:dyDescent="0.3">
      <c r="A80" s="9"/>
      <c r="B80" s="10"/>
      <c r="C80" s="9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51"/>
      <c r="B81" s="10" t="s">
        <v>127</v>
      </c>
      <c r="C81" s="10"/>
      <c r="D81" s="4">
        <v>53948.09</v>
      </c>
      <c r="E81" s="4"/>
      <c r="F81" s="12">
        <f>IF(D$12=0,0,D81/D$12)</f>
        <v>0.13024014235522202</v>
      </c>
      <c r="G81" s="4"/>
      <c r="H81" s="4">
        <v>-1373.89</v>
      </c>
      <c r="I81" s="4"/>
      <c r="J81" s="12">
        <f>IF(H$12=0,0,H81/H$12)</f>
        <v>0</v>
      </c>
      <c r="K81" s="4"/>
      <c r="L81" s="4">
        <f>+D81-H81</f>
        <v>55321.979999999996</v>
      </c>
      <c r="M81" s="4"/>
      <c r="N81" s="12">
        <f>IF(H81=0,0,L81/H81)</f>
        <v>-40.266673460029544</v>
      </c>
      <c r="O81" s="10"/>
      <c r="P81" s="4">
        <v>205320.66</v>
      </c>
      <c r="Q81" s="4"/>
      <c r="R81" s="12">
        <f>IF(P$12=0,0,P81/P$12)</f>
        <v>0.11911174252481947</v>
      </c>
      <c r="S81" s="4"/>
      <c r="T81" s="4">
        <v>3782.16</v>
      </c>
      <c r="U81" s="4"/>
      <c r="V81" s="12">
        <f>IF(T$12=0,0,T81/T$12)</f>
        <v>0.15890013158491764</v>
      </c>
      <c r="W81" s="4"/>
      <c r="X81" s="4">
        <f>+P81-T81</f>
        <v>201538.5</v>
      </c>
      <c r="Y81" s="4"/>
      <c r="Z81" s="12">
        <f>IF(T81=0,0,X81/T81)</f>
        <v>53.286613998350148</v>
      </c>
    </row>
    <row r="82" spans="1:26" x14ac:dyDescent="0.3">
      <c r="A82" s="9"/>
      <c r="B82" s="10"/>
      <c r="C82" s="10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O82" s="10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ht="15" thickBot="1" x14ac:dyDescent="0.35">
      <c r="A83" s="10"/>
      <c r="B83" s="25" t="s">
        <v>125</v>
      </c>
      <c r="C83" s="25"/>
      <c r="D83" s="35">
        <f>+D79-D81</f>
        <v>94289.640000000043</v>
      </c>
      <c r="E83" s="13"/>
      <c r="F83" s="31">
        <f>IF(D$12=0,0,D83/D$12)</f>
        <v>0.22763171293409354</v>
      </c>
      <c r="G83" s="13"/>
      <c r="H83" s="35">
        <f>+H79-H81</f>
        <v>-47921.979999999996</v>
      </c>
      <c r="I83" s="13"/>
      <c r="J83" s="31">
        <f>IF(H$12=0,0,H83/H$12)</f>
        <v>0</v>
      </c>
      <c r="K83" s="16"/>
      <c r="L83" s="35">
        <f>D83-H83</f>
        <v>142211.62000000005</v>
      </c>
      <c r="M83" s="16"/>
      <c r="N83" s="31">
        <f>IF(H83=0,0,L83/H83)</f>
        <v>-2.9675656139416624</v>
      </c>
      <c r="O83" s="26"/>
      <c r="P83" s="35">
        <f>+P79-P81</f>
        <v>398241.95000000007</v>
      </c>
      <c r="Q83" s="13"/>
      <c r="R83" s="31">
        <f>IF(P$12=0,0,P83/P$12)</f>
        <v>0.23103029481291382</v>
      </c>
      <c r="S83" s="13"/>
      <c r="T83" s="35">
        <f>+T79-T81</f>
        <v>-275905.11999999994</v>
      </c>
      <c r="U83" s="13"/>
      <c r="V83" s="31">
        <f>IF(T$12=0,0,T83/T$12)</f>
        <v>-11.591619570021491</v>
      </c>
      <c r="W83" s="16"/>
      <c r="X83" s="35">
        <f>P83-T83</f>
        <v>674147.07000000007</v>
      </c>
      <c r="Y83" s="16"/>
      <c r="Z83" s="31">
        <f>IF(T83=0,0,X83/T83)</f>
        <v>-2.4434018114633038</v>
      </c>
    </row>
    <row r="84" spans="1:26" ht="15" thickTop="1" x14ac:dyDescent="0.3">
      <c r="A84" s="9"/>
      <c r="B84" s="9"/>
      <c r="C84" s="9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s="23" customFormat="1" ht="15" thickBot="1" x14ac:dyDescent="0.35">
      <c r="A86" s="10"/>
      <c r="B86" s="25" t="s">
        <v>293</v>
      </c>
      <c r="C86" s="25"/>
      <c r="D86" s="36">
        <f>SUM(D83:D85)</f>
        <v>94289.640000000043</v>
      </c>
      <c r="E86" s="13"/>
      <c r="F86" s="33">
        <f>IF(D$12=0,0,D86/D$12)</f>
        <v>0.22763171293409354</v>
      </c>
      <c r="G86" s="13"/>
      <c r="H86" s="36">
        <f>SUM(H83:H85)</f>
        <v>-47921.979999999996</v>
      </c>
      <c r="I86" s="13"/>
      <c r="J86" s="33">
        <f>IF(H$12=0,0,H86/H$12)</f>
        <v>0</v>
      </c>
      <c r="K86" s="16"/>
      <c r="L86" s="36">
        <f>+D86-H86</f>
        <v>142211.62000000005</v>
      </c>
      <c r="M86" s="16"/>
      <c r="N86" s="33">
        <f>IF(H86=0,0,L86/H86)</f>
        <v>-2.9675656139416624</v>
      </c>
      <c r="O86" s="26"/>
      <c r="P86" s="36">
        <f>SUM(P83:P85)</f>
        <v>398241.95000000007</v>
      </c>
      <c r="Q86" s="13"/>
      <c r="R86" s="33">
        <f>IF(P$12=0,0,P86/P$12)</f>
        <v>0.23103029481291382</v>
      </c>
      <c r="S86" s="13"/>
      <c r="T86" s="36">
        <f>SUM(T83:T85)</f>
        <v>-275905.11999999994</v>
      </c>
      <c r="U86" s="13"/>
      <c r="V86" s="33">
        <f>IF(T$12=0,0,T86/T$12)</f>
        <v>-11.591619570021491</v>
      </c>
      <c r="W86" s="16"/>
      <c r="X86" s="36">
        <f>+P86-T86</f>
        <v>674147.07000000007</v>
      </c>
      <c r="Y86" s="16"/>
      <c r="Z86" s="33">
        <f>IF(T86=0,0,X86/T86)</f>
        <v>-2.4434018114633038</v>
      </c>
    </row>
    <row r="87" spans="1:26" ht="15" thickTop="1" x14ac:dyDescent="0.3">
      <c r="A87" s="9"/>
      <c r="C87" s="9"/>
      <c r="D87" s="17"/>
      <c r="E87" s="17"/>
      <c r="G87" s="17"/>
      <c r="H87" s="17"/>
      <c r="I87" s="17"/>
      <c r="J87" s="42"/>
      <c r="K87" s="17"/>
      <c r="L87" s="17"/>
      <c r="M87" s="17"/>
      <c r="P87" s="17"/>
      <c r="Q87" s="17"/>
      <c r="R87" s="42"/>
      <c r="S87" s="17"/>
      <c r="T87" s="17"/>
      <c r="U87" s="17"/>
      <c r="V87" s="42"/>
      <c r="W87" s="17"/>
      <c r="X87" s="17"/>
    </row>
    <row r="88" spans="1:26" x14ac:dyDescent="0.3">
      <c r="A88" s="9"/>
      <c r="B88" s="52">
        <v>44543.765594675926</v>
      </c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9" t="s">
        <v>56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61"/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</sheetData>
  <pageMargins left="0.25" right="0.25" top="0.75" bottom="0.75" header="0.3" footer="0.3"/>
  <pageSetup scale="55" fitToWidth="2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138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92D050"/>
    <outlinePr summaryBelow="0" summaryRight="0"/>
  </sheetPr>
  <dimension ref="A2:Z36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","435", " - ", "Ground Floor Coffee House")</f>
        <v>Department 435 - Ground Floor Coffee House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x14ac:dyDescent="0.3">
      <c r="A12" s="10"/>
      <c r="B12" s="26" t="s">
        <v>139</v>
      </c>
      <c r="C12" s="10"/>
      <c r="D12" s="4">
        <f>SUM(0)</f>
        <v>0</v>
      </c>
      <c r="E12" s="4"/>
      <c r="F12" s="12"/>
      <c r="G12" s="4"/>
      <c r="H12" s="4">
        <f>SUM(0)</f>
        <v>0</v>
      </c>
      <c r="I12" s="4"/>
      <c r="J12" s="12"/>
      <c r="K12" s="4"/>
      <c r="L12" s="4">
        <f>+D12-H12</f>
        <v>0</v>
      </c>
      <c r="M12" s="4"/>
      <c r="N12" s="12">
        <f>IF(H12=0,0,L12/H12)</f>
        <v>0</v>
      </c>
      <c r="O12" s="10"/>
      <c r="P12" s="4">
        <f>SUM(0)</f>
        <v>0</v>
      </c>
      <c r="Q12" s="4"/>
      <c r="R12" s="12"/>
      <c r="S12" s="4"/>
      <c r="T12" s="4">
        <f>SUM(0)</f>
        <v>0</v>
      </c>
      <c r="U12" s="4"/>
      <c r="V12" s="12"/>
      <c r="W12" s="4"/>
      <c r="X12" s="4">
        <f>+P12-T12</f>
        <v>0</v>
      </c>
      <c r="Y12" s="4"/>
      <c r="Z12" s="12">
        <f>IF(T12=0,0,X12/T12)</f>
        <v>0</v>
      </c>
    </row>
    <row r="13" spans="1:26" x14ac:dyDescent="0.3">
      <c r="A13" s="9"/>
      <c r="B13" s="10"/>
      <c r="C13" s="9"/>
      <c r="D13" s="3"/>
      <c r="E13" s="3"/>
      <c r="F13" s="8"/>
      <c r="G13" s="3"/>
      <c r="H13" s="3"/>
      <c r="I13" s="3"/>
      <c r="J13" s="8"/>
      <c r="K13" s="3"/>
      <c r="L13" s="3"/>
      <c r="M13" s="3"/>
      <c r="N13" s="8"/>
      <c r="P13" s="3"/>
      <c r="Q13" s="3"/>
      <c r="R13" s="8"/>
      <c r="S13" s="3"/>
      <c r="T13" s="3"/>
      <c r="U13" s="3"/>
      <c r="V13" s="8"/>
      <c r="W13" s="3"/>
      <c r="X13" s="3"/>
      <c r="Y13" s="3"/>
      <c r="Z13" s="8"/>
    </row>
    <row r="14" spans="1:26" s="23" customFormat="1" x14ac:dyDescent="0.3">
      <c r="A14" s="10"/>
      <c r="B14" s="26" t="s">
        <v>256</v>
      </c>
      <c r="C14" s="10"/>
      <c r="D14" s="4">
        <f>SUM(0)</f>
        <v>0</v>
      </c>
      <c r="E14" s="4"/>
      <c r="F14" s="12">
        <f>IF(D$12=0,0,D14/D$12)</f>
        <v>0</v>
      </c>
      <c r="G14" s="4"/>
      <c r="H14" s="4">
        <f>SUM(0)</f>
        <v>0</v>
      </c>
      <c r="I14" s="4"/>
      <c r="J14" s="12">
        <f>IF(H$12=0,0,H14/H$12)</f>
        <v>0</v>
      </c>
      <c r="K14" s="4"/>
      <c r="L14" s="4">
        <f>+D14-H14</f>
        <v>0</v>
      </c>
      <c r="M14" s="4"/>
      <c r="N14" s="12">
        <f>IF(H14=0,0,L14/H14)</f>
        <v>0</v>
      </c>
      <c r="O14" s="10"/>
      <c r="P14" s="4">
        <f>SUM(0)</f>
        <v>0</v>
      </c>
      <c r="Q14" s="4"/>
      <c r="R14" s="12">
        <f>IF(P$12=0,0,P14/P$12)</f>
        <v>0</v>
      </c>
      <c r="S14" s="4"/>
      <c r="T14" s="4">
        <f>SUM(0)</f>
        <v>0</v>
      </c>
      <c r="U14" s="4"/>
      <c r="V14" s="12">
        <f>IF(T$12=0,0,T14/T$12)</f>
        <v>0</v>
      </c>
      <c r="W14" s="4"/>
      <c r="X14" s="4">
        <f>+P14-T14</f>
        <v>0</v>
      </c>
      <c r="Y14" s="4"/>
      <c r="Z14" s="12">
        <f>IF(T14=0,0,X14/T14)</f>
        <v>0</v>
      </c>
    </row>
    <row r="15" spans="1:26" x14ac:dyDescent="0.3">
      <c r="A15" s="9"/>
      <c r="B15" s="10"/>
      <c r="C15" s="10"/>
      <c r="D15" s="3"/>
      <c r="E15" s="3"/>
      <c r="F15" s="8"/>
      <c r="G15" s="3"/>
      <c r="H15" s="3"/>
      <c r="I15" s="3"/>
      <c r="J15" s="8"/>
      <c r="K15" s="3"/>
      <c r="L15" s="3"/>
      <c r="M15" s="3"/>
      <c r="N15" s="8"/>
      <c r="O15" s="10"/>
      <c r="P15" s="3"/>
      <c r="Q15" s="3"/>
      <c r="R15" s="8"/>
      <c r="S15" s="3"/>
      <c r="T15" s="3"/>
      <c r="U15" s="3"/>
      <c r="V15" s="8"/>
      <c r="W15" s="3"/>
      <c r="X15" s="3"/>
      <c r="Y15" s="3"/>
      <c r="Z15" s="8"/>
    </row>
    <row r="16" spans="1:26" s="23" customFormat="1" x14ac:dyDescent="0.3">
      <c r="A16" s="10"/>
      <c r="B16" s="25" t="s">
        <v>107</v>
      </c>
      <c r="C16" s="25"/>
      <c r="D16" s="21">
        <f>D12-D14</f>
        <v>0</v>
      </c>
      <c r="E16" s="13"/>
      <c r="F16" s="22">
        <f>IF(D$12=0,0,D16/D$12)</f>
        <v>0</v>
      </c>
      <c r="G16" s="13"/>
      <c r="H16" s="21">
        <f>H12-H14</f>
        <v>0</v>
      </c>
      <c r="I16" s="13"/>
      <c r="J16" s="22">
        <f>IF(H$12=0,0,H16/H$12)</f>
        <v>0</v>
      </c>
      <c r="K16" s="16"/>
      <c r="L16" s="21">
        <f>+D16-H16</f>
        <v>0</v>
      </c>
      <c r="M16" s="16"/>
      <c r="N16" s="22">
        <f>IF(H16=0,0,L16/H16)</f>
        <v>0</v>
      </c>
      <c r="O16" s="26"/>
      <c r="P16" s="21">
        <f>P12-P14</f>
        <v>0</v>
      </c>
      <c r="Q16" s="13"/>
      <c r="R16" s="22">
        <f>IF(P$12=0,0,P16/P$12)</f>
        <v>0</v>
      </c>
      <c r="S16" s="13"/>
      <c r="T16" s="21">
        <f>T12-T14</f>
        <v>0</v>
      </c>
      <c r="U16" s="13"/>
      <c r="V16" s="22">
        <f>IF(T$12=0,0,T16/T$12)</f>
        <v>0</v>
      </c>
      <c r="W16" s="16"/>
      <c r="X16" s="21">
        <f>+P16-T16</f>
        <v>0</v>
      </c>
      <c r="Y16" s="16"/>
      <c r="Z16" s="22">
        <f>IF(T16=0,0,X16/T16)</f>
        <v>0</v>
      </c>
    </row>
    <row r="17" spans="1:26" x14ac:dyDescent="0.3">
      <c r="A17" s="9"/>
      <c r="B17" s="10"/>
      <c r="C17" s="9"/>
      <c r="D17" s="1"/>
      <c r="E17" s="1"/>
      <c r="F17" s="5"/>
      <c r="G17" s="1"/>
      <c r="H17" s="1"/>
      <c r="I17" s="1"/>
      <c r="J17" s="5"/>
      <c r="K17" s="1"/>
      <c r="L17" s="1"/>
      <c r="M17" s="1"/>
      <c r="N17" s="5"/>
      <c r="O17" s="37"/>
      <c r="P17" s="1"/>
      <c r="Q17" s="1"/>
      <c r="R17" s="5"/>
      <c r="S17" s="1"/>
      <c r="T17" s="1"/>
      <c r="U17" s="1"/>
      <c r="V17" s="5"/>
      <c r="W17" s="1"/>
      <c r="X17" s="1"/>
      <c r="Y17" s="1"/>
      <c r="Z17" s="5"/>
    </row>
    <row r="18" spans="1:26" s="23" customFormat="1" x14ac:dyDescent="0.3">
      <c r="A18" s="10"/>
      <c r="B18" s="26" t="s">
        <v>294</v>
      </c>
      <c r="C18" s="10"/>
      <c r="D18" s="20">
        <f>SUM(OSRRefD22x_0)</f>
        <v>0</v>
      </c>
      <c r="E18" s="20"/>
      <c r="F18" s="32">
        <f t="shared" ref="F18:F20" si="0">IF(D$12=0,0,D18/D$12)</f>
        <v>0</v>
      </c>
      <c r="G18" s="20"/>
      <c r="H18" s="20">
        <f>SUM(OSRRefH22x_0)</f>
        <v>0</v>
      </c>
      <c r="I18" s="20"/>
      <c r="J18" s="32">
        <f t="shared" ref="J18:J20" si="1">IF(H$12=0,0,H18/H$12)</f>
        <v>0</v>
      </c>
      <c r="K18" s="4"/>
      <c r="L18" s="20">
        <f t="shared" ref="L18:L20" si="2">+D18-H18</f>
        <v>0</v>
      </c>
      <c r="M18" s="4"/>
      <c r="N18" s="32">
        <f t="shared" ref="N18:N20" si="3">IF(H18=0,0,L18/H18)</f>
        <v>0</v>
      </c>
      <c r="O18" s="10"/>
      <c r="P18" s="20">
        <f>SUM(OSRRefP22x_0)</f>
        <v>0</v>
      </c>
      <c r="Q18" s="20"/>
      <c r="R18" s="32">
        <f t="shared" ref="R18:R20" si="4">IF(P$12=0,0,P18/P$12)</f>
        <v>0</v>
      </c>
      <c r="S18" s="20"/>
      <c r="T18" s="20">
        <f>SUM(OSRRefT22x_0)</f>
        <v>178.69</v>
      </c>
      <c r="U18" s="20"/>
      <c r="V18" s="32">
        <f t="shared" ref="V18:V20" si="5">IF(T$12=0,0,T18/T$12)</f>
        <v>0</v>
      </c>
      <c r="W18" s="4"/>
      <c r="X18" s="20">
        <f t="shared" ref="X18:X20" si="6">+P18-T18</f>
        <v>-178.69</v>
      </c>
      <c r="Y18" s="4"/>
      <c r="Z18" s="32">
        <f t="shared" ref="Z18:Z20" si="7">IF(T18=0,0,X18/T18)</f>
        <v>-1</v>
      </c>
    </row>
    <row r="19" spans="1:26" s="29" customFormat="1" outlineLevel="1" collapsed="1" x14ac:dyDescent="0.3">
      <c r="A19" s="28"/>
      <c r="B19" s="14" t="str">
        <f>CONCATENATE("     ","Telephone/Data Lines                              ")</f>
        <v xml:space="preserve">     Telephone/Data Lines                              </v>
      </c>
      <c r="C19" s="14"/>
      <c r="D19" s="1">
        <f>SUM(OSRRefD22_0x_0)</f>
        <v>0</v>
      </c>
      <c r="E19" s="1"/>
      <c r="F19" s="5">
        <f t="shared" si="0"/>
        <v>0</v>
      </c>
      <c r="G19" s="1"/>
      <c r="H19" s="1">
        <f>SUM(OSRRefH22_0x_0)</f>
        <v>0</v>
      </c>
      <c r="I19" s="1"/>
      <c r="J19" s="5">
        <f t="shared" si="1"/>
        <v>0</v>
      </c>
      <c r="K19" s="1"/>
      <c r="L19" s="1">
        <f t="shared" si="2"/>
        <v>0</v>
      </c>
      <c r="M19" s="1"/>
      <c r="N19" s="5">
        <f t="shared" si="3"/>
        <v>0</v>
      </c>
      <c r="O19" s="14"/>
      <c r="P19" s="1">
        <f>SUM(OSRRefP22_0x_0)</f>
        <v>0</v>
      </c>
      <c r="Q19" s="1"/>
      <c r="R19" s="5">
        <f t="shared" si="4"/>
        <v>0</v>
      </c>
      <c r="S19" s="1"/>
      <c r="T19" s="1">
        <f>SUM(OSRRefT22_0x_0)</f>
        <v>178.69</v>
      </c>
      <c r="U19" s="1"/>
      <c r="V19" s="5">
        <f t="shared" si="5"/>
        <v>0</v>
      </c>
      <c r="W19" s="1"/>
      <c r="X19" s="1">
        <f t="shared" si="6"/>
        <v>-178.69</v>
      </c>
      <c r="Y19" s="1"/>
      <c r="Z19" s="5">
        <f t="shared" si="7"/>
        <v>-1</v>
      </c>
    </row>
    <row r="20" spans="1:26" s="24" customFormat="1" hidden="1" outlineLevel="2" x14ac:dyDescent="0.3">
      <c r="A20" s="27"/>
      <c r="B20" s="11" t="str">
        <f>CONCATENATE("          ", "6309", " - ", "TELEPHONE")</f>
        <v xml:space="preserve">          6309 - TELEPHONE</v>
      </c>
      <c r="C20" s="11"/>
      <c r="D20" s="6"/>
      <c r="E20" s="2"/>
      <c r="F20" s="7">
        <f t="shared" si="0"/>
        <v>0</v>
      </c>
      <c r="G20" s="2"/>
      <c r="H20" s="6"/>
      <c r="I20" s="2"/>
      <c r="J20" s="7">
        <f t="shared" si="1"/>
        <v>0</v>
      </c>
      <c r="K20" s="2"/>
      <c r="L20" s="6">
        <f t="shared" si="2"/>
        <v>0</v>
      </c>
      <c r="M20" s="2"/>
      <c r="N20" s="7">
        <f t="shared" si="3"/>
        <v>0</v>
      </c>
      <c r="O20" s="11"/>
      <c r="P20" s="6"/>
      <c r="Q20" s="2"/>
      <c r="R20" s="7">
        <f t="shared" si="4"/>
        <v>0</v>
      </c>
      <c r="S20" s="2"/>
      <c r="T20" s="6">
        <v>178.69</v>
      </c>
      <c r="U20" s="2"/>
      <c r="V20" s="7">
        <f t="shared" si="5"/>
        <v>0</v>
      </c>
      <c r="W20" s="2"/>
      <c r="X20" s="6">
        <f t="shared" si="6"/>
        <v>-178.69</v>
      </c>
      <c r="Y20" s="2"/>
      <c r="Z20" s="7">
        <f t="shared" si="7"/>
        <v>-1</v>
      </c>
    </row>
    <row r="21" spans="1:26" s="62" customFormat="1" x14ac:dyDescent="0.3">
      <c r="A21" s="37"/>
      <c r="B21" s="37"/>
      <c r="C21" s="37"/>
      <c r="D21" s="1"/>
      <c r="E21" s="1"/>
      <c r="F21" s="5"/>
      <c r="G21" s="1"/>
      <c r="H21" s="1"/>
      <c r="I21" s="1"/>
      <c r="J21" s="5"/>
      <c r="K21" s="1"/>
      <c r="L21" s="1"/>
      <c r="M21" s="1"/>
      <c r="N21" s="5"/>
      <c r="O21" s="37"/>
      <c r="P21" s="1"/>
      <c r="Q21" s="1"/>
      <c r="R21" s="5"/>
      <c r="S21" s="1"/>
      <c r="T21" s="1"/>
      <c r="U21" s="1"/>
      <c r="V21" s="5"/>
      <c r="W21" s="1"/>
      <c r="X21" s="1"/>
      <c r="Y21" s="1"/>
      <c r="Z21" s="5"/>
    </row>
    <row r="22" spans="1:26" s="23" customFormat="1" x14ac:dyDescent="0.3">
      <c r="A22" s="10"/>
      <c r="B22" s="26" t="s">
        <v>292</v>
      </c>
      <c r="C22" s="10"/>
      <c r="D22" s="4">
        <f>SUM(0)</f>
        <v>0</v>
      </c>
      <c r="E22" s="4"/>
      <c r="F22" s="12">
        <f>IF(D$12=0,0,D22/D$12)</f>
        <v>0</v>
      </c>
      <c r="G22" s="4"/>
      <c r="H22" s="4">
        <f>SUM(0)</f>
        <v>0</v>
      </c>
      <c r="I22" s="4"/>
      <c r="J22" s="12">
        <f>IF(H$12=0,0,H22/H$12)</f>
        <v>0</v>
      </c>
      <c r="K22" s="4"/>
      <c r="L22" s="4">
        <f>+D22-H22</f>
        <v>0</v>
      </c>
      <c r="M22" s="4"/>
      <c r="N22" s="12">
        <f>IF(H22=0,0,L22/H22)</f>
        <v>0</v>
      </c>
      <c r="O22" s="10"/>
      <c r="P22" s="4">
        <f>SUM(0)</f>
        <v>0</v>
      </c>
      <c r="Q22" s="4"/>
      <c r="R22" s="12">
        <f>IF(P$12=0,0,P22/P$12)</f>
        <v>0</v>
      </c>
      <c r="S22" s="4"/>
      <c r="T22" s="4">
        <f>SUM(0)</f>
        <v>0</v>
      </c>
      <c r="U22" s="4"/>
      <c r="V22" s="12">
        <f>IF(T$12=0,0,T22/T$12)</f>
        <v>0</v>
      </c>
      <c r="W22" s="4"/>
      <c r="X22" s="4">
        <f>+P22-T22</f>
        <v>0</v>
      </c>
      <c r="Y22" s="4"/>
      <c r="Z22" s="12">
        <f>IF(T22=0,0,X22/T22)</f>
        <v>0</v>
      </c>
    </row>
    <row r="23" spans="1:26" x14ac:dyDescent="0.3">
      <c r="A23" s="9"/>
      <c r="B23" s="10"/>
      <c r="C23" s="10"/>
      <c r="D23" s="3"/>
      <c r="E23" s="3"/>
      <c r="F23" s="8"/>
      <c r="G23" s="3"/>
      <c r="H23" s="3"/>
      <c r="I23" s="3"/>
      <c r="J23" s="8"/>
      <c r="K23" s="3"/>
      <c r="L23" s="3"/>
      <c r="M23" s="3"/>
      <c r="N23" s="8"/>
      <c r="O23" s="10"/>
      <c r="P23" s="3"/>
      <c r="Q23" s="3"/>
      <c r="R23" s="8"/>
      <c r="S23" s="3"/>
      <c r="T23" s="3"/>
      <c r="U23" s="3"/>
      <c r="V23" s="8"/>
      <c r="W23" s="3"/>
      <c r="X23" s="3"/>
      <c r="Y23" s="3"/>
      <c r="Z23" s="8"/>
    </row>
    <row r="24" spans="1:26" s="23" customFormat="1" x14ac:dyDescent="0.3">
      <c r="A24" s="10"/>
      <c r="B24" s="25" t="s">
        <v>276</v>
      </c>
      <c r="C24" s="25"/>
      <c r="D24" s="21">
        <f>+D16-D18+D22</f>
        <v>0</v>
      </c>
      <c r="E24" s="13"/>
      <c r="F24" s="22">
        <f>IF(D$12=0,0,D24/D$12)</f>
        <v>0</v>
      </c>
      <c r="G24" s="13"/>
      <c r="H24" s="21">
        <f>+H16-H18+H22</f>
        <v>0</v>
      </c>
      <c r="I24" s="13"/>
      <c r="J24" s="22">
        <f>IF(H$12=0,0,H24/H$12)</f>
        <v>0</v>
      </c>
      <c r="K24" s="16"/>
      <c r="L24" s="21">
        <f>+D24-H24</f>
        <v>0</v>
      </c>
      <c r="M24" s="16"/>
      <c r="N24" s="22">
        <f>IF(H24=0,0,L24/H24)</f>
        <v>0</v>
      </c>
      <c r="O24" s="26"/>
      <c r="P24" s="21">
        <f>+P16-P18+P22</f>
        <v>0</v>
      </c>
      <c r="Q24" s="13"/>
      <c r="R24" s="22">
        <f>IF(P$12=0,0,P24/P$12)</f>
        <v>0</v>
      </c>
      <c r="S24" s="13"/>
      <c r="T24" s="21">
        <f>+T16-T18+T22</f>
        <v>-178.69</v>
      </c>
      <c r="U24" s="13"/>
      <c r="V24" s="22">
        <f>IF(T$12=0,0,T24/T$12)</f>
        <v>0</v>
      </c>
      <c r="W24" s="16"/>
      <c r="X24" s="21">
        <f>+P24-T24</f>
        <v>178.69</v>
      </c>
      <c r="Y24" s="16"/>
      <c r="Z24" s="22">
        <f>IF(T24=0,0,X24/T24)</f>
        <v>-1</v>
      </c>
    </row>
    <row r="25" spans="1:26" x14ac:dyDescent="0.3">
      <c r="A25" s="9"/>
      <c r="B25" s="10"/>
      <c r="C25" s="9"/>
      <c r="D25" s="3"/>
      <c r="E25" s="3"/>
      <c r="F25" s="8"/>
      <c r="G25" s="3"/>
      <c r="H25" s="3"/>
      <c r="I25" s="3"/>
      <c r="J25" s="8"/>
      <c r="K25" s="3"/>
      <c r="L25" s="3"/>
      <c r="M25" s="3"/>
      <c r="N25" s="8"/>
      <c r="P25" s="3"/>
      <c r="Q25" s="3"/>
      <c r="R25" s="8"/>
      <c r="S25" s="3"/>
      <c r="T25" s="3"/>
      <c r="U25" s="3"/>
      <c r="V25" s="8"/>
      <c r="W25" s="3"/>
      <c r="X25" s="3"/>
      <c r="Y25" s="3"/>
      <c r="Z25" s="8"/>
    </row>
    <row r="26" spans="1:26" s="23" customFormat="1" x14ac:dyDescent="0.3">
      <c r="A26" s="51"/>
      <c r="B26" s="10" t="s">
        <v>127</v>
      </c>
      <c r="C26" s="10"/>
      <c r="D26" s="4"/>
      <c r="E26" s="4"/>
      <c r="F26" s="12">
        <f>IF(D$12=0,0,D26/D$12)</f>
        <v>0</v>
      </c>
      <c r="G26" s="4"/>
      <c r="H26" s="4"/>
      <c r="I26" s="4"/>
      <c r="J26" s="12">
        <f>IF(H$12=0,0,H26/H$12)</f>
        <v>0</v>
      </c>
      <c r="K26" s="4"/>
      <c r="L26" s="4">
        <f>+D26-H26</f>
        <v>0</v>
      </c>
      <c r="M26" s="4"/>
      <c r="N26" s="12">
        <f>IF(H26=0,0,L26/H26)</f>
        <v>0</v>
      </c>
      <c r="O26" s="10"/>
      <c r="P26" s="4"/>
      <c r="Q26" s="4"/>
      <c r="R26" s="12">
        <f>IF(P$12=0,0,P26/P$12)</f>
        <v>0</v>
      </c>
      <c r="S26" s="4"/>
      <c r="T26" s="4"/>
      <c r="U26" s="4"/>
      <c r="V26" s="12">
        <f>IF(T$12=0,0,T26/T$12)</f>
        <v>0</v>
      </c>
      <c r="W26" s="4"/>
      <c r="X26" s="4">
        <f>+P26-T26</f>
        <v>0</v>
      </c>
      <c r="Y26" s="4"/>
      <c r="Z26" s="12">
        <f>IF(T26=0,0,X26/T26)</f>
        <v>0</v>
      </c>
    </row>
    <row r="27" spans="1:26" x14ac:dyDescent="0.3">
      <c r="A27" s="9"/>
      <c r="B27" s="10"/>
      <c r="C27" s="10"/>
      <c r="D27" s="3"/>
      <c r="E27" s="3"/>
      <c r="F27" s="8"/>
      <c r="G27" s="3"/>
      <c r="H27" s="3"/>
      <c r="I27" s="3"/>
      <c r="J27" s="8"/>
      <c r="K27" s="3"/>
      <c r="L27" s="3"/>
      <c r="M27" s="3"/>
      <c r="N27" s="8"/>
      <c r="O27" s="10"/>
      <c r="P27" s="3"/>
      <c r="Q27" s="3"/>
      <c r="R27" s="8"/>
      <c r="S27" s="3"/>
      <c r="T27" s="3"/>
      <c r="U27" s="3"/>
      <c r="V27" s="8"/>
      <c r="W27" s="3"/>
      <c r="X27" s="3"/>
      <c r="Y27" s="3"/>
      <c r="Z27" s="8"/>
    </row>
    <row r="28" spans="1:26" s="23" customFormat="1" ht="15" thickBot="1" x14ac:dyDescent="0.35">
      <c r="A28" s="10"/>
      <c r="B28" s="25" t="s">
        <v>125</v>
      </c>
      <c r="C28" s="25"/>
      <c r="D28" s="35">
        <f>+D24-D26</f>
        <v>0</v>
      </c>
      <c r="E28" s="13"/>
      <c r="F28" s="31">
        <f>IF(D$12=0,0,D28/D$12)</f>
        <v>0</v>
      </c>
      <c r="G28" s="13"/>
      <c r="H28" s="35">
        <f>+H24-H26</f>
        <v>0</v>
      </c>
      <c r="I28" s="13"/>
      <c r="J28" s="31">
        <f>IF(H$12=0,0,H28/H$12)</f>
        <v>0</v>
      </c>
      <c r="K28" s="16"/>
      <c r="L28" s="35">
        <f>D28-H28</f>
        <v>0</v>
      </c>
      <c r="M28" s="16"/>
      <c r="N28" s="31">
        <f>IF(H28=0,0,L28/H28)</f>
        <v>0</v>
      </c>
      <c r="O28" s="26"/>
      <c r="P28" s="35">
        <f>+P24-P26</f>
        <v>0</v>
      </c>
      <c r="Q28" s="13"/>
      <c r="R28" s="31">
        <f>IF(P$12=0,0,P28/P$12)</f>
        <v>0</v>
      </c>
      <c r="S28" s="13"/>
      <c r="T28" s="35">
        <f>+T24-T26</f>
        <v>-178.69</v>
      </c>
      <c r="U28" s="13"/>
      <c r="V28" s="31">
        <f>IF(T$12=0,0,T28/T$12)</f>
        <v>0</v>
      </c>
      <c r="W28" s="16"/>
      <c r="X28" s="35">
        <f>P28-T28</f>
        <v>178.69</v>
      </c>
      <c r="Y28" s="16"/>
      <c r="Z28" s="31">
        <f>IF(T28=0,0,X28/T28)</f>
        <v>-1</v>
      </c>
    </row>
    <row r="29" spans="1:26" ht="15" thickTop="1" x14ac:dyDescent="0.3">
      <c r="A29" s="9"/>
      <c r="B29" s="9"/>
      <c r="C29" s="9"/>
      <c r="D29" s="3"/>
      <c r="E29" s="3"/>
      <c r="F29" s="8"/>
      <c r="G29" s="3"/>
      <c r="H29" s="3"/>
      <c r="I29" s="3"/>
      <c r="J29" s="8"/>
      <c r="K29" s="3"/>
      <c r="L29" s="3"/>
      <c r="M29" s="3"/>
      <c r="N29" s="8"/>
      <c r="P29" s="3"/>
      <c r="Q29" s="3"/>
      <c r="R29" s="8"/>
      <c r="S29" s="3"/>
      <c r="T29" s="3"/>
      <c r="U29" s="3"/>
      <c r="V29" s="8"/>
      <c r="W29" s="3"/>
      <c r="X29" s="3"/>
      <c r="Y29" s="3"/>
      <c r="Z29" s="8"/>
    </row>
    <row r="30" spans="1:26" x14ac:dyDescent="0.3">
      <c r="A30" s="9"/>
      <c r="B30" s="9"/>
      <c r="C30" s="9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293</v>
      </c>
      <c r="C31" s="25"/>
      <c r="D31" s="36">
        <f>SUM(D28:D30)</f>
        <v>0</v>
      </c>
      <c r="E31" s="13"/>
      <c r="F31" s="33">
        <f>IF(D$12=0,0,D31/D$12)</f>
        <v>0</v>
      </c>
      <c r="G31" s="13"/>
      <c r="H31" s="36">
        <f>SUM(H28:H30)</f>
        <v>0</v>
      </c>
      <c r="I31" s="13"/>
      <c r="J31" s="33">
        <f>IF(H$12=0,0,H31/H$12)</f>
        <v>0</v>
      </c>
      <c r="K31" s="16"/>
      <c r="L31" s="36">
        <f>+D31-H31</f>
        <v>0</v>
      </c>
      <c r="M31" s="16"/>
      <c r="N31" s="33">
        <f>IF(H31=0,0,L31/H31)</f>
        <v>0</v>
      </c>
      <c r="O31" s="26"/>
      <c r="P31" s="36">
        <f>SUM(P28:P30)</f>
        <v>0</v>
      </c>
      <c r="Q31" s="13"/>
      <c r="R31" s="33">
        <f>IF(P$12=0,0,P31/P$12)</f>
        <v>0</v>
      </c>
      <c r="S31" s="13"/>
      <c r="T31" s="36">
        <f>SUM(T28:T30)</f>
        <v>-178.69</v>
      </c>
      <c r="U31" s="13"/>
      <c r="V31" s="33">
        <f>IF(T$12=0,0,T31/T$12)</f>
        <v>0</v>
      </c>
      <c r="W31" s="16"/>
      <c r="X31" s="36">
        <f>+P31-T31</f>
        <v>178.69</v>
      </c>
      <c r="Y31" s="16"/>
      <c r="Z31" s="33">
        <f>IF(T31=0,0,X31/T31)</f>
        <v>-1</v>
      </c>
    </row>
    <row r="32" spans="1:26" ht="15" thickTop="1" x14ac:dyDescent="0.3">
      <c r="A32" s="9"/>
      <c r="C32" s="9"/>
      <c r="D32" s="17"/>
      <c r="E32" s="17"/>
      <c r="G32" s="17"/>
      <c r="H32" s="17"/>
      <c r="I32" s="17"/>
      <c r="J32" s="42"/>
      <c r="K32" s="17"/>
      <c r="L32" s="17"/>
      <c r="M32" s="17"/>
      <c r="P32" s="17"/>
      <c r="Q32" s="17"/>
      <c r="R32" s="42"/>
      <c r="S32" s="17"/>
      <c r="T32" s="17"/>
      <c r="U32" s="17"/>
      <c r="V32" s="42"/>
      <c r="W32" s="17"/>
      <c r="X32" s="17"/>
    </row>
    <row r="33" spans="1:24" x14ac:dyDescent="0.3">
      <c r="A33" s="9"/>
      <c r="B33" s="52">
        <v>44543.765594675926</v>
      </c>
      <c r="D33" s="17"/>
      <c r="E33" s="17"/>
      <c r="G33" s="17"/>
      <c r="H33" s="17"/>
      <c r="I33" s="17"/>
      <c r="J33" s="42"/>
      <c r="K33" s="17"/>
      <c r="L33" s="17"/>
      <c r="M33" s="17"/>
      <c r="P33" s="17"/>
      <c r="Q33" s="17"/>
      <c r="R33" s="42"/>
      <c r="S33" s="17"/>
      <c r="T33" s="17"/>
      <c r="U33" s="17"/>
      <c r="V33" s="42"/>
      <c r="W33" s="17"/>
      <c r="X33" s="17"/>
    </row>
    <row r="34" spans="1:24" x14ac:dyDescent="0.3">
      <c r="A34" s="9"/>
      <c r="B34" s="59" t="s">
        <v>56</v>
      </c>
      <c r="D34" s="17"/>
      <c r="E34" s="17"/>
      <c r="G34" s="17"/>
      <c r="H34" s="17"/>
      <c r="I34" s="17"/>
      <c r="J34" s="42"/>
      <c r="K34" s="17"/>
      <c r="L34" s="17"/>
      <c r="M34" s="17"/>
      <c r="P34" s="17"/>
      <c r="Q34" s="17"/>
      <c r="R34" s="42"/>
      <c r="S34" s="17"/>
      <c r="T34" s="17"/>
      <c r="U34" s="17"/>
      <c r="V34" s="42"/>
      <c r="W34" s="17"/>
      <c r="X34" s="17"/>
    </row>
    <row r="35" spans="1:24" x14ac:dyDescent="0.3">
      <c r="A35" s="9"/>
      <c r="B35" s="61"/>
      <c r="D35" s="17"/>
      <c r="E35" s="17"/>
      <c r="G35" s="17"/>
      <c r="H35" s="17"/>
      <c r="I35" s="17"/>
      <c r="J35" s="42"/>
      <c r="K35" s="17"/>
      <c r="L35" s="17"/>
      <c r="M35" s="17"/>
      <c r="P35" s="17"/>
      <c r="Q35" s="17"/>
      <c r="R35" s="42"/>
      <c r="S35" s="17"/>
      <c r="T35" s="17"/>
      <c r="U35" s="17"/>
      <c r="V35" s="42"/>
      <c r="W35" s="17"/>
      <c r="X35" s="17"/>
    </row>
    <row r="36" spans="1:24" x14ac:dyDescent="0.3">
      <c r="D36" s="17"/>
      <c r="E36" s="17"/>
      <c r="G36" s="17"/>
      <c r="H36" s="17"/>
      <c r="I36" s="17"/>
      <c r="J36" s="42"/>
      <c r="K36" s="17"/>
      <c r="L36" s="17"/>
      <c r="M36" s="17"/>
      <c r="P36" s="17"/>
      <c r="Q36" s="17"/>
      <c r="R36" s="42"/>
      <c r="S36" s="17"/>
      <c r="T36" s="17"/>
      <c r="U36" s="17"/>
      <c r="V36" s="42"/>
      <c r="W36" s="17"/>
      <c r="X36" s="17"/>
    </row>
  </sheetData>
  <pageMargins left="0.25" right="0.25" top="0.75" bottom="0.75" header="0.3" footer="0.3"/>
  <pageSetup scale="55" fitToWidth="2" orientation="landscape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92D050"/>
    <outlinePr summaryBelow="0" summaryRight="0"/>
  </sheetPr>
  <dimension ref="A2:Z92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","444", " - ", "Parkside Dining Hall")</f>
        <v>Department 444 - Parkside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639864.36</v>
      </c>
      <c r="E12" s="4"/>
      <c r="F12" s="12"/>
      <c r="G12" s="4"/>
      <c r="H12" s="4">
        <f>SUM(OSRRefH13x_0)</f>
        <v>107759.14</v>
      </c>
      <c r="I12" s="4"/>
      <c r="J12" s="12"/>
      <c r="K12" s="4"/>
      <c r="L12" s="4">
        <f t="shared" ref="L12:L15" si="0">+D12-H12</f>
        <v>532105.22</v>
      </c>
      <c r="M12" s="4"/>
      <c r="N12" s="12">
        <f t="shared" ref="N12:N15" si="1">IF(H12=0,0,L12/H12)</f>
        <v>4.9379126448113819</v>
      </c>
      <c r="O12" s="10"/>
      <c r="P12" s="4">
        <f>SUM(OSRRefP13x_0)</f>
        <v>2380052.98</v>
      </c>
      <c r="Q12" s="4"/>
      <c r="R12" s="12"/>
      <c r="S12" s="4"/>
      <c r="T12" s="4">
        <f>SUM(OSRRefT13x_0)</f>
        <v>527618.81999999995</v>
      </c>
      <c r="U12" s="4"/>
      <c r="V12" s="12"/>
      <c r="W12" s="4"/>
      <c r="X12" s="4">
        <f t="shared" ref="X12:X15" si="2">+P12-T12</f>
        <v>1852434.1600000001</v>
      </c>
      <c r="Y12" s="4"/>
      <c r="Z12" s="12">
        <f t="shared" ref="Z12:Z15" si="3">IF(T12=0,0,X12/T12)</f>
        <v>3.5109326843193354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--93.84</f>
        <v>93.84</v>
      </c>
      <c r="E13" s="2"/>
      <c r="F13" s="19"/>
      <c r="G13" s="2"/>
      <c r="H13" s="2">
        <f>--92.59</f>
        <v>92.59</v>
      </c>
      <c r="I13" s="2"/>
      <c r="J13" s="19"/>
      <c r="K13" s="2"/>
      <c r="L13" s="2">
        <f t="shared" si="0"/>
        <v>1.25</v>
      </c>
      <c r="M13" s="2"/>
      <c r="N13" s="19">
        <f t="shared" si="1"/>
        <v>1.3500378010584296E-2</v>
      </c>
      <c r="O13" s="11"/>
      <c r="P13" s="2">
        <f>--487.98</f>
        <v>487.98</v>
      </c>
      <c r="Q13" s="2"/>
      <c r="R13" s="19"/>
      <c r="S13" s="2"/>
      <c r="T13" s="2">
        <f>--277.38</f>
        <v>277.38</v>
      </c>
      <c r="U13" s="2"/>
      <c r="V13" s="19"/>
      <c r="W13" s="2"/>
      <c r="X13" s="2">
        <f t="shared" si="2"/>
        <v>210.60000000000002</v>
      </c>
      <c r="Y13" s="2"/>
      <c r="Z13" s="19">
        <f t="shared" si="3"/>
        <v>0.75924724205061656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--638092.16</f>
        <v>638092.16</v>
      </c>
      <c r="E14" s="2"/>
      <c r="F14" s="19"/>
      <c r="G14" s="2"/>
      <c r="H14" s="2">
        <f>--97309.27</f>
        <v>97309.27</v>
      </c>
      <c r="I14" s="2"/>
      <c r="J14" s="19"/>
      <c r="K14" s="2"/>
      <c r="L14" s="2">
        <f t="shared" si="0"/>
        <v>540782.89</v>
      </c>
      <c r="M14" s="2"/>
      <c r="N14" s="19">
        <f t="shared" si="1"/>
        <v>5.557362520549173</v>
      </c>
      <c r="O14" s="11"/>
      <c r="P14" s="2">
        <f>--2366875.73</f>
        <v>2366875.73</v>
      </c>
      <c r="Q14" s="2"/>
      <c r="R14" s="19"/>
      <c r="S14" s="2"/>
      <c r="T14" s="2">
        <f>--508706.05</f>
        <v>508706.05</v>
      </c>
      <c r="U14" s="2"/>
      <c r="V14" s="19"/>
      <c r="W14" s="2"/>
      <c r="X14" s="2">
        <f t="shared" si="2"/>
        <v>1858169.68</v>
      </c>
      <c r="Y14" s="2"/>
      <c r="Z14" s="19">
        <f t="shared" si="3"/>
        <v>3.6527375288735016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--1678.36</f>
        <v>1678.36</v>
      </c>
      <c r="E15" s="2"/>
      <c r="F15" s="19"/>
      <c r="G15" s="2"/>
      <c r="H15" s="2">
        <f>--10357.28</f>
        <v>10357.280000000001</v>
      </c>
      <c r="I15" s="2"/>
      <c r="J15" s="19"/>
      <c r="K15" s="2"/>
      <c r="L15" s="2">
        <f t="shared" si="0"/>
        <v>-8678.92</v>
      </c>
      <c r="M15" s="2"/>
      <c r="N15" s="19">
        <f t="shared" si="1"/>
        <v>-0.83795359399378988</v>
      </c>
      <c r="O15" s="11"/>
      <c r="P15" s="2">
        <f>--12689.27</f>
        <v>12689.27</v>
      </c>
      <c r="Q15" s="2"/>
      <c r="R15" s="19"/>
      <c r="S15" s="2"/>
      <c r="T15" s="2">
        <f>--18635.39</f>
        <v>18635.39</v>
      </c>
      <c r="U15" s="2"/>
      <c r="V15" s="19"/>
      <c r="W15" s="2"/>
      <c r="X15" s="2">
        <f t="shared" si="2"/>
        <v>-5946.119999999999</v>
      </c>
      <c r="Y15" s="2"/>
      <c r="Z15" s="19">
        <f t="shared" si="3"/>
        <v>-0.31907676737648094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123227.99</v>
      </c>
      <c r="E17" s="4"/>
      <c r="F17" s="12">
        <f t="shared" ref="F17:F19" si="4">IF(D$12=0,0,D17/D$12)</f>
        <v>0.19258455026312141</v>
      </c>
      <c r="G17" s="4"/>
      <c r="H17" s="4">
        <f>SUM(OSRRefH16x_0)</f>
        <v>41258.25</v>
      </c>
      <c r="I17" s="4"/>
      <c r="J17" s="12">
        <f t="shared" ref="J17:J19" si="5">IF(H$12=0,0,H17/H$12)</f>
        <v>0.38287471485017421</v>
      </c>
      <c r="K17" s="4"/>
      <c r="L17" s="4">
        <f t="shared" ref="L17:L19" si="6">+D17-H17</f>
        <v>81969.740000000005</v>
      </c>
      <c r="M17" s="4"/>
      <c r="N17" s="12">
        <f t="shared" ref="N17:N19" si="7">IF(H17=0,0,L17/H17)</f>
        <v>1.9867478625487025</v>
      </c>
      <c r="O17" s="10"/>
      <c r="P17" s="4">
        <f>SUM(OSRRefP16x_0)</f>
        <v>617727.22</v>
      </c>
      <c r="Q17" s="4"/>
      <c r="R17" s="12">
        <f t="shared" ref="R17:R19" si="8">IF(P$12=0,0,P17/P$12)</f>
        <v>0.25954347453223497</v>
      </c>
      <c r="S17" s="4"/>
      <c r="T17" s="4">
        <f>SUM(OSRRefT16x_0)</f>
        <v>190930.1</v>
      </c>
      <c r="U17" s="4"/>
      <c r="V17" s="12">
        <f t="shared" ref="V17:V19" si="9">IF(T$12=0,0,T17/T$12)</f>
        <v>0.36187128427299092</v>
      </c>
      <c r="W17" s="4"/>
      <c r="X17" s="4">
        <f t="shared" ref="X17:X19" si="10">+P17-T17</f>
        <v>426797.12</v>
      </c>
      <c r="Y17" s="4"/>
      <c r="Z17" s="12">
        <f t="shared" ref="Z17:Z19" si="11">IF(T17=0,0,X17/T17)</f>
        <v>2.2353579660828751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121057.99</v>
      </c>
      <c r="E18" s="2"/>
      <c r="F18" s="19">
        <f t="shared" si="4"/>
        <v>0.18919320651020477</v>
      </c>
      <c r="G18" s="2"/>
      <c r="H18" s="2">
        <v>37703.25</v>
      </c>
      <c r="I18" s="2"/>
      <c r="J18" s="19">
        <f t="shared" si="5"/>
        <v>0.3498844738367437</v>
      </c>
      <c r="K18" s="2"/>
      <c r="L18" s="2">
        <f t="shared" si="6"/>
        <v>83354.740000000005</v>
      </c>
      <c r="M18" s="2"/>
      <c r="N18" s="19">
        <f t="shared" si="7"/>
        <v>2.2108104738981389</v>
      </c>
      <c r="O18" s="11"/>
      <c r="P18" s="2">
        <v>627275.22</v>
      </c>
      <c r="Q18" s="2"/>
      <c r="R18" s="19">
        <f t="shared" si="8"/>
        <v>0.26355514993620016</v>
      </c>
      <c r="S18" s="2"/>
      <c r="T18" s="2">
        <v>209199.78</v>
      </c>
      <c r="U18" s="2"/>
      <c r="V18" s="19">
        <f t="shared" si="9"/>
        <v>0.39649794903070368</v>
      </c>
      <c r="W18" s="2"/>
      <c r="X18" s="2">
        <f t="shared" si="10"/>
        <v>418075.43999999994</v>
      </c>
      <c r="Y18" s="2"/>
      <c r="Z18" s="19">
        <f t="shared" si="11"/>
        <v>1.9984506675867439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2170</v>
      </c>
      <c r="E19" s="2"/>
      <c r="F19" s="19">
        <f t="shared" si="4"/>
        <v>3.3913437529166338E-3</v>
      </c>
      <c r="G19" s="2"/>
      <c r="H19" s="2">
        <v>3555</v>
      </c>
      <c r="I19" s="2"/>
      <c r="J19" s="19">
        <f t="shared" si="5"/>
        <v>3.299024101343051E-2</v>
      </c>
      <c r="K19" s="2"/>
      <c r="L19" s="2">
        <f t="shared" si="6"/>
        <v>-1385</v>
      </c>
      <c r="M19" s="2"/>
      <c r="N19" s="19">
        <f t="shared" si="7"/>
        <v>-0.38959212376933894</v>
      </c>
      <c r="O19" s="11"/>
      <c r="P19" s="2">
        <v>-9548</v>
      </c>
      <c r="Q19" s="2"/>
      <c r="R19" s="19">
        <f t="shared" si="8"/>
        <v>-4.011675403965167E-3</v>
      </c>
      <c r="S19" s="2"/>
      <c r="T19" s="2">
        <v>-18269.68</v>
      </c>
      <c r="U19" s="2"/>
      <c r="V19" s="19">
        <f t="shared" si="9"/>
        <v>-3.4626664757712776E-2</v>
      </c>
      <c r="W19" s="2"/>
      <c r="X19" s="2">
        <f t="shared" si="10"/>
        <v>8721.68</v>
      </c>
      <c r="Y19" s="2"/>
      <c r="Z19" s="19">
        <f t="shared" si="11"/>
        <v>-0.47738548239487499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516636.37</v>
      </c>
      <c r="E21" s="13"/>
      <c r="F21" s="22">
        <f>IF(D$12=0,0,D21/D$12)</f>
        <v>0.80741544973687862</v>
      </c>
      <c r="G21" s="13"/>
      <c r="H21" s="21">
        <f>H12-H17</f>
        <v>66500.89</v>
      </c>
      <c r="I21" s="13"/>
      <c r="J21" s="22">
        <f>IF(H$12=0,0,H21/H$12)</f>
        <v>0.61712528514982579</v>
      </c>
      <c r="K21" s="16"/>
      <c r="L21" s="21">
        <f>+D21-H21</f>
        <v>450135.48</v>
      </c>
      <c r="M21" s="16"/>
      <c r="N21" s="22">
        <f>IF(H21=0,0,L21/H21)</f>
        <v>6.7688639956547947</v>
      </c>
      <c r="O21" s="26"/>
      <c r="P21" s="21">
        <f>P12-P17</f>
        <v>1762325.76</v>
      </c>
      <c r="Q21" s="13"/>
      <c r="R21" s="22">
        <f>IF(P$12=0,0,P21/P$12)</f>
        <v>0.74045652546776497</v>
      </c>
      <c r="S21" s="13"/>
      <c r="T21" s="21">
        <f>T12-T17</f>
        <v>336688.72</v>
      </c>
      <c r="U21" s="13"/>
      <c r="V21" s="22">
        <f>IF(T$12=0,0,T21/T$12)</f>
        <v>0.63812871572700913</v>
      </c>
      <c r="W21" s="16"/>
      <c r="X21" s="21">
        <f>+P21-T21</f>
        <v>1425637.04</v>
      </c>
      <c r="Y21" s="16"/>
      <c r="Z21" s="22">
        <f>IF(T21=0,0,X21/T21)</f>
        <v>4.2342880985142601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196578.65999999997</v>
      </c>
      <c r="E23" s="20"/>
      <c r="F23" s="32">
        <f t="shared" ref="F23:F33" si="12">IF(D$12=0,0,D23/D$12)</f>
        <v>0.30721926753351286</v>
      </c>
      <c r="G23" s="20"/>
      <c r="H23" s="20">
        <f>SUM(OSRRefH22x_0)</f>
        <v>135622.01</v>
      </c>
      <c r="I23" s="20"/>
      <c r="J23" s="32">
        <f t="shared" ref="J23:J33" si="13">IF(H$12=0,0,H23/H$12)</f>
        <v>1.2585661875178291</v>
      </c>
      <c r="K23" s="4"/>
      <c r="L23" s="20">
        <f t="shared" ref="L23:L33" si="14">+D23-H23</f>
        <v>60956.649999999965</v>
      </c>
      <c r="M23" s="4"/>
      <c r="N23" s="32">
        <f t="shared" ref="N23:N33" si="15">IF(H23=0,0,L23/H23)</f>
        <v>0.44945986274646688</v>
      </c>
      <c r="O23" s="10"/>
      <c r="P23" s="20">
        <f>SUM(OSRRefP22x_0)</f>
        <v>927621.53000000014</v>
      </c>
      <c r="Q23" s="20"/>
      <c r="R23" s="32">
        <f t="shared" ref="R23:R33" si="16">IF(P$12=0,0,P23/P$12)</f>
        <v>0.3897482693851631</v>
      </c>
      <c r="S23" s="20"/>
      <c r="T23" s="20">
        <f>SUM(OSRRefT22x_0)</f>
        <v>593019.22</v>
      </c>
      <c r="U23" s="20"/>
      <c r="V23" s="32">
        <f t="shared" ref="V23:V33" si="17">IF(T$12=0,0,T23/T$12)</f>
        <v>1.1239538801894899</v>
      </c>
      <c r="W23" s="4"/>
      <c r="X23" s="20">
        <f t="shared" ref="X23:X33" si="18">+P23-T23</f>
        <v>334602.31000000017</v>
      </c>
      <c r="Y23" s="4"/>
      <c r="Z23" s="32">
        <f t="shared" ref="Z23:Z33" si="19">IF(T23=0,0,X23/T23)</f>
        <v>0.56423518617153789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30810.309999999998</v>
      </c>
      <c r="E24" s="1"/>
      <c r="F24" s="5">
        <f t="shared" si="12"/>
        <v>4.8151314444205014E-2</v>
      </c>
      <c r="G24" s="1"/>
      <c r="H24" s="1">
        <f>SUM(OSRRefH22_0x_0)</f>
        <v>33451.560000000005</v>
      </c>
      <c r="I24" s="1"/>
      <c r="J24" s="5">
        <f t="shared" si="13"/>
        <v>0.31042898078065589</v>
      </c>
      <c r="K24" s="1"/>
      <c r="L24" s="1">
        <f t="shared" si="14"/>
        <v>-2641.2500000000073</v>
      </c>
      <c r="M24" s="1"/>
      <c r="N24" s="5">
        <f t="shared" si="15"/>
        <v>-7.8957453703205671E-2</v>
      </c>
      <c r="O24" s="14"/>
      <c r="P24" s="1">
        <f>SUM(OSRRefP22_0x_0)</f>
        <v>156891.95000000001</v>
      </c>
      <c r="Q24" s="1"/>
      <c r="R24" s="5">
        <f t="shared" si="16"/>
        <v>6.5919519993206208E-2</v>
      </c>
      <c r="S24" s="1"/>
      <c r="T24" s="1">
        <f>SUM(OSRRefT22_0x_0)</f>
        <v>154082.16</v>
      </c>
      <c r="U24" s="1"/>
      <c r="V24" s="5">
        <f t="shared" si="17"/>
        <v>0.29203310071464095</v>
      </c>
      <c r="W24" s="1"/>
      <c r="X24" s="1">
        <f t="shared" si="18"/>
        <v>2809.7900000000081</v>
      </c>
      <c r="Y24" s="1"/>
      <c r="Z24" s="5">
        <f t="shared" si="19"/>
        <v>1.823566076695711E-2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4780.8100000000004</v>
      </c>
      <c r="E25" s="2"/>
      <c r="F25" s="7">
        <f t="shared" si="12"/>
        <v>7.4715991370421075E-3</v>
      </c>
      <c r="G25" s="2"/>
      <c r="H25" s="6">
        <v>3504.01</v>
      </c>
      <c r="I25" s="2"/>
      <c r="J25" s="7">
        <f t="shared" si="13"/>
        <v>3.2517056093803273E-2</v>
      </c>
      <c r="K25" s="2"/>
      <c r="L25" s="6">
        <f t="shared" si="14"/>
        <v>1276.8000000000002</v>
      </c>
      <c r="M25" s="2"/>
      <c r="N25" s="7">
        <f t="shared" si="15"/>
        <v>0.36438252173937863</v>
      </c>
      <c r="O25" s="11"/>
      <c r="P25" s="6">
        <v>25389.62</v>
      </c>
      <c r="Q25" s="2"/>
      <c r="R25" s="7">
        <f t="shared" si="16"/>
        <v>1.0667670095310231E-2</v>
      </c>
      <c r="S25" s="2"/>
      <c r="T25" s="6">
        <v>18372.82</v>
      </c>
      <c r="U25" s="2"/>
      <c r="V25" s="7">
        <f t="shared" si="17"/>
        <v>3.4822146791503764E-2</v>
      </c>
      <c r="W25" s="2"/>
      <c r="X25" s="6">
        <f t="shared" si="18"/>
        <v>7016.7999999999993</v>
      </c>
      <c r="Y25" s="2"/>
      <c r="Z25" s="7">
        <f t="shared" si="19"/>
        <v>0.38191197649571484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3295.26</v>
      </c>
      <c r="E26" s="2"/>
      <c r="F26" s="7">
        <f t="shared" si="12"/>
        <v>5.1499352143945009E-3</v>
      </c>
      <c r="G26" s="2"/>
      <c r="H26" s="6">
        <v>4448.62</v>
      </c>
      <c r="I26" s="2"/>
      <c r="J26" s="7">
        <f t="shared" si="13"/>
        <v>4.128299464899219E-2</v>
      </c>
      <c r="K26" s="2"/>
      <c r="L26" s="6">
        <f t="shared" si="14"/>
        <v>-1153.3599999999997</v>
      </c>
      <c r="M26" s="2"/>
      <c r="N26" s="7">
        <f t="shared" si="15"/>
        <v>-0.259262422953635</v>
      </c>
      <c r="O26" s="11"/>
      <c r="P26" s="6">
        <v>14870.93</v>
      </c>
      <c r="Q26" s="2"/>
      <c r="R26" s="7">
        <f t="shared" si="16"/>
        <v>6.2481508289786054E-3</v>
      </c>
      <c r="S26" s="2"/>
      <c r="T26" s="6">
        <v>12742.13</v>
      </c>
      <c r="U26" s="2"/>
      <c r="V26" s="7">
        <f t="shared" si="17"/>
        <v>2.4150256808504293E-2</v>
      </c>
      <c r="W26" s="2"/>
      <c r="X26" s="6">
        <f t="shared" si="18"/>
        <v>2128.8000000000011</v>
      </c>
      <c r="Y26" s="2"/>
      <c r="Z26" s="7">
        <f t="shared" si="19"/>
        <v>0.16706782931896011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>
        <v>15256.21</v>
      </c>
      <c r="E27" s="2"/>
      <c r="F27" s="7">
        <f t="shared" si="12"/>
        <v>2.3842881325660956E-2</v>
      </c>
      <c r="G27" s="2"/>
      <c r="H27" s="6">
        <v>17824.95</v>
      </c>
      <c r="I27" s="2"/>
      <c r="J27" s="7">
        <f t="shared" si="13"/>
        <v>0.16541473883329061</v>
      </c>
      <c r="K27" s="2"/>
      <c r="L27" s="6">
        <f t="shared" si="14"/>
        <v>-2568.7400000000016</v>
      </c>
      <c r="M27" s="2"/>
      <c r="N27" s="7">
        <f t="shared" si="15"/>
        <v>-0.1441092401381211</v>
      </c>
      <c r="O27" s="11"/>
      <c r="P27" s="6">
        <v>77305.23</v>
      </c>
      <c r="Q27" s="2"/>
      <c r="R27" s="7">
        <f t="shared" si="16"/>
        <v>3.2480466044079406E-2</v>
      </c>
      <c r="S27" s="2"/>
      <c r="T27" s="6">
        <v>85178.85</v>
      </c>
      <c r="U27" s="2"/>
      <c r="V27" s="7">
        <f t="shared" si="17"/>
        <v>0.1614401283108135</v>
      </c>
      <c r="W27" s="2"/>
      <c r="X27" s="6">
        <f t="shared" si="18"/>
        <v>-7873.6200000000099</v>
      </c>
      <c r="Y27" s="2"/>
      <c r="Z27" s="7">
        <f t="shared" si="19"/>
        <v>-9.2436326623334425E-2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237.99</v>
      </c>
      <c r="E28" s="2"/>
      <c r="F28" s="7">
        <f t="shared" si="12"/>
        <v>3.7193820265282474E-4</v>
      </c>
      <c r="G28" s="2"/>
      <c r="H28" s="6">
        <v>269.61</v>
      </c>
      <c r="I28" s="2"/>
      <c r="J28" s="7">
        <f t="shared" si="13"/>
        <v>2.5019687425122364E-3</v>
      </c>
      <c r="K28" s="2"/>
      <c r="L28" s="6">
        <f t="shared" si="14"/>
        <v>-31.620000000000005</v>
      </c>
      <c r="M28" s="2"/>
      <c r="N28" s="7">
        <f t="shared" si="15"/>
        <v>-0.11728051630132415</v>
      </c>
      <c r="O28" s="11"/>
      <c r="P28" s="6">
        <v>1074</v>
      </c>
      <c r="Q28" s="2"/>
      <c r="R28" s="7">
        <f t="shared" si="16"/>
        <v>4.5125045913893899E-4</v>
      </c>
      <c r="S28" s="2"/>
      <c r="T28" s="6">
        <v>844.37</v>
      </c>
      <c r="U28" s="2"/>
      <c r="V28" s="7">
        <f t="shared" si="17"/>
        <v>1.6003409431073745E-3</v>
      </c>
      <c r="W28" s="2"/>
      <c r="X28" s="6">
        <f t="shared" si="18"/>
        <v>229.63</v>
      </c>
      <c r="Y28" s="2"/>
      <c r="Z28" s="7">
        <f t="shared" si="19"/>
        <v>0.27195423807098784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>
        <v>1432.43</v>
      </c>
      <c r="E29" s="2"/>
      <c r="F29" s="7">
        <f t="shared" si="12"/>
        <v>2.2386463281061633E-3</v>
      </c>
      <c r="G29" s="2"/>
      <c r="H29" s="6">
        <v>1757.2</v>
      </c>
      <c r="I29" s="2"/>
      <c r="J29" s="7">
        <f t="shared" si="13"/>
        <v>1.6306737414571053E-2</v>
      </c>
      <c r="K29" s="2"/>
      <c r="L29" s="6">
        <f t="shared" si="14"/>
        <v>-324.77</v>
      </c>
      <c r="M29" s="2"/>
      <c r="N29" s="7">
        <f t="shared" si="15"/>
        <v>-0.18482244479854312</v>
      </c>
      <c r="O29" s="11"/>
      <c r="P29" s="6">
        <v>7887.68</v>
      </c>
      <c r="Q29" s="2"/>
      <c r="R29" s="7">
        <f t="shared" si="16"/>
        <v>3.3140774874683672E-3</v>
      </c>
      <c r="S29" s="2"/>
      <c r="T29" s="6">
        <v>8082.81</v>
      </c>
      <c r="U29" s="2"/>
      <c r="V29" s="7">
        <f t="shared" si="17"/>
        <v>1.5319411843572982E-2</v>
      </c>
      <c r="W29" s="2"/>
      <c r="X29" s="6">
        <f t="shared" si="18"/>
        <v>-195.13000000000011</v>
      </c>
      <c r="Y29" s="2"/>
      <c r="Z29" s="7">
        <f t="shared" si="19"/>
        <v>-2.4141356780624571E-2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344.78</v>
      </c>
      <c r="E30" s="2"/>
      <c r="F30" s="7">
        <f t="shared" si="12"/>
        <v>5.3883294890810915E-4</v>
      </c>
      <c r="G30" s="2"/>
      <c r="H30" s="6">
        <v>465.32</v>
      </c>
      <c r="I30" s="2"/>
      <c r="J30" s="7">
        <f t="shared" si="13"/>
        <v>4.3181487899773517E-3</v>
      </c>
      <c r="K30" s="2"/>
      <c r="L30" s="6">
        <f t="shared" si="14"/>
        <v>-120.54000000000002</v>
      </c>
      <c r="M30" s="2"/>
      <c r="N30" s="7">
        <f t="shared" si="15"/>
        <v>-0.25904753717871576</v>
      </c>
      <c r="O30" s="11"/>
      <c r="P30" s="6">
        <v>2236.96</v>
      </c>
      <c r="Q30" s="2"/>
      <c r="R30" s="7">
        <f t="shared" si="16"/>
        <v>9.3987823750041062E-4</v>
      </c>
      <c r="S30" s="2"/>
      <c r="T30" s="6">
        <v>2767.59</v>
      </c>
      <c r="U30" s="2"/>
      <c r="V30" s="7">
        <f t="shared" si="17"/>
        <v>5.24543457339145E-3</v>
      </c>
      <c r="W30" s="2"/>
      <c r="X30" s="6">
        <f t="shared" si="18"/>
        <v>-530.63000000000011</v>
      </c>
      <c r="Y30" s="2"/>
      <c r="Z30" s="7">
        <f t="shared" si="19"/>
        <v>-0.19172998890731649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>
        <v>2493.56</v>
      </c>
      <c r="E31" s="2"/>
      <c r="F31" s="7">
        <f t="shared" si="12"/>
        <v>3.8970134232823969E-3</v>
      </c>
      <c r="G31" s="2"/>
      <c r="H31" s="6">
        <v>2606.96</v>
      </c>
      <c r="I31" s="2"/>
      <c r="J31" s="7">
        <f t="shared" si="13"/>
        <v>2.4192472211637919E-2</v>
      </c>
      <c r="K31" s="2"/>
      <c r="L31" s="6">
        <f t="shared" si="14"/>
        <v>-113.40000000000009</v>
      </c>
      <c r="M31" s="2"/>
      <c r="N31" s="7">
        <f t="shared" si="15"/>
        <v>-4.349894129560871E-2</v>
      </c>
      <c r="O31" s="11"/>
      <c r="P31" s="6">
        <v>13399.3</v>
      </c>
      <c r="Q31" s="2"/>
      <c r="R31" s="7">
        <f t="shared" si="16"/>
        <v>5.6298326602796881E-3</v>
      </c>
      <c r="S31" s="2"/>
      <c r="T31" s="6">
        <v>13425.98</v>
      </c>
      <c r="U31" s="2"/>
      <c r="V31" s="7">
        <f t="shared" si="17"/>
        <v>2.5446362963322651E-2</v>
      </c>
      <c r="W31" s="2"/>
      <c r="X31" s="6">
        <f t="shared" si="18"/>
        <v>-26.680000000000291</v>
      </c>
      <c r="Y31" s="2"/>
      <c r="Z31" s="7">
        <f t="shared" si="19"/>
        <v>-1.9871919964129466E-3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>
        <v>1753.35</v>
      </c>
      <c r="E32" s="2"/>
      <c r="F32" s="7">
        <f t="shared" si="12"/>
        <v>2.7401901240444145E-3</v>
      </c>
      <c r="G32" s="2"/>
      <c r="H32" s="6">
        <v>1633.22</v>
      </c>
      <c r="I32" s="2"/>
      <c r="J32" s="7">
        <f t="shared" si="13"/>
        <v>1.5156208559199712E-2</v>
      </c>
      <c r="K32" s="2"/>
      <c r="L32" s="6">
        <f t="shared" si="14"/>
        <v>120.12999999999988</v>
      </c>
      <c r="M32" s="2"/>
      <c r="N32" s="7">
        <f t="shared" si="15"/>
        <v>7.3554083344558527E-2</v>
      </c>
      <c r="O32" s="11"/>
      <c r="P32" s="6">
        <v>9250</v>
      </c>
      <c r="Q32" s="2"/>
      <c r="R32" s="7">
        <f t="shared" si="16"/>
        <v>3.8864681071091116E-3</v>
      </c>
      <c r="S32" s="2"/>
      <c r="T32" s="6">
        <v>8432.5400000000009</v>
      </c>
      <c r="U32" s="2"/>
      <c r="V32" s="7">
        <f t="shared" si="17"/>
        <v>1.5982257797400028E-2</v>
      </c>
      <c r="W32" s="2"/>
      <c r="X32" s="6">
        <f t="shared" si="18"/>
        <v>817.45999999999913</v>
      </c>
      <c r="Y32" s="2"/>
      <c r="Z32" s="7">
        <f t="shared" si="19"/>
        <v>9.6941135173980675E-2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1215.92</v>
      </c>
      <c r="E33" s="2"/>
      <c r="F33" s="7">
        <f t="shared" si="12"/>
        <v>1.9002777401135454E-3</v>
      </c>
      <c r="G33" s="2"/>
      <c r="H33" s="6">
        <v>941.67</v>
      </c>
      <c r="I33" s="2"/>
      <c r="J33" s="7">
        <f t="shared" si="13"/>
        <v>8.7386554866714788E-3</v>
      </c>
      <c r="K33" s="2"/>
      <c r="L33" s="6">
        <f t="shared" si="14"/>
        <v>274.25000000000011</v>
      </c>
      <c r="M33" s="2"/>
      <c r="N33" s="7">
        <f t="shared" si="15"/>
        <v>0.29123790712245279</v>
      </c>
      <c r="O33" s="11"/>
      <c r="P33" s="6">
        <v>5478.23</v>
      </c>
      <c r="Q33" s="2"/>
      <c r="R33" s="7">
        <f t="shared" si="16"/>
        <v>2.3017260733414428E-3</v>
      </c>
      <c r="S33" s="2"/>
      <c r="T33" s="6">
        <v>4235.07</v>
      </c>
      <c r="U33" s="2"/>
      <c r="V33" s="7">
        <f t="shared" si="17"/>
        <v>8.0267606830249152E-3</v>
      </c>
      <c r="W33" s="2"/>
      <c r="X33" s="6">
        <f t="shared" si="18"/>
        <v>1243.1599999999999</v>
      </c>
      <c r="Y33" s="2"/>
      <c r="Z33" s="7">
        <f t="shared" si="19"/>
        <v>0.29353942201663724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92085.890000000014</v>
      </c>
      <c r="E34" s="1"/>
      <c r="F34" s="5">
        <f t="shared" ref="F34:F39" si="20">IF(D$12=0,0,D34/D$12)</f>
        <v>0.1439147040475891</v>
      </c>
      <c r="G34" s="1"/>
      <c r="H34" s="1">
        <f>SUM(OSRRefH22_1x_0)</f>
        <v>57552.08</v>
      </c>
      <c r="I34" s="1"/>
      <c r="J34" s="5">
        <f t="shared" ref="J34:J39" si="21">IF(H$12=0,0,H34/H$12)</f>
        <v>0.53408072855815292</v>
      </c>
      <c r="K34" s="1"/>
      <c r="L34" s="1">
        <f t="shared" ref="L34:L39" si="22">+D34-H34</f>
        <v>34533.810000000012</v>
      </c>
      <c r="M34" s="1"/>
      <c r="N34" s="5">
        <f t="shared" ref="N34:N39" si="23">IF(H34=0,0,L34/H34)</f>
        <v>0.60004451620167354</v>
      </c>
      <c r="O34" s="14"/>
      <c r="P34" s="1">
        <f>SUM(OSRRefP22_1x_0)</f>
        <v>447027.23</v>
      </c>
      <c r="Q34" s="1"/>
      <c r="R34" s="5">
        <f t="shared" ref="R34:R39" si="24">IF(P$12=0,0,P34/P$12)</f>
        <v>0.18782238620587344</v>
      </c>
      <c r="S34" s="1"/>
      <c r="T34" s="1">
        <f>SUM(OSRRefT22_1x_0)</f>
        <v>278874.39999999997</v>
      </c>
      <c r="U34" s="1"/>
      <c r="V34" s="5">
        <f t="shared" ref="V34:V39" si="25">IF(T$12=0,0,T34/T$12)</f>
        <v>0.5285527911987673</v>
      </c>
      <c r="W34" s="1"/>
      <c r="X34" s="1">
        <f t="shared" ref="X34:X39" si="26">+P34-T34</f>
        <v>168152.83000000002</v>
      </c>
      <c r="Y34" s="1"/>
      <c r="Z34" s="5">
        <f t="shared" ref="Z34:Z39" si="27">IF(T34=0,0,X34/T34)</f>
        <v>0.60296975986322177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>
        <v>14579.74</v>
      </c>
      <c r="E35" s="2"/>
      <c r="F35" s="7">
        <f t="shared" si="20"/>
        <v>2.2785672888547815E-2</v>
      </c>
      <c r="G35" s="2"/>
      <c r="H35" s="6">
        <v>10950.96</v>
      </c>
      <c r="I35" s="2"/>
      <c r="J35" s="7">
        <f t="shared" si="21"/>
        <v>0.1016244190515997</v>
      </c>
      <c r="K35" s="2"/>
      <c r="L35" s="6">
        <f t="shared" si="22"/>
        <v>3628.7800000000007</v>
      </c>
      <c r="M35" s="2"/>
      <c r="N35" s="7">
        <f t="shared" si="23"/>
        <v>0.33136638249066758</v>
      </c>
      <c r="O35" s="11"/>
      <c r="P35" s="6">
        <v>88988.68</v>
      </c>
      <c r="Q35" s="2"/>
      <c r="R35" s="7">
        <f t="shared" si="24"/>
        <v>3.7389369374458206E-2</v>
      </c>
      <c r="S35" s="2"/>
      <c r="T35" s="6">
        <v>73744.070000000007</v>
      </c>
      <c r="U35" s="2"/>
      <c r="V35" s="7">
        <f t="shared" si="25"/>
        <v>0.13976770199364763</v>
      </c>
      <c r="W35" s="2"/>
      <c r="X35" s="6">
        <f t="shared" si="26"/>
        <v>15244.609999999986</v>
      </c>
      <c r="Y35" s="2"/>
      <c r="Z35" s="7">
        <f t="shared" si="27"/>
        <v>0.20672319821783616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6">
        <v>31684.03</v>
      </c>
      <c r="E36" s="2"/>
      <c r="F36" s="7">
        <f t="shared" si="20"/>
        <v>4.9516791339964616E-2</v>
      </c>
      <c r="G36" s="2"/>
      <c r="H36" s="6">
        <v>16729.490000000002</v>
      </c>
      <c r="I36" s="2"/>
      <c r="J36" s="7">
        <f t="shared" si="21"/>
        <v>0.15524891902440946</v>
      </c>
      <c r="K36" s="2"/>
      <c r="L36" s="6">
        <f t="shared" si="22"/>
        <v>14954.539999999997</v>
      </c>
      <c r="M36" s="2"/>
      <c r="N36" s="7">
        <f t="shared" si="23"/>
        <v>0.89390292232458946</v>
      </c>
      <c r="O36" s="11"/>
      <c r="P36" s="6">
        <v>151863.71</v>
      </c>
      <c r="Q36" s="2"/>
      <c r="R36" s="7">
        <f t="shared" si="24"/>
        <v>6.3806861139704546E-2</v>
      </c>
      <c r="S36" s="2"/>
      <c r="T36" s="6">
        <v>86583.42</v>
      </c>
      <c r="U36" s="2"/>
      <c r="V36" s="7">
        <f t="shared" si="25"/>
        <v>0.16410222061449592</v>
      </c>
      <c r="W36" s="2"/>
      <c r="X36" s="6">
        <f t="shared" si="26"/>
        <v>65280.289999999994</v>
      </c>
      <c r="Y36" s="2"/>
      <c r="Z36" s="7">
        <f t="shared" si="27"/>
        <v>0.75395832135066965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12002.98</v>
      </c>
      <c r="E37" s="2"/>
      <c r="F37" s="7">
        <f t="shared" si="20"/>
        <v>1.8758631907549905E-2</v>
      </c>
      <c r="G37" s="2"/>
      <c r="H37" s="6">
        <v>12819.28</v>
      </c>
      <c r="I37" s="2"/>
      <c r="J37" s="7">
        <f t="shared" si="21"/>
        <v>0.11896234509666652</v>
      </c>
      <c r="K37" s="2"/>
      <c r="L37" s="6">
        <f t="shared" si="22"/>
        <v>-816.30000000000109</v>
      </c>
      <c r="M37" s="2"/>
      <c r="N37" s="7">
        <f t="shared" si="23"/>
        <v>-6.3677523230633942E-2</v>
      </c>
      <c r="O37" s="11"/>
      <c r="P37" s="6">
        <v>93662.97</v>
      </c>
      <c r="Q37" s="2"/>
      <c r="R37" s="7">
        <f t="shared" si="24"/>
        <v>3.9353313051039729E-2</v>
      </c>
      <c r="S37" s="2"/>
      <c r="T37" s="6">
        <v>50543.09</v>
      </c>
      <c r="U37" s="2"/>
      <c r="V37" s="7">
        <f t="shared" si="25"/>
        <v>9.5794706489052084E-2</v>
      </c>
      <c r="W37" s="2"/>
      <c r="X37" s="6">
        <f t="shared" si="26"/>
        <v>43119.880000000005</v>
      </c>
      <c r="Y37" s="2"/>
      <c r="Z37" s="7">
        <f t="shared" si="27"/>
        <v>0.85313106104118308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23160.1</v>
      </c>
      <c r="E38" s="2"/>
      <c r="F38" s="7">
        <f t="shared" si="20"/>
        <v>3.6195327397200244E-2</v>
      </c>
      <c r="G38" s="2"/>
      <c r="H38" s="6">
        <v>15212.46</v>
      </c>
      <c r="I38" s="2"/>
      <c r="J38" s="7">
        <f t="shared" si="21"/>
        <v>0.14117094846896514</v>
      </c>
      <c r="K38" s="2"/>
      <c r="L38" s="6">
        <f t="shared" si="22"/>
        <v>7947.6399999999994</v>
      </c>
      <c r="M38" s="2"/>
      <c r="N38" s="7">
        <f t="shared" si="23"/>
        <v>0.52244278703115732</v>
      </c>
      <c r="O38" s="11"/>
      <c r="P38" s="6">
        <v>91903.31</v>
      </c>
      <c r="Q38" s="2"/>
      <c r="R38" s="7">
        <f t="shared" si="24"/>
        <v>3.8613976567866151E-2</v>
      </c>
      <c r="S38" s="2"/>
      <c r="T38" s="6">
        <v>58468.97</v>
      </c>
      <c r="U38" s="2"/>
      <c r="V38" s="7">
        <f t="shared" si="25"/>
        <v>0.11081668769889597</v>
      </c>
      <c r="W38" s="2"/>
      <c r="X38" s="6">
        <f t="shared" si="26"/>
        <v>33434.339999999997</v>
      </c>
      <c r="Y38" s="2"/>
      <c r="Z38" s="7">
        <f t="shared" si="27"/>
        <v>0.5718304940210166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10659.04</v>
      </c>
      <c r="E39" s="2"/>
      <c r="F39" s="7">
        <f t="shared" si="20"/>
        <v>1.6658280514326506E-2</v>
      </c>
      <c r="G39" s="2"/>
      <c r="H39" s="6">
        <v>1839.89</v>
      </c>
      <c r="I39" s="2"/>
      <c r="J39" s="7">
        <f t="shared" si="21"/>
        <v>1.7074096916512141E-2</v>
      </c>
      <c r="K39" s="2"/>
      <c r="L39" s="6">
        <f t="shared" si="22"/>
        <v>8819.1500000000015</v>
      </c>
      <c r="M39" s="2"/>
      <c r="N39" s="7">
        <f t="shared" si="23"/>
        <v>4.7933028604970955</v>
      </c>
      <c r="O39" s="11"/>
      <c r="P39" s="6">
        <v>20608.560000000001</v>
      </c>
      <c r="Q39" s="2"/>
      <c r="R39" s="7">
        <f t="shared" si="24"/>
        <v>8.6588660728048172E-3</v>
      </c>
      <c r="S39" s="2"/>
      <c r="T39" s="6">
        <v>9534.85</v>
      </c>
      <c r="U39" s="2"/>
      <c r="V39" s="7">
        <f t="shared" si="25"/>
        <v>1.8071474402675782E-2</v>
      </c>
      <c r="W39" s="2"/>
      <c r="X39" s="6">
        <f t="shared" si="26"/>
        <v>11073.710000000001</v>
      </c>
      <c r="Y39" s="2"/>
      <c r="Z39" s="7">
        <f t="shared" si="27"/>
        <v>1.1613932049271882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58" si="28">IF(D$12=0,0,D40/D$12)</f>
        <v>0</v>
      </c>
      <c r="G40" s="1"/>
      <c r="H40" s="1">
        <f>SUM(OSRRefH22_2x_0)</f>
        <v>0</v>
      </c>
      <c r="I40" s="1"/>
      <c r="J40" s="5">
        <f t="shared" ref="J40:J58" si="29">IF(H$12=0,0,H40/H$12)</f>
        <v>0</v>
      </c>
      <c r="K40" s="1"/>
      <c r="L40" s="1">
        <f t="shared" ref="L40:L58" si="30">+D40-H40</f>
        <v>0</v>
      </c>
      <c r="M40" s="1"/>
      <c r="N40" s="5">
        <f t="shared" ref="N40:N58" si="31">IF(H40=0,0,L40/H40)</f>
        <v>0</v>
      </c>
      <c r="O40" s="14"/>
      <c r="P40" s="1">
        <f>SUM(OSRRefP22_2x_0)</f>
        <v>955.26</v>
      </c>
      <c r="Q40" s="1"/>
      <c r="R40" s="5">
        <f t="shared" ref="R40:R58" si="32">IF(P$12=0,0,P40/P$12)</f>
        <v>4.0136081340508647E-4</v>
      </c>
      <c r="S40" s="1"/>
      <c r="T40" s="1">
        <f>SUM(OSRRefT22_2x_0)</f>
        <v>1224.25</v>
      </c>
      <c r="U40" s="1"/>
      <c r="V40" s="5">
        <f t="shared" ref="V40:V58" si="33">IF(T$12=0,0,T40/T$12)</f>
        <v>2.3203304233916449E-3</v>
      </c>
      <c r="W40" s="1"/>
      <c r="X40" s="1">
        <f t="shared" ref="X40:X58" si="34">+P40-T40</f>
        <v>-268.99</v>
      </c>
      <c r="Y40" s="1"/>
      <c r="Z40" s="5">
        <f t="shared" ref="Z40:Z58" si="35">IF(T40=0,0,X40/T40)</f>
        <v>-0.21971819481315091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28"/>
        <v>0</v>
      </c>
      <c r="G41" s="2"/>
      <c r="H41" s="6"/>
      <c r="I41" s="2"/>
      <c r="J41" s="7">
        <f t="shared" si="29"/>
        <v>0</v>
      </c>
      <c r="K41" s="2"/>
      <c r="L41" s="6">
        <f t="shared" si="30"/>
        <v>0</v>
      </c>
      <c r="M41" s="2"/>
      <c r="N41" s="7">
        <f t="shared" si="31"/>
        <v>0</v>
      </c>
      <c r="O41" s="11"/>
      <c r="P41" s="6">
        <v>955.26</v>
      </c>
      <c r="Q41" s="2"/>
      <c r="R41" s="7">
        <f t="shared" si="32"/>
        <v>4.0136081340508647E-4</v>
      </c>
      <c r="S41" s="2"/>
      <c r="T41" s="6">
        <v>1224.25</v>
      </c>
      <c r="U41" s="2"/>
      <c r="V41" s="7">
        <f t="shared" si="33"/>
        <v>2.3203304233916449E-3</v>
      </c>
      <c r="W41" s="2"/>
      <c r="X41" s="6">
        <f t="shared" si="34"/>
        <v>-268.99</v>
      </c>
      <c r="Y41" s="2"/>
      <c r="Z41" s="7">
        <f t="shared" si="35"/>
        <v>-0.21971819481315091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28"/>
        <v>0</v>
      </c>
      <c r="G42" s="1"/>
      <c r="H42" s="1">
        <f>SUM(OSRRefH22_3x_0)</f>
        <v>0</v>
      </c>
      <c r="I42" s="1"/>
      <c r="J42" s="5">
        <f t="shared" si="29"/>
        <v>0</v>
      </c>
      <c r="K42" s="1"/>
      <c r="L42" s="1">
        <f t="shared" si="30"/>
        <v>0</v>
      </c>
      <c r="M42" s="1"/>
      <c r="N42" s="5">
        <f t="shared" si="31"/>
        <v>0</v>
      </c>
      <c r="O42" s="14"/>
      <c r="P42" s="1">
        <f>SUM(OSRRefP22_3x_0)</f>
        <v>0</v>
      </c>
      <c r="Q42" s="1"/>
      <c r="R42" s="5">
        <f t="shared" si="32"/>
        <v>0</v>
      </c>
      <c r="S42" s="1"/>
      <c r="T42" s="1">
        <f>SUM(OSRRefT22_3x_0)</f>
        <v>40</v>
      </c>
      <c r="U42" s="1"/>
      <c r="V42" s="5">
        <f t="shared" si="33"/>
        <v>7.5812307074262446E-5</v>
      </c>
      <c r="W42" s="1"/>
      <c r="X42" s="1">
        <f t="shared" si="34"/>
        <v>-40</v>
      </c>
      <c r="Y42" s="1"/>
      <c r="Z42" s="5">
        <f t="shared" si="35"/>
        <v>-1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28"/>
        <v>0</v>
      </c>
      <c r="G43" s="2"/>
      <c r="H43" s="6"/>
      <c r="I43" s="2"/>
      <c r="J43" s="7">
        <f t="shared" si="29"/>
        <v>0</v>
      </c>
      <c r="K43" s="2"/>
      <c r="L43" s="6">
        <f t="shared" si="30"/>
        <v>0</v>
      </c>
      <c r="M43" s="2"/>
      <c r="N43" s="7">
        <f t="shared" si="31"/>
        <v>0</v>
      </c>
      <c r="O43" s="11"/>
      <c r="P43" s="6"/>
      <c r="Q43" s="2"/>
      <c r="R43" s="7">
        <f t="shared" si="32"/>
        <v>0</v>
      </c>
      <c r="S43" s="2"/>
      <c r="T43" s="6">
        <v>40</v>
      </c>
      <c r="U43" s="2"/>
      <c r="V43" s="7">
        <f t="shared" si="33"/>
        <v>7.5812307074262446E-5</v>
      </c>
      <c r="W43" s="2"/>
      <c r="X43" s="6">
        <f t="shared" si="34"/>
        <v>-40</v>
      </c>
      <c r="Y43" s="2"/>
      <c r="Z43" s="7">
        <f t="shared" si="35"/>
        <v>-1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41.17</v>
      </c>
      <c r="E44" s="1"/>
      <c r="F44" s="5">
        <f t="shared" si="28"/>
        <v>6.4341761432063518E-5</v>
      </c>
      <c r="G44" s="1"/>
      <c r="H44" s="1">
        <f>SUM(OSRRefH22_4x_0)</f>
        <v>10.17</v>
      </c>
      <c r="I44" s="1"/>
      <c r="J44" s="5">
        <f t="shared" si="29"/>
        <v>9.437714517766196E-5</v>
      </c>
      <c r="K44" s="1"/>
      <c r="L44" s="1">
        <f t="shared" si="30"/>
        <v>31</v>
      </c>
      <c r="M44" s="1"/>
      <c r="N44" s="5">
        <f t="shared" si="31"/>
        <v>3.0481809242871192</v>
      </c>
      <c r="O44" s="14"/>
      <c r="P44" s="1">
        <f>SUM(OSRRefP22_4x_0)</f>
        <v>264.31</v>
      </c>
      <c r="Q44" s="1"/>
      <c r="R44" s="5">
        <f t="shared" si="32"/>
        <v>1.1105214977189289E-4</v>
      </c>
      <c r="S44" s="1"/>
      <c r="T44" s="1">
        <f>SUM(OSRRefT22_4x_0)</f>
        <v>10.17</v>
      </c>
      <c r="U44" s="1"/>
      <c r="V44" s="5">
        <f t="shared" si="33"/>
        <v>1.9275279073631226E-5</v>
      </c>
      <c r="W44" s="1"/>
      <c r="X44" s="1">
        <f t="shared" si="34"/>
        <v>254.14000000000001</v>
      </c>
      <c r="Y44" s="1"/>
      <c r="Z44" s="5">
        <f t="shared" si="35"/>
        <v>24.989183874139627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41.17</v>
      </c>
      <c r="E45" s="2"/>
      <c r="F45" s="7">
        <f t="shared" si="28"/>
        <v>6.4341761432063518E-5</v>
      </c>
      <c r="G45" s="2"/>
      <c r="H45" s="6">
        <v>10.17</v>
      </c>
      <c r="I45" s="2"/>
      <c r="J45" s="7">
        <f t="shared" si="29"/>
        <v>9.437714517766196E-5</v>
      </c>
      <c r="K45" s="2"/>
      <c r="L45" s="6">
        <f t="shared" si="30"/>
        <v>31</v>
      </c>
      <c r="M45" s="2"/>
      <c r="N45" s="7">
        <f t="shared" si="31"/>
        <v>3.0481809242871192</v>
      </c>
      <c r="O45" s="11"/>
      <c r="P45" s="6">
        <v>264.31</v>
      </c>
      <c r="Q45" s="2"/>
      <c r="R45" s="7">
        <f t="shared" si="32"/>
        <v>1.1105214977189289E-4</v>
      </c>
      <c r="S45" s="2"/>
      <c r="T45" s="6">
        <v>10.17</v>
      </c>
      <c r="U45" s="2"/>
      <c r="V45" s="7">
        <f t="shared" si="33"/>
        <v>1.9275279073631226E-5</v>
      </c>
      <c r="W45" s="2"/>
      <c r="X45" s="6">
        <f t="shared" si="34"/>
        <v>254.14000000000001</v>
      </c>
      <c r="Y45" s="2"/>
      <c r="Z45" s="7">
        <f t="shared" si="35"/>
        <v>24.989183874139627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273.51</v>
      </c>
      <c r="E46" s="1"/>
      <c r="F46" s="5">
        <f t="shared" si="28"/>
        <v>4.2744996767752464E-4</v>
      </c>
      <c r="G46" s="1"/>
      <c r="H46" s="1">
        <f>SUM(OSRRefH22_5x_0)</f>
        <v>272.74</v>
      </c>
      <c r="I46" s="1"/>
      <c r="J46" s="5">
        <f t="shared" si="29"/>
        <v>2.5310150025325E-3</v>
      </c>
      <c r="K46" s="1"/>
      <c r="L46" s="1">
        <f t="shared" si="30"/>
        <v>0.76999999999998181</v>
      </c>
      <c r="M46" s="1"/>
      <c r="N46" s="5">
        <f t="shared" si="31"/>
        <v>2.8232015839260165E-3</v>
      </c>
      <c r="O46" s="14"/>
      <c r="P46" s="1">
        <f>SUM(OSRRefP22_5x_0)</f>
        <v>1367.55</v>
      </c>
      <c r="Q46" s="1"/>
      <c r="R46" s="5">
        <f t="shared" si="32"/>
        <v>5.7458804971643952E-4</v>
      </c>
      <c r="S46" s="1"/>
      <c r="T46" s="1">
        <f>SUM(OSRRefT22_5x_0)</f>
        <v>1099.48</v>
      </c>
      <c r="U46" s="1"/>
      <c r="V46" s="5">
        <f t="shared" si="33"/>
        <v>2.0838528845502518E-3</v>
      </c>
      <c r="W46" s="1"/>
      <c r="X46" s="1">
        <f t="shared" si="34"/>
        <v>268.06999999999994</v>
      </c>
      <c r="Y46" s="1"/>
      <c r="Z46" s="5">
        <f t="shared" si="35"/>
        <v>0.24381525812202126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273.51</v>
      </c>
      <c r="E47" s="2"/>
      <c r="F47" s="7">
        <f t="shared" si="28"/>
        <v>4.2744996767752464E-4</v>
      </c>
      <c r="G47" s="2"/>
      <c r="H47" s="6">
        <v>272.74</v>
      </c>
      <c r="I47" s="2"/>
      <c r="J47" s="7">
        <f t="shared" si="29"/>
        <v>2.5310150025325E-3</v>
      </c>
      <c r="K47" s="2"/>
      <c r="L47" s="6">
        <f t="shared" si="30"/>
        <v>0.76999999999998181</v>
      </c>
      <c r="M47" s="2"/>
      <c r="N47" s="7">
        <f t="shared" si="31"/>
        <v>2.8232015839260165E-3</v>
      </c>
      <c r="O47" s="11"/>
      <c r="P47" s="6">
        <v>1367.55</v>
      </c>
      <c r="Q47" s="2"/>
      <c r="R47" s="7">
        <f t="shared" si="32"/>
        <v>5.7458804971643952E-4</v>
      </c>
      <c r="S47" s="2"/>
      <c r="T47" s="6">
        <v>1099.48</v>
      </c>
      <c r="U47" s="2"/>
      <c r="V47" s="7">
        <f t="shared" si="33"/>
        <v>2.0838528845502518E-3</v>
      </c>
      <c r="W47" s="2"/>
      <c r="X47" s="6">
        <f t="shared" si="34"/>
        <v>268.06999999999994</v>
      </c>
      <c r="Y47" s="2"/>
      <c r="Z47" s="7">
        <f t="shared" si="35"/>
        <v>0.24381525812202126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2781.64</v>
      </c>
      <c r="E48" s="1"/>
      <c r="F48" s="5">
        <f t="shared" si="28"/>
        <v>4.3472338418723616E-3</v>
      </c>
      <c r="G48" s="1"/>
      <c r="H48" s="1">
        <f>SUM(OSRRefH22_6x_0)</f>
        <v>7935.78</v>
      </c>
      <c r="I48" s="1"/>
      <c r="J48" s="5">
        <f t="shared" si="29"/>
        <v>7.3643683496360496E-2</v>
      </c>
      <c r="K48" s="1"/>
      <c r="L48" s="1">
        <f t="shared" si="30"/>
        <v>-5154.1399999999994</v>
      </c>
      <c r="M48" s="1"/>
      <c r="N48" s="5">
        <f t="shared" si="31"/>
        <v>-0.64948121041661933</v>
      </c>
      <c r="O48" s="14"/>
      <c r="P48" s="1">
        <f>SUM(OSRRefP22_6x_0)</f>
        <v>10662.96</v>
      </c>
      <c r="Q48" s="1"/>
      <c r="R48" s="5">
        <f t="shared" si="32"/>
        <v>4.4801355640410991E-3</v>
      </c>
      <c r="S48" s="1"/>
      <c r="T48" s="1">
        <f>SUM(OSRRefT22_6x_0)</f>
        <v>30155.96</v>
      </c>
      <c r="U48" s="1"/>
      <c r="V48" s="5">
        <f t="shared" si="33"/>
        <v>5.7154822490979383E-2</v>
      </c>
      <c r="W48" s="1"/>
      <c r="X48" s="1">
        <f t="shared" si="34"/>
        <v>-19493</v>
      </c>
      <c r="Y48" s="1"/>
      <c r="Z48" s="5">
        <f t="shared" si="35"/>
        <v>-0.64640621621729177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6">
        <v>2781.64</v>
      </c>
      <c r="E49" s="2"/>
      <c r="F49" s="7">
        <f t="shared" si="28"/>
        <v>4.3472338418723616E-3</v>
      </c>
      <c r="G49" s="2"/>
      <c r="H49" s="6">
        <v>7935.78</v>
      </c>
      <c r="I49" s="2"/>
      <c r="J49" s="7">
        <f t="shared" si="29"/>
        <v>7.3643683496360496E-2</v>
      </c>
      <c r="K49" s="2"/>
      <c r="L49" s="6">
        <f t="shared" si="30"/>
        <v>-5154.1399999999994</v>
      </c>
      <c r="M49" s="2"/>
      <c r="N49" s="7">
        <f t="shared" si="31"/>
        <v>-0.64948121041661933</v>
      </c>
      <c r="O49" s="11"/>
      <c r="P49" s="6">
        <v>10662.96</v>
      </c>
      <c r="Q49" s="2"/>
      <c r="R49" s="7">
        <f t="shared" si="32"/>
        <v>4.4801355640410991E-3</v>
      </c>
      <c r="S49" s="2"/>
      <c r="T49" s="6">
        <v>30155.96</v>
      </c>
      <c r="U49" s="2"/>
      <c r="V49" s="7">
        <f t="shared" si="33"/>
        <v>5.7154822490979383E-2</v>
      </c>
      <c r="W49" s="2"/>
      <c r="X49" s="6">
        <f t="shared" si="34"/>
        <v>-19493</v>
      </c>
      <c r="Y49" s="2"/>
      <c r="Z49" s="7">
        <f t="shared" si="35"/>
        <v>-0.64640621621729177</v>
      </c>
    </row>
    <row r="50" spans="1:26" s="29" customFormat="1" outlineLevel="1" collapsed="1" x14ac:dyDescent="0.3">
      <c r="A50" s="28"/>
      <c r="B50" s="14" t="str">
        <f>CONCATENATE("     ","Equipment Rental                                  ")</f>
        <v xml:space="preserve">     Equipment Rental                                  </v>
      </c>
      <c r="C50" s="14"/>
      <c r="D50" s="1">
        <f>SUM(OSRRefD22_7x_0)</f>
        <v>135.26</v>
      </c>
      <c r="E50" s="1"/>
      <c r="F50" s="5">
        <f t="shared" si="28"/>
        <v>2.1138855116106169E-4</v>
      </c>
      <c r="G50" s="1"/>
      <c r="H50" s="1">
        <f>SUM(OSRRefH22_7x_0)</f>
        <v>129.26</v>
      </c>
      <c r="I50" s="1"/>
      <c r="J50" s="5">
        <f t="shared" si="29"/>
        <v>1.1995270192393889E-3</v>
      </c>
      <c r="K50" s="1"/>
      <c r="L50" s="1">
        <f t="shared" si="30"/>
        <v>6</v>
      </c>
      <c r="M50" s="1"/>
      <c r="N50" s="5">
        <f t="shared" si="31"/>
        <v>4.6418072102738669E-2</v>
      </c>
      <c r="O50" s="14"/>
      <c r="P50" s="1">
        <f>SUM(OSRRefP22_7x_0)</f>
        <v>1424.71</v>
      </c>
      <c r="Q50" s="1"/>
      <c r="R50" s="5">
        <f t="shared" si="32"/>
        <v>5.9860432182480246E-4</v>
      </c>
      <c r="S50" s="1"/>
      <c r="T50" s="1">
        <f>SUM(OSRRefT22_7x_0)</f>
        <v>1410.6</v>
      </c>
      <c r="U50" s="1"/>
      <c r="V50" s="5">
        <f t="shared" si="33"/>
        <v>2.6735210089738649E-3</v>
      </c>
      <c r="W50" s="1"/>
      <c r="X50" s="1">
        <f t="shared" si="34"/>
        <v>14.110000000000127</v>
      </c>
      <c r="Y50" s="1"/>
      <c r="Z50" s="5">
        <f t="shared" si="35"/>
        <v>1.0002835672763454E-2</v>
      </c>
    </row>
    <row r="51" spans="1:26" s="24" customFormat="1" hidden="1" outlineLevel="2" x14ac:dyDescent="0.3">
      <c r="A51" s="27"/>
      <c r="B51" s="11" t="str">
        <f>CONCATENATE("          ", "6351", " - ", "EQUIPMENT RENTAL")</f>
        <v xml:space="preserve">          6351 - EQUIPMENT RENTAL</v>
      </c>
      <c r="C51" s="11"/>
      <c r="D51" s="6">
        <v>135.26</v>
      </c>
      <c r="E51" s="2"/>
      <c r="F51" s="7">
        <f t="shared" si="28"/>
        <v>2.1138855116106169E-4</v>
      </c>
      <c r="G51" s="2"/>
      <c r="H51" s="6">
        <v>129.26</v>
      </c>
      <c r="I51" s="2"/>
      <c r="J51" s="7">
        <f t="shared" si="29"/>
        <v>1.1995270192393889E-3</v>
      </c>
      <c r="K51" s="2"/>
      <c r="L51" s="6">
        <f t="shared" si="30"/>
        <v>6</v>
      </c>
      <c r="M51" s="2"/>
      <c r="N51" s="7">
        <f t="shared" si="31"/>
        <v>4.6418072102738669E-2</v>
      </c>
      <c r="O51" s="11"/>
      <c r="P51" s="6">
        <v>1424.71</v>
      </c>
      <c r="Q51" s="2"/>
      <c r="R51" s="7">
        <f t="shared" si="32"/>
        <v>5.9860432182480246E-4</v>
      </c>
      <c r="S51" s="2"/>
      <c r="T51" s="6">
        <v>1410.6</v>
      </c>
      <c r="U51" s="2"/>
      <c r="V51" s="7">
        <f t="shared" si="33"/>
        <v>2.6735210089738649E-3</v>
      </c>
      <c r="W51" s="2"/>
      <c r="X51" s="6">
        <f t="shared" si="34"/>
        <v>14.110000000000127</v>
      </c>
      <c r="Y51" s="2"/>
      <c r="Z51" s="7">
        <f t="shared" si="35"/>
        <v>1.0002835672763454E-2</v>
      </c>
    </row>
    <row r="52" spans="1:26" s="29" customFormat="1" outlineLevel="1" collapsed="1" x14ac:dyDescent="0.3">
      <c r="A52" s="28"/>
      <c r="B52" s="14" t="str">
        <f>CONCATENATE("     ","General                                           ")</f>
        <v xml:space="preserve">     General                                           </v>
      </c>
      <c r="C52" s="14"/>
      <c r="D52" s="1">
        <f>SUM(OSRRefD22_8x_0)</f>
        <v>0</v>
      </c>
      <c r="E52" s="1"/>
      <c r="F52" s="5">
        <f t="shared" si="28"/>
        <v>0</v>
      </c>
      <c r="G52" s="1"/>
      <c r="H52" s="1">
        <f>SUM(OSRRefH22_8x_0)</f>
        <v>0</v>
      </c>
      <c r="I52" s="1"/>
      <c r="J52" s="5">
        <f t="shared" si="29"/>
        <v>0</v>
      </c>
      <c r="K52" s="1"/>
      <c r="L52" s="1">
        <f t="shared" si="30"/>
        <v>0</v>
      </c>
      <c r="M52" s="1"/>
      <c r="N52" s="5">
        <f t="shared" si="31"/>
        <v>0</v>
      </c>
      <c r="O52" s="14"/>
      <c r="P52" s="1">
        <f>SUM(OSRRefP22_8x_0)</f>
        <v>1557.93</v>
      </c>
      <c r="Q52" s="1"/>
      <c r="R52" s="5">
        <f t="shared" si="32"/>
        <v>6.5457786574145925E-4</v>
      </c>
      <c r="S52" s="1"/>
      <c r="T52" s="1">
        <f>SUM(OSRRefT22_8x_0)</f>
        <v>1439.55</v>
      </c>
      <c r="U52" s="1"/>
      <c r="V52" s="5">
        <f t="shared" si="33"/>
        <v>2.7283901662188627E-3</v>
      </c>
      <c r="W52" s="1"/>
      <c r="X52" s="1">
        <f t="shared" si="34"/>
        <v>118.38000000000011</v>
      </c>
      <c r="Y52" s="1"/>
      <c r="Z52" s="5">
        <f t="shared" si="35"/>
        <v>8.2234031468167212E-2</v>
      </c>
    </row>
    <row r="53" spans="1:26" s="24" customFormat="1" hidden="1" outlineLevel="2" x14ac:dyDescent="0.3">
      <c r="A53" s="27"/>
      <c r="B53" s="11" t="str">
        <f>CONCATENATE("          ", "6279", " - ", "GENERAL EXPENSE")</f>
        <v xml:space="preserve">          6279 - GENERAL EXPENSE</v>
      </c>
      <c r="C53" s="11"/>
      <c r="D53" s="6"/>
      <c r="E53" s="2"/>
      <c r="F53" s="7">
        <f t="shared" si="28"/>
        <v>0</v>
      </c>
      <c r="G53" s="2"/>
      <c r="H53" s="6"/>
      <c r="I53" s="2"/>
      <c r="J53" s="7">
        <f t="shared" si="29"/>
        <v>0</v>
      </c>
      <c r="K53" s="2"/>
      <c r="L53" s="6">
        <f t="shared" si="30"/>
        <v>0</v>
      </c>
      <c r="M53" s="2"/>
      <c r="N53" s="7">
        <f t="shared" si="31"/>
        <v>0</v>
      </c>
      <c r="O53" s="11"/>
      <c r="P53" s="6">
        <v>1557.93</v>
      </c>
      <c r="Q53" s="2"/>
      <c r="R53" s="7">
        <f t="shared" si="32"/>
        <v>6.5457786574145925E-4</v>
      </c>
      <c r="S53" s="2"/>
      <c r="T53" s="6">
        <v>1439.55</v>
      </c>
      <c r="U53" s="2"/>
      <c r="V53" s="7">
        <f t="shared" si="33"/>
        <v>2.7283901662188627E-3</v>
      </c>
      <c r="W53" s="2"/>
      <c r="X53" s="6">
        <f t="shared" si="34"/>
        <v>118.38000000000011</v>
      </c>
      <c r="Y53" s="2"/>
      <c r="Z53" s="7">
        <f t="shared" si="35"/>
        <v>8.2234031468167212E-2</v>
      </c>
    </row>
    <row r="54" spans="1:26" s="29" customFormat="1" outlineLevel="1" collapsed="1" x14ac:dyDescent="0.3">
      <c r="A54" s="28"/>
      <c r="B54" s="14" t="str">
        <f>CONCATENATE("     ","R/H Commissions                                   ")</f>
        <v xml:space="preserve">     R/H Commissions                                   </v>
      </c>
      <c r="C54" s="14"/>
      <c r="D54" s="1">
        <f>SUM(OSRRefD22_9x_0)</f>
        <v>50966.61</v>
      </c>
      <c r="E54" s="1"/>
      <c r="F54" s="5">
        <f t="shared" si="28"/>
        <v>7.9652209415132916E-2</v>
      </c>
      <c r="G54" s="1"/>
      <c r="H54" s="1">
        <f>SUM(OSRRefH22_9x_0)</f>
        <v>7985.87</v>
      </c>
      <c r="I54" s="1"/>
      <c r="J54" s="5">
        <f t="shared" si="29"/>
        <v>7.4108516456237492E-2</v>
      </c>
      <c r="K54" s="1"/>
      <c r="L54" s="1">
        <f t="shared" si="30"/>
        <v>42980.74</v>
      </c>
      <c r="M54" s="1"/>
      <c r="N54" s="5">
        <f t="shared" si="31"/>
        <v>5.3820986317082546</v>
      </c>
      <c r="O54" s="14"/>
      <c r="P54" s="1">
        <f>SUM(OSRRefP22_9x_0)</f>
        <v>185981.78</v>
      </c>
      <c r="Q54" s="1"/>
      <c r="R54" s="5">
        <f t="shared" si="32"/>
        <v>7.8141865564690077E-2</v>
      </c>
      <c r="S54" s="1"/>
      <c r="T54" s="1">
        <f>SUM(OSRRefT22_9x_0)</f>
        <v>34790.9</v>
      </c>
      <c r="U54" s="1"/>
      <c r="V54" s="5">
        <f t="shared" si="33"/>
        <v>6.593945985474893E-2</v>
      </c>
      <c r="W54" s="1"/>
      <c r="X54" s="1">
        <f t="shared" si="34"/>
        <v>151190.88</v>
      </c>
      <c r="Y54" s="1"/>
      <c r="Z54" s="5">
        <f t="shared" si="35"/>
        <v>4.3457018933111815</v>
      </c>
    </row>
    <row r="55" spans="1:26" s="24" customFormat="1" hidden="1" outlineLevel="2" x14ac:dyDescent="0.3">
      <c r="A55" s="27"/>
      <c r="B55" s="11" t="str">
        <f>CONCATENATE("          ", "6387", " - ", "COMMISSION DUE HOUSING")</f>
        <v xml:space="preserve">          6387 - COMMISSION DUE HOUSING</v>
      </c>
      <c r="C55" s="11"/>
      <c r="D55" s="6">
        <v>50966.61</v>
      </c>
      <c r="E55" s="2"/>
      <c r="F55" s="7">
        <f t="shared" si="28"/>
        <v>7.9652209415132916E-2</v>
      </c>
      <c r="G55" s="2"/>
      <c r="H55" s="6">
        <v>7985.87</v>
      </c>
      <c r="I55" s="2"/>
      <c r="J55" s="7">
        <f t="shared" si="29"/>
        <v>7.4108516456237492E-2</v>
      </c>
      <c r="K55" s="2"/>
      <c r="L55" s="6">
        <f t="shared" si="30"/>
        <v>42980.74</v>
      </c>
      <c r="M55" s="2"/>
      <c r="N55" s="7">
        <f t="shared" si="31"/>
        <v>5.3820986317082546</v>
      </c>
      <c r="O55" s="11"/>
      <c r="P55" s="6">
        <v>185981.78</v>
      </c>
      <c r="Q55" s="2"/>
      <c r="R55" s="7">
        <f t="shared" si="32"/>
        <v>7.8141865564690077E-2</v>
      </c>
      <c r="S55" s="2"/>
      <c r="T55" s="6">
        <v>34790.9</v>
      </c>
      <c r="U55" s="2"/>
      <c r="V55" s="7">
        <f t="shared" si="33"/>
        <v>6.593945985474893E-2</v>
      </c>
      <c r="W55" s="2"/>
      <c r="X55" s="6">
        <f t="shared" si="34"/>
        <v>151190.88</v>
      </c>
      <c r="Y55" s="2"/>
      <c r="Z55" s="7">
        <f t="shared" si="35"/>
        <v>4.3457018933111815</v>
      </c>
    </row>
    <row r="56" spans="1:26" s="29" customFormat="1" outlineLevel="1" collapsed="1" x14ac:dyDescent="0.3">
      <c r="A56" s="28"/>
      <c r="B56" s="14" t="str">
        <f>CONCATENATE("     ","Repair and Maintenance                            ")</f>
        <v xml:space="preserve">     Repair and Maintenance                            </v>
      </c>
      <c r="C56" s="14"/>
      <c r="D56" s="1">
        <f>SUM(OSRRefD22_10x_0)</f>
        <v>7.75</v>
      </c>
      <c r="E56" s="1"/>
      <c r="F56" s="5">
        <f t="shared" si="28"/>
        <v>1.2111941974702263E-5</v>
      </c>
      <c r="G56" s="1"/>
      <c r="H56" s="1">
        <f>SUM(OSRRefH22_10x_0)</f>
        <v>1083.72</v>
      </c>
      <c r="I56" s="1"/>
      <c r="J56" s="5">
        <f t="shared" si="29"/>
        <v>1.0056873133916993E-2</v>
      </c>
      <c r="K56" s="1"/>
      <c r="L56" s="1">
        <f t="shared" si="30"/>
        <v>-1075.97</v>
      </c>
      <c r="M56" s="1"/>
      <c r="N56" s="5">
        <f t="shared" si="31"/>
        <v>-0.99284870630790245</v>
      </c>
      <c r="O56" s="14"/>
      <c r="P56" s="1">
        <f>SUM(OSRRefP22_10x_0)</f>
        <v>2007.26</v>
      </c>
      <c r="Q56" s="1"/>
      <c r="R56" s="5">
        <f t="shared" si="32"/>
        <v>8.4336778082982E-4</v>
      </c>
      <c r="S56" s="1"/>
      <c r="T56" s="1">
        <f>SUM(OSRRefT22_10x_0)</f>
        <v>3181.84</v>
      </c>
      <c r="U56" s="1"/>
      <c r="V56" s="5">
        <f t="shared" si="33"/>
        <v>6.0305657785292809E-3</v>
      </c>
      <c r="W56" s="1"/>
      <c r="X56" s="1">
        <f t="shared" si="34"/>
        <v>-1174.5800000000002</v>
      </c>
      <c r="Y56" s="1"/>
      <c r="Z56" s="5">
        <f t="shared" si="35"/>
        <v>-0.36915118296331684</v>
      </c>
    </row>
    <row r="57" spans="1:26" s="24" customFormat="1" hidden="1" outlineLevel="2" x14ac:dyDescent="0.3">
      <c r="A57" s="27"/>
      <c r="B57" s="11" t="str">
        <f>CONCATENATE("          ", "6373", " - ", "MAINTENANCE CONTRACTS")</f>
        <v xml:space="preserve">          6373 - MAINTENANCE CONTRACTS</v>
      </c>
      <c r="C57" s="11"/>
      <c r="D57" s="6">
        <v>7.75</v>
      </c>
      <c r="E57" s="2"/>
      <c r="F57" s="7">
        <f t="shared" si="28"/>
        <v>1.2111941974702263E-5</v>
      </c>
      <c r="G57" s="2"/>
      <c r="H57" s="6">
        <v>8.52</v>
      </c>
      <c r="I57" s="2"/>
      <c r="J57" s="7">
        <f t="shared" si="29"/>
        <v>7.9065218968896742E-5</v>
      </c>
      <c r="K57" s="2"/>
      <c r="L57" s="6">
        <f t="shared" si="30"/>
        <v>-0.76999999999999957</v>
      </c>
      <c r="M57" s="2"/>
      <c r="N57" s="7">
        <f t="shared" si="31"/>
        <v>-9.0375586854460052E-2</v>
      </c>
      <c r="O57" s="11"/>
      <c r="P57" s="6">
        <v>162.72999999999999</v>
      </c>
      <c r="Q57" s="2"/>
      <c r="R57" s="7">
        <f t="shared" si="32"/>
        <v>6.8372427575120616E-5</v>
      </c>
      <c r="S57" s="2"/>
      <c r="T57" s="6">
        <v>1505.02</v>
      </c>
      <c r="U57" s="2"/>
      <c r="V57" s="7">
        <f t="shared" si="33"/>
        <v>2.8524759598226616E-3</v>
      </c>
      <c r="W57" s="2"/>
      <c r="X57" s="6">
        <f t="shared" si="34"/>
        <v>-1342.29</v>
      </c>
      <c r="Y57" s="2"/>
      <c r="Z57" s="7">
        <f t="shared" si="35"/>
        <v>-0.89187519102736179</v>
      </c>
    </row>
    <row r="58" spans="1:26" s="24" customFormat="1" hidden="1" outlineLevel="2" x14ac:dyDescent="0.3">
      <c r="A58" s="27"/>
      <c r="B58" s="11" t="str">
        <f>CONCATENATE("          ", "6375", " - ", "OUTSIDE REPAIRS &amp; MAINTENANCE")</f>
        <v xml:space="preserve">          6375 - OUTSIDE REPAIRS &amp; MAINTENANCE</v>
      </c>
      <c r="C58" s="11"/>
      <c r="D58" s="6"/>
      <c r="E58" s="2"/>
      <c r="F58" s="7">
        <f t="shared" si="28"/>
        <v>0</v>
      </c>
      <c r="G58" s="2"/>
      <c r="H58" s="6">
        <v>1075.2</v>
      </c>
      <c r="I58" s="2"/>
      <c r="J58" s="7">
        <f t="shared" si="29"/>
        <v>9.9778079149480964E-3</v>
      </c>
      <c r="K58" s="2"/>
      <c r="L58" s="6">
        <f t="shared" si="30"/>
        <v>-1075.2</v>
      </c>
      <c r="M58" s="2"/>
      <c r="N58" s="7">
        <f t="shared" si="31"/>
        <v>-1</v>
      </c>
      <c r="O58" s="11"/>
      <c r="P58" s="6">
        <v>1844.53</v>
      </c>
      <c r="Q58" s="2"/>
      <c r="R58" s="7">
        <f t="shared" si="32"/>
        <v>7.7499535325469937E-4</v>
      </c>
      <c r="S58" s="2"/>
      <c r="T58" s="6">
        <v>1676.82</v>
      </c>
      <c r="U58" s="2"/>
      <c r="V58" s="7">
        <f t="shared" si="33"/>
        <v>3.1780898187066188E-3</v>
      </c>
      <c r="W58" s="2"/>
      <c r="X58" s="6">
        <f t="shared" si="34"/>
        <v>167.71000000000004</v>
      </c>
      <c r="Y58" s="2"/>
      <c r="Z58" s="7">
        <f t="shared" si="35"/>
        <v>0.10001669827411412</v>
      </c>
    </row>
    <row r="59" spans="1:26" s="29" customFormat="1" outlineLevel="1" collapsed="1" x14ac:dyDescent="0.3">
      <c r="A59" s="28"/>
      <c r="B59" s="14" t="str">
        <f>CONCATENATE("     ","Services                                          ")</f>
        <v xml:space="preserve">     Services                                          </v>
      </c>
      <c r="C59" s="14"/>
      <c r="D59" s="1">
        <f>SUM(OSRRefD22_11x_0)</f>
        <v>7572.07</v>
      </c>
      <c r="E59" s="1"/>
      <c r="F59" s="5">
        <f t="shared" ref="F59:F62" si="36">IF(D$12=0,0,D59/D$12)</f>
        <v>1.1833867415275324E-2</v>
      </c>
      <c r="G59" s="1"/>
      <c r="H59" s="1">
        <f>SUM(OSRRefH22_11x_0)</f>
        <v>4756.5400000000009</v>
      </c>
      <c r="I59" s="1"/>
      <c r="J59" s="5">
        <f t="shared" ref="J59:J62" si="37">IF(H$12=0,0,H59/H$12)</f>
        <v>4.4140478478206124E-2</v>
      </c>
      <c r="K59" s="1"/>
      <c r="L59" s="1">
        <f t="shared" ref="L59:L62" si="38">+D59-H59</f>
        <v>2815.5299999999988</v>
      </c>
      <c r="M59" s="1"/>
      <c r="N59" s="5">
        <f t="shared" ref="N59:N62" si="39">IF(H59=0,0,L59/H59)</f>
        <v>0.59192816627212186</v>
      </c>
      <c r="O59" s="14"/>
      <c r="P59" s="1">
        <f>SUM(OSRRefP22_11x_0)</f>
        <v>33043.64</v>
      </c>
      <c r="Q59" s="1"/>
      <c r="R59" s="5">
        <f t="shared" ref="R59:R62" si="40">IF(P$12=0,0,P59/P$12)</f>
        <v>1.388357329759945E-2</v>
      </c>
      <c r="S59" s="1"/>
      <c r="T59" s="1">
        <f>SUM(OSRRefT22_11x_0)</f>
        <v>20713.46</v>
      </c>
      <c r="U59" s="1"/>
      <c r="V59" s="5">
        <f t="shared" ref="V59:V62" si="41">IF(T$12=0,0,T59/T$12)</f>
        <v>3.9258379752261305E-2</v>
      </c>
      <c r="W59" s="1"/>
      <c r="X59" s="1">
        <f t="shared" ref="X59:X62" si="42">+P59-T59</f>
        <v>12330.18</v>
      </c>
      <c r="Y59" s="1"/>
      <c r="Z59" s="5">
        <f t="shared" ref="Z59:Z62" si="43">IF(T59=0,0,X59/T59)</f>
        <v>0.595273797810699</v>
      </c>
    </row>
    <row r="60" spans="1:26" s="24" customFormat="1" hidden="1" outlineLevel="2" x14ac:dyDescent="0.3">
      <c r="A60" s="27"/>
      <c r="B60" s="11" t="str">
        <f>CONCATENATE("          ", "6282", " - ", "JANITORIAL/EXTERMINATOR EXPENS")</f>
        <v xml:space="preserve">          6282 - JANITORIAL/EXTERMINATOR EXPENS</v>
      </c>
      <c r="C60" s="11"/>
      <c r="D60" s="6">
        <v>459.25</v>
      </c>
      <c r="E60" s="2"/>
      <c r="F60" s="7">
        <f t="shared" si="36"/>
        <v>7.1773023895251801E-4</v>
      </c>
      <c r="G60" s="2"/>
      <c r="H60" s="6"/>
      <c r="I60" s="2"/>
      <c r="J60" s="7">
        <f t="shared" si="37"/>
        <v>0</v>
      </c>
      <c r="K60" s="2"/>
      <c r="L60" s="6">
        <f t="shared" si="38"/>
        <v>459.25</v>
      </c>
      <c r="M60" s="2"/>
      <c r="N60" s="7">
        <f t="shared" si="39"/>
        <v>0</v>
      </c>
      <c r="O60" s="11"/>
      <c r="P60" s="6">
        <v>3199.8</v>
      </c>
      <c r="Q60" s="2"/>
      <c r="R60" s="7">
        <f t="shared" si="40"/>
        <v>1.3444238539597553E-3</v>
      </c>
      <c r="S60" s="2"/>
      <c r="T60" s="6">
        <v>842.68</v>
      </c>
      <c r="U60" s="2"/>
      <c r="V60" s="7">
        <f t="shared" si="41"/>
        <v>1.5971378731334869E-3</v>
      </c>
      <c r="W60" s="2"/>
      <c r="X60" s="6">
        <f t="shared" si="42"/>
        <v>2357.1200000000003</v>
      </c>
      <c r="Y60" s="2"/>
      <c r="Z60" s="7">
        <f t="shared" si="43"/>
        <v>2.7971709308397026</v>
      </c>
    </row>
    <row r="61" spans="1:26" s="24" customFormat="1" hidden="1" outlineLevel="2" x14ac:dyDescent="0.3">
      <c r="A61" s="27"/>
      <c r="B61" s="11" t="str">
        <f>CONCATENATE("          ", "6285", " - ", "JANITORIAL SERVICES")</f>
        <v xml:space="preserve">          6285 - JANITORIAL SERVICES</v>
      </c>
      <c r="C61" s="11"/>
      <c r="D61" s="6">
        <v>6019.04</v>
      </c>
      <c r="E61" s="2"/>
      <c r="F61" s="7">
        <f t="shared" si="36"/>
        <v>9.4067436417305701E-3</v>
      </c>
      <c r="G61" s="2"/>
      <c r="H61" s="6">
        <v>4194.1000000000004</v>
      </c>
      <c r="I61" s="2"/>
      <c r="J61" s="7">
        <f t="shared" si="37"/>
        <v>3.8921060431625569E-2</v>
      </c>
      <c r="K61" s="2"/>
      <c r="L61" s="6">
        <f t="shared" si="38"/>
        <v>1824.9399999999996</v>
      </c>
      <c r="M61" s="2"/>
      <c r="N61" s="7">
        <f t="shared" si="39"/>
        <v>0.43512076488400359</v>
      </c>
      <c r="O61" s="11"/>
      <c r="P61" s="6">
        <v>24092.36</v>
      </c>
      <c r="Q61" s="2"/>
      <c r="R61" s="7">
        <f t="shared" si="40"/>
        <v>1.0122615001620679E-2</v>
      </c>
      <c r="S61" s="2"/>
      <c r="T61" s="6">
        <v>16008.53</v>
      </c>
      <c r="U61" s="2"/>
      <c r="V61" s="7">
        <f t="shared" si="41"/>
        <v>3.0341089804188565E-2</v>
      </c>
      <c r="W61" s="2"/>
      <c r="X61" s="6">
        <f t="shared" si="42"/>
        <v>8083.83</v>
      </c>
      <c r="Y61" s="2"/>
      <c r="Z61" s="7">
        <f t="shared" si="43"/>
        <v>0.50497016278196682</v>
      </c>
    </row>
    <row r="62" spans="1:26" s="24" customFormat="1" hidden="1" outlineLevel="2" x14ac:dyDescent="0.3">
      <c r="A62" s="27"/>
      <c r="B62" s="11" t="str">
        <f>CONCATENATE("          ", "6286", " - ", "LAUNDRY EXPENSE")</f>
        <v xml:space="preserve">          6286 - LAUNDRY EXPENSE</v>
      </c>
      <c r="C62" s="11"/>
      <c r="D62" s="6">
        <v>1093.78</v>
      </c>
      <c r="E62" s="2"/>
      <c r="F62" s="7">
        <f t="shared" si="36"/>
        <v>1.7093935345922377E-3</v>
      </c>
      <c r="G62" s="2"/>
      <c r="H62" s="6">
        <v>562.44000000000005</v>
      </c>
      <c r="I62" s="2"/>
      <c r="J62" s="7">
        <f t="shared" si="37"/>
        <v>5.2194180465805502E-3</v>
      </c>
      <c r="K62" s="2"/>
      <c r="L62" s="6">
        <f t="shared" si="38"/>
        <v>531.33999999999992</v>
      </c>
      <c r="M62" s="2"/>
      <c r="N62" s="7">
        <f t="shared" si="39"/>
        <v>0.94470521300049759</v>
      </c>
      <c r="O62" s="11"/>
      <c r="P62" s="6">
        <v>5751.48</v>
      </c>
      <c r="Q62" s="2"/>
      <c r="R62" s="7">
        <f t="shared" si="40"/>
        <v>2.4165344420190174E-3</v>
      </c>
      <c r="S62" s="2"/>
      <c r="T62" s="6">
        <v>3862.25</v>
      </c>
      <c r="U62" s="2"/>
      <c r="V62" s="7">
        <f t="shared" si="41"/>
        <v>7.3201520749392535E-3</v>
      </c>
      <c r="W62" s="2"/>
      <c r="X62" s="6">
        <f t="shared" si="42"/>
        <v>1889.2299999999996</v>
      </c>
      <c r="Y62" s="2"/>
      <c r="Z62" s="7">
        <f t="shared" si="43"/>
        <v>0.48915269596737643</v>
      </c>
    </row>
    <row r="63" spans="1:26" s="29" customFormat="1" outlineLevel="1" collapsed="1" x14ac:dyDescent="0.3">
      <c r="A63" s="28"/>
      <c r="B63" s="14" t="str">
        <f>CONCATENATE("     ","Subscriptions &amp; Dues                              ")</f>
        <v xml:space="preserve">     Subscriptions &amp; Dues                              </v>
      </c>
      <c r="C63" s="14"/>
      <c r="D63" s="1">
        <f>SUM(OSRRefD22_12x_0)</f>
        <v>0</v>
      </c>
      <c r="E63" s="1"/>
      <c r="F63" s="5">
        <f t="shared" ref="F63:F72" si="44">IF(D$12=0,0,D63/D$12)</f>
        <v>0</v>
      </c>
      <c r="G63" s="1"/>
      <c r="H63" s="1">
        <f>SUM(OSRRefH22_12x_0)</f>
        <v>795</v>
      </c>
      <c r="I63" s="1"/>
      <c r="J63" s="5">
        <f t="shared" ref="J63:J72" si="45">IF(H$12=0,0,H63/H$12)</f>
        <v>7.3775644460414213E-3</v>
      </c>
      <c r="K63" s="1"/>
      <c r="L63" s="1">
        <f t="shared" ref="L63:L72" si="46">+D63-H63</f>
        <v>-795</v>
      </c>
      <c r="M63" s="1"/>
      <c r="N63" s="5">
        <f t="shared" ref="N63:N72" si="47">IF(H63=0,0,L63/H63)</f>
        <v>-1</v>
      </c>
      <c r="O63" s="14"/>
      <c r="P63" s="1">
        <f>SUM(OSRRefP22_12x_0)</f>
        <v>0</v>
      </c>
      <c r="Q63" s="1"/>
      <c r="R63" s="5">
        <f t="shared" ref="R63:R72" si="48">IF(P$12=0,0,P63/P$12)</f>
        <v>0</v>
      </c>
      <c r="S63" s="1"/>
      <c r="T63" s="1">
        <f>SUM(OSRRefT22_12x_0)</f>
        <v>795</v>
      </c>
      <c r="U63" s="1"/>
      <c r="V63" s="5">
        <f t="shared" ref="V63:V72" si="49">IF(T$12=0,0,T63/T$12)</f>
        <v>1.5067696031009661E-3</v>
      </c>
      <c r="W63" s="1"/>
      <c r="X63" s="1">
        <f t="shared" ref="X63:X72" si="50">+P63-T63</f>
        <v>-795</v>
      </c>
      <c r="Y63" s="1"/>
      <c r="Z63" s="5">
        <f t="shared" ref="Z63:Z72" si="51">IF(T63=0,0,X63/T63)</f>
        <v>-1</v>
      </c>
    </row>
    <row r="64" spans="1:26" s="24" customFormat="1" hidden="1" outlineLevel="2" x14ac:dyDescent="0.3">
      <c r="A64" s="27"/>
      <c r="B64" s="11" t="str">
        <f>CONCATENATE("          ", "6258", " - ", "MEMBERSHIP DUES")</f>
        <v xml:space="preserve">          6258 - MEMBERSHIP DUES</v>
      </c>
      <c r="C64" s="11"/>
      <c r="D64" s="6"/>
      <c r="E64" s="2"/>
      <c r="F64" s="7">
        <f t="shared" si="44"/>
        <v>0</v>
      </c>
      <c r="G64" s="2"/>
      <c r="H64" s="6">
        <v>795</v>
      </c>
      <c r="I64" s="2"/>
      <c r="J64" s="7">
        <f t="shared" si="45"/>
        <v>7.3775644460414213E-3</v>
      </c>
      <c r="K64" s="2"/>
      <c r="L64" s="6">
        <f t="shared" si="46"/>
        <v>-795</v>
      </c>
      <c r="M64" s="2"/>
      <c r="N64" s="7">
        <f t="shared" si="47"/>
        <v>-1</v>
      </c>
      <c r="O64" s="11"/>
      <c r="P64" s="6"/>
      <c r="Q64" s="2"/>
      <c r="R64" s="7">
        <f t="shared" si="48"/>
        <v>0</v>
      </c>
      <c r="S64" s="2"/>
      <c r="T64" s="6">
        <v>795</v>
      </c>
      <c r="U64" s="2"/>
      <c r="V64" s="7">
        <f t="shared" si="49"/>
        <v>1.5067696031009661E-3</v>
      </c>
      <c r="W64" s="2"/>
      <c r="X64" s="6">
        <f t="shared" si="50"/>
        <v>-795</v>
      </c>
      <c r="Y64" s="2"/>
      <c r="Z64" s="7">
        <f t="shared" si="51"/>
        <v>-1</v>
      </c>
    </row>
    <row r="65" spans="1:26" s="29" customFormat="1" outlineLevel="1" collapsed="1" x14ac:dyDescent="0.3">
      <c r="A65" s="28"/>
      <c r="B65" s="14" t="str">
        <f>CONCATENATE("     ","Supplies                                          ")</f>
        <v xml:space="preserve">     Supplies                                          </v>
      </c>
      <c r="C65" s="14"/>
      <c r="D65" s="1">
        <f>SUM(OSRRefD22_13x_0)</f>
        <v>11350.45</v>
      </c>
      <c r="E65" s="1"/>
      <c r="F65" s="5">
        <f t="shared" si="44"/>
        <v>1.7738837649904429E-2</v>
      </c>
      <c r="G65" s="1"/>
      <c r="H65" s="1">
        <f>SUM(OSRRefH22_13x_0)</f>
        <v>21390.29</v>
      </c>
      <c r="I65" s="1"/>
      <c r="J65" s="5">
        <f t="shared" si="45"/>
        <v>0.19850093458429607</v>
      </c>
      <c r="K65" s="1"/>
      <c r="L65" s="1">
        <f t="shared" si="46"/>
        <v>-10039.84</v>
      </c>
      <c r="M65" s="1"/>
      <c r="N65" s="5">
        <f t="shared" si="47"/>
        <v>-0.46936437046903057</v>
      </c>
      <c r="O65" s="14"/>
      <c r="P65" s="1">
        <f>SUM(OSRRefP22_13x_0)</f>
        <v>84588.950000000012</v>
      </c>
      <c r="Q65" s="1"/>
      <c r="R65" s="5">
        <f t="shared" si="48"/>
        <v>3.5540784474469983E-2</v>
      </c>
      <c r="S65" s="1"/>
      <c r="T65" s="1">
        <f>SUM(OSRRefT22_13x_0)</f>
        <v>63020.450000000012</v>
      </c>
      <c r="U65" s="1"/>
      <c r="V65" s="5">
        <f t="shared" si="49"/>
        <v>0.11944314268395509</v>
      </c>
      <c r="W65" s="1"/>
      <c r="X65" s="1">
        <f t="shared" si="50"/>
        <v>21568.5</v>
      </c>
      <c r="Y65" s="1"/>
      <c r="Z65" s="5">
        <f t="shared" si="51"/>
        <v>0.34224604870323833</v>
      </c>
    </row>
    <row r="66" spans="1:26" s="24" customFormat="1" hidden="1" outlineLevel="2" x14ac:dyDescent="0.3">
      <c r="A66" s="27"/>
      <c r="B66" s="11" t="str">
        <f>CONCATENATE("          ", "6235", " - ", "COVID-19 EXPENSES")</f>
        <v xml:space="preserve">          6235 - COVID-19 EXPENSES</v>
      </c>
      <c r="C66" s="11"/>
      <c r="D66" s="6"/>
      <c r="E66" s="2"/>
      <c r="F66" s="7">
        <f t="shared" si="44"/>
        <v>0</v>
      </c>
      <c r="G66" s="2"/>
      <c r="H66" s="6">
        <v>11925.52</v>
      </c>
      <c r="I66" s="2"/>
      <c r="J66" s="7">
        <f t="shared" si="45"/>
        <v>0.11066829226736591</v>
      </c>
      <c r="K66" s="2"/>
      <c r="L66" s="6">
        <f t="shared" si="46"/>
        <v>-11925.52</v>
      </c>
      <c r="M66" s="2"/>
      <c r="N66" s="7">
        <f t="shared" si="47"/>
        <v>-1</v>
      </c>
      <c r="O66" s="11"/>
      <c r="P66" s="6"/>
      <c r="Q66" s="2"/>
      <c r="R66" s="7">
        <f t="shared" si="48"/>
        <v>0</v>
      </c>
      <c r="S66" s="2"/>
      <c r="T66" s="6">
        <v>36697.89</v>
      </c>
      <c r="U66" s="2"/>
      <c r="V66" s="7">
        <f t="shared" si="49"/>
        <v>6.9553792641437628E-2</v>
      </c>
      <c r="W66" s="2"/>
      <c r="X66" s="6">
        <f t="shared" si="50"/>
        <v>-36697.89</v>
      </c>
      <c r="Y66" s="2"/>
      <c r="Z66" s="7">
        <f t="shared" si="51"/>
        <v>-1</v>
      </c>
    </row>
    <row r="67" spans="1:26" s="24" customFormat="1" hidden="1" outlineLevel="2" x14ac:dyDescent="0.3">
      <c r="A67" s="27"/>
      <c r="B67" s="11" t="str">
        <f>CONCATENATE("          ", "6237", " - ", "JANITORIAL SUPPLIES")</f>
        <v xml:space="preserve">          6237 - JANITORIAL SUPPLIES</v>
      </c>
      <c r="C67" s="11"/>
      <c r="D67" s="6">
        <v>2339.33</v>
      </c>
      <c r="E67" s="2"/>
      <c r="F67" s="7">
        <f t="shared" si="44"/>
        <v>3.6559779638297091E-3</v>
      </c>
      <c r="G67" s="2"/>
      <c r="H67" s="6">
        <v>390.1</v>
      </c>
      <c r="I67" s="2"/>
      <c r="J67" s="7">
        <f t="shared" si="45"/>
        <v>3.6201105539632188E-3</v>
      </c>
      <c r="K67" s="2"/>
      <c r="L67" s="6">
        <f t="shared" si="46"/>
        <v>1949.23</v>
      </c>
      <c r="M67" s="2"/>
      <c r="N67" s="7">
        <f t="shared" si="47"/>
        <v>4.9967444245065362</v>
      </c>
      <c r="O67" s="11"/>
      <c r="P67" s="6">
        <v>13433.26</v>
      </c>
      <c r="Q67" s="2"/>
      <c r="R67" s="7">
        <f t="shared" si="48"/>
        <v>5.6441012502167079E-3</v>
      </c>
      <c r="S67" s="2"/>
      <c r="T67" s="6">
        <v>5731.27</v>
      </c>
      <c r="U67" s="2"/>
      <c r="V67" s="7">
        <f t="shared" si="49"/>
        <v>1.0862520029137703E-2</v>
      </c>
      <c r="W67" s="2"/>
      <c r="X67" s="6">
        <f t="shared" si="50"/>
        <v>7701.99</v>
      </c>
      <c r="Y67" s="2"/>
      <c r="Z67" s="7">
        <f t="shared" si="51"/>
        <v>1.3438539800079212</v>
      </c>
    </row>
    <row r="68" spans="1:26" s="24" customFormat="1" hidden="1" outlineLevel="2" x14ac:dyDescent="0.3">
      <c r="A68" s="27"/>
      <c r="B68" s="11" t="str">
        <f>CONCATENATE("          ", "6239", " - ", "KITCHEN SUPPLIES")</f>
        <v xml:space="preserve">          6239 - KITCHEN SUPPLIES</v>
      </c>
      <c r="C68" s="11"/>
      <c r="D68" s="6">
        <v>500.13</v>
      </c>
      <c r="E68" s="2"/>
      <c r="F68" s="7">
        <f t="shared" si="44"/>
        <v>7.8161877933004427E-4</v>
      </c>
      <c r="G68" s="2"/>
      <c r="H68" s="6">
        <v>1494.83</v>
      </c>
      <c r="I68" s="2"/>
      <c r="J68" s="7">
        <f t="shared" si="45"/>
        <v>1.387195554827182E-2</v>
      </c>
      <c r="K68" s="2"/>
      <c r="L68" s="6">
        <f t="shared" si="46"/>
        <v>-994.69999999999993</v>
      </c>
      <c r="M68" s="2"/>
      <c r="N68" s="7">
        <f t="shared" si="47"/>
        <v>-0.6654268378344026</v>
      </c>
      <c r="O68" s="11"/>
      <c r="P68" s="6">
        <v>9362.42</v>
      </c>
      <c r="Q68" s="2"/>
      <c r="R68" s="7">
        <f t="shared" si="48"/>
        <v>3.9337023497687017E-3</v>
      </c>
      <c r="S68" s="2"/>
      <c r="T68" s="6">
        <v>4635.4399999999996</v>
      </c>
      <c r="U68" s="2"/>
      <c r="V68" s="7">
        <f t="shared" si="49"/>
        <v>8.7855850176079778E-3</v>
      </c>
      <c r="W68" s="2"/>
      <c r="X68" s="6">
        <f t="shared" si="50"/>
        <v>4726.9800000000005</v>
      </c>
      <c r="Y68" s="2"/>
      <c r="Z68" s="7">
        <f t="shared" si="51"/>
        <v>1.0197478556512436</v>
      </c>
    </row>
    <row r="69" spans="1:26" s="24" customFormat="1" hidden="1" outlineLevel="2" x14ac:dyDescent="0.3">
      <c r="A69" s="27"/>
      <c r="B69" s="11" t="str">
        <f>CONCATENATE("          ", "6241", " - ", "OFFICE EXPENSE")</f>
        <v xml:space="preserve">          6241 - OFFICE EXPENSE</v>
      </c>
      <c r="C69" s="11"/>
      <c r="D69" s="6">
        <v>434.45</v>
      </c>
      <c r="E69" s="2"/>
      <c r="F69" s="7">
        <f t="shared" si="44"/>
        <v>6.7897202463347074E-4</v>
      </c>
      <c r="G69" s="2"/>
      <c r="H69" s="6">
        <v>1207.05</v>
      </c>
      <c r="I69" s="2"/>
      <c r="J69" s="7">
        <f t="shared" si="45"/>
        <v>1.1201370018357608E-2</v>
      </c>
      <c r="K69" s="2"/>
      <c r="L69" s="6">
        <f t="shared" si="46"/>
        <v>-772.59999999999991</v>
      </c>
      <c r="M69" s="2"/>
      <c r="N69" s="7">
        <f t="shared" si="47"/>
        <v>-0.64007290501636216</v>
      </c>
      <c r="O69" s="11"/>
      <c r="P69" s="6">
        <v>3167.48</v>
      </c>
      <c r="Q69" s="2"/>
      <c r="R69" s="7">
        <f t="shared" si="48"/>
        <v>1.3308443243141587E-3</v>
      </c>
      <c r="S69" s="2"/>
      <c r="T69" s="6">
        <v>2485.12</v>
      </c>
      <c r="U69" s="2"/>
      <c r="V69" s="7">
        <f t="shared" si="49"/>
        <v>4.710067013909777E-3</v>
      </c>
      <c r="W69" s="2"/>
      <c r="X69" s="6">
        <f t="shared" si="50"/>
        <v>682.36000000000013</v>
      </c>
      <c r="Y69" s="2"/>
      <c r="Z69" s="7">
        <f t="shared" si="51"/>
        <v>0.27457828998197276</v>
      </c>
    </row>
    <row r="70" spans="1:26" s="24" customFormat="1" hidden="1" outlineLevel="2" x14ac:dyDescent="0.3">
      <c r="A70" s="27"/>
      <c r="B70" s="11" t="str">
        <f>CONCATENATE("          ", "6243", " - ", "PAPER SUPPLIES")</f>
        <v xml:space="preserve">          6243 - PAPER SUPPLIES</v>
      </c>
      <c r="C70" s="11"/>
      <c r="D70" s="6">
        <v>7900.31</v>
      </c>
      <c r="E70" s="2"/>
      <c r="F70" s="7">
        <f t="shared" si="44"/>
        <v>1.2346851135762586E-2</v>
      </c>
      <c r="G70" s="2"/>
      <c r="H70" s="6">
        <v>5686.88</v>
      </c>
      <c r="I70" s="2"/>
      <c r="J70" s="7">
        <f t="shared" si="45"/>
        <v>5.2773992071577409E-2</v>
      </c>
      <c r="K70" s="2"/>
      <c r="L70" s="6">
        <f t="shared" si="46"/>
        <v>2213.4300000000003</v>
      </c>
      <c r="M70" s="2"/>
      <c r="N70" s="7">
        <f t="shared" si="47"/>
        <v>0.38921693441746619</v>
      </c>
      <c r="O70" s="11"/>
      <c r="P70" s="6">
        <v>56371.22</v>
      </c>
      <c r="Q70" s="2"/>
      <c r="R70" s="7">
        <f t="shared" si="48"/>
        <v>2.3684859317711492E-2</v>
      </c>
      <c r="S70" s="2"/>
      <c r="T70" s="6">
        <v>8970.14</v>
      </c>
      <c r="U70" s="2"/>
      <c r="V70" s="7">
        <f t="shared" si="49"/>
        <v>1.7001175204478112E-2</v>
      </c>
      <c r="W70" s="2"/>
      <c r="X70" s="6">
        <f t="shared" si="50"/>
        <v>47401.08</v>
      </c>
      <c r="Y70" s="2"/>
      <c r="Z70" s="7">
        <f t="shared" si="51"/>
        <v>5.2843188623588935</v>
      </c>
    </row>
    <row r="71" spans="1:26" s="24" customFormat="1" hidden="1" outlineLevel="2" x14ac:dyDescent="0.3">
      <c r="A71" s="27"/>
      <c r="B71" s="11" t="str">
        <f>CONCATENATE("          ", "6247", " - ", "STORE SUPPLIES")</f>
        <v xml:space="preserve">          6247 - STORE SUPPLIES</v>
      </c>
      <c r="C71" s="11"/>
      <c r="D71" s="6">
        <v>176.23</v>
      </c>
      <c r="E71" s="2"/>
      <c r="F71" s="7">
        <f t="shared" si="44"/>
        <v>2.7541774634861678E-4</v>
      </c>
      <c r="G71" s="2"/>
      <c r="H71" s="6"/>
      <c r="I71" s="2"/>
      <c r="J71" s="7">
        <f t="shared" si="45"/>
        <v>0</v>
      </c>
      <c r="K71" s="2"/>
      <c r="L71" s="6">
        <f t="shared" si="46"/>
        <v>176.23</v>
      </c>
      <c r="M71" s="2"/>
      <c r="N71" s="7">
        <f t="shared" si="47"/>
        <v>0</v>
      </c>
      <c r="O71" s="11"/>
      <c r="P71" s="6">
        <v>384.16</v>
      </c>
      <c r="Q71" s="2"/>
      <c r="R71" s="7">
        <f t="shared" si="48"/>
        <v>1.6140817167859854E-4</v>
      </c>
      <c r="S71" s="2"/>
      <c r="T71" s="6"/>
      <c r="U71" s="2"/>
      <c r="V71" s="7">
        <f t="shared" si="49"/>
        <v>0</v>
      </c>
      <c r="W71" s="2"/>
      <c r="X71" s="6">
        <f t="shared" si="50"/>
        <v>384.16</v>
      </c>
      <c r="Y71" s="2"/>
      <c r="Z71" s="7">
        <f t="shared" si="51"/>
        <v>0</v>
      </c>
    </row>
    <row r="72" spans="1:26" s="24" customFormat="1" hidden="1" outlineLevel="2" x14ac:dyDescent="0.3">
      <c r="A72" s="27"/>
      <c r="B72" s="11" t="str">
        <f>CONCATENATE("          ", "6248", " - ", "UNIFORMS")</f>
        <v xml:space="preserve">          6248 - UNIFORMS</v>
      </c>
      <c r="C72" s="11"/>
      <c r="D72" s="6"/>
      <c r="E72" s="2"/>
      <c r="F72" s="7">
        <f t="shared" si="44"/>
        <v>0</v>
      </c>
      <c r="G72" s="2"/>
      <c r="H72" s="6">
        <v>685.91</v>
      </c>
      <c r="I72" s="2"/>
      <c r="J72" s="7">
        <f t="shared" si="45"/>
        <v>6.3652141247600895E-3</v>
      </c>
      <c r="K72" s="2"/>
      <c r="L72" s="6">
        <f t="shared" si="46"/>
        <v>-685.91</v>
      </c>
      <c r="M72" s="2"/>
      <c r="N72" s="7">
        <f t="shared" si="47"/>
        <v>-1</v>
      </c>
      <c r="O72" s="11"/>
      <c r="P72" s="6">
        <v>1870.41</v>
      </c>
      <c r="Q72" s="2"/>
      <c r="R72" s="7">
        <f t="shared" si="48"/>
        <v>7.8586906078031927E-4</v>
      </c>
      <c r="S72" s="2"/>
      <c r="T72" s="6">
        <v>4500.59</v>
      </c>
      <c r="U72" s="2"/>
      <c r="V72" s="7">
        <f t="shared" si="49"/>
        <v>8.5300027773838709E-3</v>
      </c>
      <c r="W72" s="2"/>
      <c r="X72" s="6">
        <f t="shared" si="50"/>
        <v>-2630.1800000000003</v>
      </c>
      <c r="Y72" s="2"/>
      <c r="Z72" s="7">
        <f t="shared" si="51"/>
        <v>-0.58440782208554887</v>
      </c>
    </row>
    <row r="73" spans="1:26" s="29" customFormat="1" outlineLevel="1" collapsed="1" x14ac:dyDescent="0.3">
      <c r="A73" s="28"/>
      <c r="B73" s="14" t="str">
        <f>CONCATENATE("     ","Telephone/Data Lines                              ")</f>
        <v xml:space="preserve">     Telephone/Data Lines                              </v>
      </c>
      <c r="C73" s="14"/>
      <c r="D73" s="1">
        <f>SUM(OSRRefD22_14x_0)</f>
        <v>309</v>
      </c>
      <c r="E73" s="1"/>
      <c r="F73" s="5">
        <f t="shared" ref="F73:F76" si="52">IF(D$12=0,0,D73/D$12)</f>
        <v>4.8291484776554833E-4</v>
      </c>
      <c r="G73" s="1"/>
      <c r="H73" s="1">
        <f>SUM(OSRRefH22_14x_0)</f>
        <v>259</v>
      </c>
      <c r="I73" s="1"/>
      <c r="J73" s="5">
        <f t="shared" ref="J73:J76" si="53">IF(H$12=0,0,H73/H$12)</f>
        <v>2.4035084170122368E-3</v>
      </c>
      <c r="K73" s="1"/>
      <c r="L73" s="1">
        <f t="shared" ref="L73:L76" si="54">+D73-H73</f>
        <v>50</v>
      </c>
      <c r="M73" s="1"/>
      <c r="N73" s="5">
        <f t="shared" ref="N73:N76" si="55">IF(H73=0,0,L73/H73)</f>
        <v>0.19305019305019305</v>
      </c>
      <c r="O73" s="14"/>
      <c r="P73" s="1">
        <f>SUM(OSRRefP22_14x_0)</f>
        <v>1603</v>
      </c>
      <c r="Q73" s="1"/>
      <c r="R73" s="5">
        <f t="shared" ref="R73:R76" si="56">IF(P$12=0,0,P73/P$12)</f>
        <v>6.7351441899415193E-4</v>
      </c>
      <c r="S73" s="1"/>
      <c r="T73" s="1">
        <f>SUM(OSRRefT22_14x_0)</f>
        <v>1446</v>
      </c>
      <c r="U73" s="1"/>
      <c r="V73" s="5">
        <f t="shared" ref="V73:V76" si="57">IF(T$12=0,0,T73/T$12)</f>
        <v>2.7406149007345873E-3</v>
      </c>
      <c r="W73" s="1"/>
      <c r="X73" s="1">
        <f t="shared" ref="X73:X76" si="58">+P73-T73</f>
        <v>157</v>
      </c>
      <c r="Y73" s="1"/>
      <c r="Z73" s="5">
        <f t="shared" ref="Z73:Z76" si="59">IF(T73=0,0,X73/T73)</f>
        <v>0.10857538035961273</v>
      </c>
    </row>
    <row r="74" spans="1:26" s="24" customFormat="1" hidden="1" outlineLevel="2" x14ac:dyDescent="0.3">
      <c r="A74" s="27"/>
      <c r="B74" s="11" t="str">
        <f>CONCATENATE("          ", "6309", " - ", "TELEPHONE")</f>
        <v xml:space="preserve">          6309 - TELEPHONE</v>
      </c>
      <c r="C74" s="11"/>
      <c r="D74" s="6">
        <v>309</v>
      </c>
      <c r="E74" s="2"/>
      <c r="F74" s="7">
        <f t="shared" si="52"/>
        <v>4.8291484776554833E-4</v>
      </c>
      <c r="G74" s="2"/>
      <c r="H74" s="6">
        <v>259</v>
      </c>
      <c r="I74" s="2"/>
      <c r="J74" s="7">
        <f t="shared" si="53"/>
        <v>2.4035084170122368E-3</v>
      </c>
      <c r="K74" s="2"/>
      <c r="L74" s="6">
        <f t="shared" si="54"/>
        <v>50</v>
      </c>
      <c r="M74" s="2"/>
      <c r="N74" s="7">
        <f t="shared" si="55"/>
        <v>0.19305019305019305</v>
      </c>
      <c r="O74" s="11"/>
      <c r="P74" s="6">
        <v>1603</v>
      </c>
      <c r="Q74" s="2"/>
      <c r="R74" s="7">
        <f t="shared" si="56"/>
        <v>6.7351441899415193E-4</v>
      </c>
      <c r="S74" s="2"/>
      <c r="T74" s="6">
        <v>1446</v>
      </c>
      <c r="U74" s="2"/>
      <c r="V74" s="7">
        <f t="shared" si="57"/>
        <v>2.7406149007345873E-3</v>
      </c>
      <c r="W74" s="2"/>
      <c r="X74" s="6">
        <f t="shared" si="58"/>
        <v>157</v>
      </c>
      <c r="Y74" s="2"/>
      <c r="Z74" s="7">
        <f t="shared" si="59"/>
        <v>0.10857538035961273</v>
      </c>
    </row>
    <row r="75" spans="1:26" s="29" customFormat="1" outlineLevel="1" collapsed="1" x14ac:dyDescent="0.3">
      <c r="A75" s="28"/>
      <c r="B75" s="14" t="str">
        <f>CONCATENATE("     ","Training                                          ")</f>
        <v xml:space="preserve">     Training                                          </v>
      </c>
      <c r="C75" s="14"/>
      <c r="D75" s="1">
        <f>SUM(OSRRefD22_15x_0)</f>
        <v>245</v>
      </c>
      <c r="E75" s="1"/>
      <c r="F75" s="5">
        <f t="shared" si="52"/>
        <v>3.8289364952284575E-4</v>
      </c>
      <c r="G75" s="1"/>
      <c r="H75" s="1">
        <f>SUM(OSRRefH22_15x_0)</f>
        <v>0</v>
      </c>
      <c r="I75" s="1"/>
      <c r="J75" s="5">
        <f t="shared" si="53"/>
        <v>0</v>
      </c>
      <c r="K75" s="1"/>
      <c r="L75" s="1">
        <f t="shared" si="54"/>
        <v>245</v>
      </c>
      <c r="M75" s="1"/>
      <c r="N75" s="5">
        <f t="shared" si="55"/>
        <v>0</v>
      </c>
      <c r="O75" s="14"/>
      <c r="P75" s="1">
        <f>SUM(OSRRefP22_15x_0)</f>
        <v>245</v>
      </c>
      <c r="Q75" s="1"/>
      <c r="R75" s="5">
        <f t="shared" si="56"/>
        <v>1.0293888499910619E-4</v>
      </c>
      <c r="S75" s="1"/>
      <c r="T75" s="1">
        <f>SUM(OSRRefT22_15x_0)</f>
        <v>735</v>
      </c>
      <c r="U75" s="1"/>
      <c r="V75" s="5">
        <f t="shared" si="57"/>
        <v>1.3930511424895724E-3</v>
      </c>
      <c r="W75" s="1"/>
      <c r="X75" s="1">
        <f t="shared" si="58"/>
        <v>-490</v>
      </c>
      <c r="Y75" s="1"/>
      <c r="Z75" s="5">
        <f t="shared" si="59"/>
        <v>-0.66666666666666663</v>
      </c>
    </row>
    <row r="76" spans="1:26" s="24" customFormat="1" hidden="1" outlineLevel="2" x14ac:dyDescent="0.3">
      <c r="A76" s="27"/>
      <c r="B76" s="11" t="str">
        <f>CONCATENATE("          ", "6376", " - ", "TRAINING")</f>
        <v xml:space="preserve">          6376 - TRAINING</v>
      </c>
      <c r="C76" s="11"/>
      <c r="D76" s="6">
        <v>245</v>
      </c>
      <c r="E76" s="2"/>
      <c r="F76" s="7">
        <f t="shared" si="52"/>
        <v>3.8289364952284575E-4</v>
      </c>
      <c r="G76" s="2"/>
      <c r="H76" s="6"/>
      <c r="I76" s="2"/>
      <c r="J76" s="7">
        <f t="shared" si="53"/>
        <v>0</v>
      </c>
      <c r="K76" s="2"/>
      <c r="L76" s="6">
        <f t="shared" si="54"/>
        <v>245</v>
      </c>
      <c r="M76" s="2"/>
      <c r="N76" s="7">
        <f t="shared" si="55"/>
        <v>0</v>
      </c>
      <c r="O76" s="11"/>
      <c r="P76" s="6">
        <v>245</v>
      </c>
      <c r="Q76" s="2"/>
      <c r="R76" s="7">
        <f t="shared" si="56"/>
        <v>1.0293888499910619E-4</v>
      </c>
      <c r="S76" s="2"/>
      <c r="T76" s="6">
        <v>735</v>
      </c>
      <c r="U76" s="2"/>
      <c r="V76" s="7">
        <f t="shared" si="57"/>
        <v>1.3930511424895724E-3</v>
      </c>
      <c r="W76" s="2"/>
      <c r="X76" s="6">
        <f t="shared" si="58"/>
        <v>-490</v>
      </c>
      <c r="Y76" s="2"/>
      <c r="Z76" s="7">
        <f t="shared" si="59"/>
        <v>-0.66666666666666663</v>
      </c>
    </row>
    <row r="77" spans="1:26" s="62" customFormat="1" x14ac:dyDescent="0.3">
      <c r="A77" s="37"/>
      <c r="B77" s="37"/>
      <c r="C77" s="37"/>
      <c r="D77" s="1"/>
      <c r="E77" s="1"/>
      <c r="F77" s="5"/>
      <c r="G77" s="1"/>
      <c r="H77" s="1"/>
      <c r="I77" s="1"/>
      <c r="J77" s="5"/>
      <c r="K77" s="1"/>
      <c r="L77" s="1"/>
      <c r="M77" s="1"/>
      <c r="N77" s="5"/>
      <c r="O77" s="37"/>
      <c r="P77" s="1"/>
      <c r="Q77" s="1"/>
      <c r="R77" s="5"/>
      <c r="S77" s="1"/>
      <c r="T77" s="1"/>
      <c r="U77" s="1"/>
      <c r="V77" s="5"/>
      <c r="W77" s="1"/>
      <c r="X77" s="1"/>
      <c r="Y77" s="1"/>
      <c r="Z77" s="5"/>
    </row>
    <row r="78" spans="1:26" s="23" customFormat="1" x14ac:dyDescent="0.3">
      <c r="A78" s="10"/>
      <c r="B78" s="26" t="s">
        <v>292</v>
      </c>
      <c r="C78" s="10"/>
      <c r="D78" s="4">
        <f>SUM(0)</f>
        <v>0</v>
      </c>
      <c r="E78" s="4"/>
      <c r="F78" s="12">
        <f>IF(D$12=0,0,D78/D$12)</f>
        <v>0</v>
      </c>
      <c r="G78" s="4"/>
      <c r="H78" s="4">
        <f>SUM(0)</f>
        <v>0</v>
      </c>
      <c r="I78" s="4"/>
      <c r="J78" s="12">
        <f>IF(H$12=0,0,H78/H$12)</f>
        <v>0</v>
      </c>
      <c r="K78" s="4"/>
      <c r="L78" s="4">
        <f>+D78-H78</f>
        <v>0</v>
      </c>
      <c r="M78" s="4"/>
      <c r="N78" s="12">
        <f>IF(H78=0,0,L78/H78)</f>
        <v>0</v>
      </c>
      <c r="O78" s="10"/>
      <c r="P78" s="4">
        <f>SUM(0)</f>
        <v>0</v>
      </c>
      <c r="Q78" s="4"/>
      <c r="R78" s="12">
        <f>IF(P$12=0,0,P78/P$12)</f>
        <v>0</v>
      </c>
      <c r="S78" s="4"/>
      <c r="T78" s="4">
        <f>SUM(0)</f>
        <v>0</v>
      </c>
      <c r="U78" s="4"/>
      <c r="V78" s="12">
        <f>IF(T$12=0,0,T78/T$12)</f>
        <v>0</v>
      </c>
      <c r="W78" s="4"/>
      <c r="X78" s="4">
        <f>+P78-T78</f>
        <v>0</v>
      </c>
      <c r="Y78" s="4"/>
      <c r="Z78" s="12">
        <f>IF(T78=0,0,X78/T78)</f>
        <v>0</v>
      </c>
    </row>
    <row r="79" spans="1:26" x14ac:dyDescent="0.3">
      <c r="A79" s="9"/>
      <c r="B79" s="10"/>
      <c r="C79" s="10"/>
      <c r="D79" s="3"/>
      <c r="E79" s="3"/>
      <c r="F79" s="8"/>
      <c r="G79" s="3"/>
      <c r="H79" s="3"/>
      <c r="I79" s="3"/>
      <c r="J79" s="8"/>
      <c r="K79" s="3"/>
      <c r="L79" s="3"/>
      <c r="M79" s="3"/>
      <c r="N79" s="8"/>
      <c r="O79" s="10"/>
      <c r="P79" s="3"/>
      <c r="Q79" s="3"/>
      <c r="R79" s="8"/>
      <c r="S79" s="3"/>
      <c r="T79" s="3"/>
      <c r="U79" s="3"/>
      <c r="V79" s="8"/>
      <c r="W79" s="3"/>
      <c r="X79" s="3"/>
      <c r="Y79" s="3"/>
      <c r="Z79" s="8"/>
    </row>
    <row r="80" spans="1:26" s="23" customFormat="1" x14ac:dyDescent="0.3">
      <c r="A80" s="10"/>
      <c r="B80" s="25" t="s">
        <v>276</v>
      </c>
      <c r="C80" s="25"/>
      <c r="D80" s="21">
        <f>+D21-D23+D78</f>
        <v>320057.71000000002</v>
      </c>
      <c r="E80" s="13"/>
      <c r="F80" s="22">
        <f>IF(D$12=0,0,D80/D$12)</f>
        <v>0.50019618220336581</v>
      </c>
      <c r="G80" s="13"/>
      <c r="H80" s="21">
        <f>+H21-H23+H78</f>
        <v>-69121.12000000001</v>
      </c>
      <c r="I80" s="13"/>
      <c r="J80" s="22">
        <f>IF(H$12=0,0,H80/H$12)</f>
        <v>-0.64144090236800344</v>
      </c>
      <c r="K80" s="16"/>
      <c r="L80" s="21">
        <f>+D80-H80</f>
        <v>389178.83</v>
      </c>
      <c r="M80" s="16"/>
      <c r="N80" s="22">
        <f>IF(H80=0,0,L80/H80)</f>
        <v>-5.630389524938253</v>
      </c>
      <c r="O80" s="26"/>
      <c r="P80" s="21">
        <f>+P21-P23+P78</f>
        <v>834704.22999999986</v>
      </c>
      <c r="Q80" s="13"/>
      <c r="R80" s="22">
        <f>IF(P$12=0,0,P80/P$12)</f>
        <v>0.35070825608260192</v>
      </c>
      <c r="S80" s="13"/>
      <c r="T80" s="21">
        <f>+T21-T23+T78</f>
        <v>-256330.5</v>
      </c>
      <c r="U80" s="13"/>
      <c r="V80" s="22">
        <f>IF(T$12=0,0,T80/T$12)</f>
        <v>-0.48582516446248075</v>
      </c>
      <c r="W80" s="16"/>
      <c r="X80" s="21">
        <f>+P80-T80</f>
        <v>1091034.73</v>
      </c>
      <c r="Y80" s="16"/>
      <c r="Z80" s="22">
        <f>IF(T80=0,0,X80/T80)</f>
        <v>-4.2563593875875094</v>
      </c>
    </row>
    <row r="81" spans="1:26" x14ac:dyDescent="0.3">
      <c r="A81" s="9"/>
      <c r="B81" s="10"/>
      <c r="C81" s="9"/>
      <c r="D81" s="3"/>
      <c r="E81" s="3"/>
      <c r="F81" s="8"/>
      <c r="G81" s="3"/>
      <c r="H81" s="3"/>
      <c r="I81" s="3"/>
      <c r="J81" s="8"/>
      <c r="K81" s="3"/>
      <c r="L81" s="3"/>
      <c r="M81" s="3"/>
      <c r="N81" s="8"/>
      <c r="P81" s="3"/>
      <c r="Q81" s="3"/>
      <c r="R81" s="8"/>
      <c r="S81" s="3"/>
      <c r="T81" s="3"/>
      <c r="U81" s="3"/>
      <c r="V81" s="8"/>
      <c r="W81" s="3"/>
      <c r="X81" s="3"/>
      <c r="Y81" s="3"/>
      <c r="Z81" s="8"/>
    </row>
    <row r="82" spans="1:26" s="23" customFormat="1" x14ac:dyDescent="0.3">
      <c r="A82" s="51"/>
      <c r="B82" s="10" t="s">
        <v>127</v>
      </c>
      <c r="C82" s="10"/>
      <c r="D82" s="4">
        <v>82340.83</v>
      </c>
      <c r="E82" s="4"/>
      <c r="F82" s="12">
        <f>IF(D$12=0,0,D82/D$12)</f>
        <v>0.12868482001404175</v>
      </c>
      <c r="G82" s="4"/>
      <c r="H82" s="4">
        <v>-7112</v>
      </c>
      <c r="I82" s="4"/>
      <c r="J82" s="12">
        <f>IF(H$12=0,0,H82/H$12)</f>
        <v>-6.5999041937417097E-2</v>
      </c>
      <c r="K82" s="4"/>
      <c r="L82" s="4">
        <f>+D82-H82</f>
        <v>89452.83</v>
      </c>
      <c r="M82" s="4"/>
      <c r="N82" s="12">
        <f>IF(H82=0,0,L82/H82)</f>
        <v>-12.57773200224972</v>
      </c>
      <c r="O82" s="10"/>
      <c r="P82" s="4">
        <v>283492.26</v>
      </c>
      <c r="Q82" s="4"/>
      <c r="R82" s="12">
        <f>IF(P$12=0,0,P82/P$12)</f>
        <v>0.1191117434705172</v>
      </c>
      <c r="S82" s="4"/>
      <c r="T82" s="4">
        <v>83838.64</v>
      </c>
      <c r="U82" s="4"/>
      <c r="V82" s="12">
        <f>IF(T$12=0,0,T82/T$12)</f>
        <v>0.15890001800921355</v>
      </c>
      <c r="W82" s="4"/>
      <c r="X82" s="4">
        <f>+P82-T82</f>
        <v>199653.62</v>
      </c>
      <c r="Y82" s="4"/>
      <c r="Z82" s="12">
        <f>IF(T82=0,0,X82/T82)</f>
        <v>2.3814033720012633</v>
      </c>
    </row>
    <row r="83" spans="1:26" x14ac:dyDescent="0.3">
      <c r="A83" s="9"/>
      <c r="B83" s="10"/>
      <c r="C83" s="10"/>
      <c r="D83" s="3"/>
      <c r="E83" s="3"/>
      <c r="F83" s="8"/>
      <c r="G83" s="3"/>
      <c r="H83" s="3"/>
      <c r="I83" s="3"/>
      <c r="J83" s="8"/>
      <c r="K83" s="3"/>
      <c r="L83" s="3"/>
      <c r="M83" s="3"/>
      <c r="N83" s="8"/>
      <c r="O83" s="10"/>
      <c r="P83" s="3"/>
      <c r="Q83" s="3"/>
      <c r="R83" s="8"/>
      <c r="S83" s="3"/>
      <c r="T83" s="3"/>
      <c r="U83" s="3"/>
      <c r="V83" s="8"/>
      <c r="W83" s="3"/>
      <c r="X83" s="3"/>
      <c r="Y83" s="3"/>
      <c r="Z83" s="8"/>
    </row>
    <row r="84" spans="1:26" s="23" customFormat="1" ht="15" thickBot="1" x14ac:dyDescent="0.35">
      <c r="A84" s="10"/>
      <c r="B84" s="25" t="s">
        <v>125</v>
      </c>
      <c r="C84" s="25"/>
      <c r="D84" s="35">
        <f>+D80-D82</f>
        <v>237716.88</v>
      </c>
      <c r="E84" s="13"/>
      <c r="F84" s="31">
        <f>IF(D$12=0,0,D84/D$12)</f>
        <v>0.37151136218932401</v>
      </c>
      <c r="G84" s="13"/>
      <c r="H84" s="35">
        <f>+H80-H82</f>
        <v>-62009.12000000001</v>
      </c>
      <c r="I84" s="13"/>
      <c r="J84" s="31">
        <f>IF(H$12=0,0,H84/H$12)</f>
        <v>-0.57544186043058632</v>
      </c>
      <c r="K84" s="16"/>
      <c r="L84" s="35">
        <f>D84-H84</f>
        <v>299726</v>
      </c>
      <c r="M84" s="16"/>
      <c r="N84" s="31">
        <f>IF(H84=0,0,L84/H84)</f>
        <v>-4.8335793186550617</v>
      </c>
      <c r="O84" s="26"/>
      <c r="P84" s="35">
        <f>+P80-P82</f>
        <v>551211.96999999986</v>
      </c>
      <c r="Q84" s="13"/>
      <c r="R84" s="31">
        <f>IF(P$12=0,0,P84/P$12)</f>
        <v>0.23159651261208475</v>
      </c>
      <c r="S84" s="13"/>
      <c r="T84" s="35">
        <f>+T80-T82</f>
        <v>-340169.14</v>
      </c>
      <c r="U84" s="13"/>
      <c r="V84" s="31">
        <f>IF(T$12=0,0,T84/T$12)</f>
        <v>-0.6447251824716943</v>
      </c>
      <c r="W84" s="16"/>
      <c r="X84" s="35">
        <f>P84-T84</f>
        <v>891381.10999999987</v>
      </c>
      <c r="Y84" s="16"/>
      <c r="Z84" s="31">
        <f>IF(T84=0,0,X84/T84)</f>
        <v>-2.6204055723573272</v>
      </c>
    </row>
    <row r="85" spans="1:26" ht="15" thickTop="1" x14ac:dyDescent="0.3">
      <c r="A85" s="9"/>
      <c r="B85" s="9"/>
      <c r="C85" s="9"/>
      <c r="D85" s="3"/>
      <c r="E85" s="3"/>
      <c r="F85" s="8"/>
      <c r="G85" s="3"/>
      <c r="H85" s="3"/>
      <c r="I85" s="3"/>
      <c r="J85" s="8"/>
      <c r="K85" s="3"/>
      <c r="L85" s="3"/>
      <c r="M85" s="3"/>
      <c r="N85" s="8"/>
      <c r="P85" s="3"/>
      <c r="Q85" s="3"/>
      <c r="R85" s="8"/>
      <c r="S85" s="3"/>
      <c r="T85" s="3"/>
      <c r="U85" s="3"/>
      <c r="V85" s="8"/>
      <c r="W85" s="3"/>
      <c r="X85" s="3"/>
      <c r="Y85" s="3"/>
      <c r="Z85" s="8"/>
    </row>
    <row r="86" spans="1:26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s="23" customFormat="1" ht="15" thickBot="1" x14ac:dyDescent="0.35">
      <c r="A87" s="10"/>
      <c r="B87" s="25" t="s">
        <v>293</v>
      </c>
      <c r="C87" s="25"/>
      <c r="D87" s="36">
        <f>SUM(D84:D86)</f>
        <v>237716.88</v>
      </c>
      <c r="E87" s="13"/>
      <c r="F87" s="33">
        <f>IF(D$12=0,0,D87/D$12)</f>
        <v>0.37151136218932401</v>
      </c>
      <c r="G87" s="13"/>
      <c r="H87" s="36">
        <f>SUM(H84:H86)</f>
        <v>-62009.12000000001</v>
      </c>
      <c r="I87" s="13"/>
      <c r="J87" s="33">
        <f>IF(H$12=0,0,H87/H$12)</f>
        <v>-0.57544186043058632</v>
      </c>
      <c r="K87" s="16"/>
      <c r="L87" s="36">
        <f>+D87-H87</f>
        <v>299726</v>
      </c>
      <c r="M87" s="16"/>
      <c r="N87" s="33">
        <f>IF(H87=0,0,L87/H87)</f>
        <v>-4.8335793186550617</v>
      </c>
      <c r="O87" s="26"/>
      <c r="P87" s="36">
        <f>SUM(P84:P86)</f>
        <v>551211.96999999986</v>
      </c>
      <c r="Q87" s="13"/>
      <c r="R87" s="33">
        <f>IF(P$12=0,0,P87/P$12)</f>
        <v>0.23159651261208475</v>
      </c>
      <c r="S87" s="13"/>
      <c r="T87" s="36">
        <f>SUM(T84:T86)</f>
        <v>-340169.14</v>
      </c>
      <c r="U87" s="13"/>
      <c r="V87" s="33">
        <f>IF(T$12=0,0,T87/T$12)</f>
        <v>-0.6447251824716943</v>
      </c>
      <c r="W87" s="16"/>
      <c r="X87" s="36">
        <f>+P87-T87</f>
        <v>891381.10999999987</v>
      </c>
      <c r="Y87" s="16"/>
      <c r="Z87" s="33">
        <f>IF(T87=0,0,X87/T87)</f>
        <v>-2.6204055723573272</v>
      </c>
    </row>
    <row r="88" spans="1:26" ht="15" thickTop="1" x14ac:dyDescent="0.3">
      <c r="A88" s="9"/>
      <c r="C88" s="9"/>
      <c r="D88" s="17"/>
      <c r="E88" s="17"/>
      <c r="G88" s="17"/>
      <c r="H88" s="17"/>
      <c r="I88" s="17"/>
      <c r="J88" s="42"/>
      <c r="K88" s="17"/>
      <c r="L88" s="17"/>
      <c r="M88" s="17"/>
      <c r="P88" s="17"/>
      <c r="Q88" s="17"/>
      <c r="R88" s="42"/>
      <c r="S88" s="17"/>
      <c r="T88" s="17"/>
      <c r="U88" s="17"/>
      <c r="V88" s="42"/>
      <c r="W88" s="17"/>
      <c r="X88" s="17"/>
    </row>
    <row r="89" spans="1:26" x14ac:dyDescent="0.3">
      <c r="A89" s="9"/>
      <c r="B89" s="52">
        <v>44543.765594675926</v>
      </c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9" t="s">
        <v>56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61"/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</sheetData>
  <pageMargins left="0.25" right="0.25" top="0.75" bottom="0.75" header="0.3" footer="0.3"/>
  <pageSetup scale="55" fitToWidth="2" orientation="landscape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92D050"/>
    <outlinePr summaryBelow="0" summaryRight="0"/>
  </sheetPr>
  <dimension ref="A2:Z93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","450", " - ", "Beachside Dining Hall")</f>
        <v>Department 450 - Beachside Dining Hall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231129.65</v>
      </c>
      <c r="E12" s="4"/>
      <c r="F12" s="12"/>
      <c r="G12" s="4"/>
      <c r="H12" s="4">
        <f>SUM(OSRRefH13x_0)</f>
        <v>0</v>
      </c>
      <c r="I12" s="4"/>
      <c r="J12" s="12"/>
      <c r="K12" s="4"/>
      <c r="L12" s="4">
        <f t="shared" ref="L12:L15" si="0">+D12-H12</f>
        <v>231129.65</v>
      </c>
      <c r="M12" s="4"/>
      <c r="N12" s="12">
        <f t="shared" ref="N12:N15" si="1">IF(H12=0,0,L12/H12)</f>
        <v>0</v>
      </c>
      <c r="O12" s="10"/>
      <c r="P12" s="4">
        <f>SUM(OSRRefP13x_0)</f>
        <v>724300.22999999986</v>
      </c>
      <c r="Q12" s="4"/>
      <c r="R12" s="12"/>
      <c r="S12" s="4"/>
      <c r="T12" s="4">
        <f>SUM(OSRRefT13x_0)</f>
        <v>0</v>
      </c>
      <c r="U12" s="4"/>
      <c r="V12" s="12"/>
      <c r="W12" s="4"/>
      <c r="X12" s="4">
        <f t="shared" ref="X12:X15" si="2">+P12-T12</f>
        <v>724300.22999999986</v>
      </c>
      <c r="Y12" s="4"/>
      <c r="Z12" s="12">
        <f t="shared" ref="Z12:Z15" si="3">IF(T12=0,0,X12/T12)</f>
        <v>0</v>
      </c>
    </row>
    <row r="13" spans="1:26" s="24" customFormat="1" hidden="1" outlineLevel="1" x14ac:dyDescent="0.3">
      <c r="A13" s="44"/>
      <c r="B13" s="11" t="str">
        <f>CONCATENATE("          ", "4053", " - ", "TAXABLE SALES-FOOD")</f>
        <v xml:space="preserve">          4053 - TAXABLE SALES-FOOD</v>
      </c>
      <c r="C13" s="11"/>
      <c r="D13" s="2">
        <f>--35.12</f>
        <v>35.119999999999997</v>
      </c>
      <c r="E13" s="2"/>
      <c r="F13" s="19"/>
      <c r="G13" s="2"/>
      <c r="H13" s="2">
        <f t="shared" ref="H13:H15" si="4">0</f>
        <v>0</v>
      </c>
      <c r="I13" s="2"/>
      <c r="J13" s="19"/>
      <c r="K13" s="2"/>
      <c r="L13" s="2">
        <f t="shared" si="0"/>
        <v>35.119999999999997</v>
      </c>
      <c r="M13" s="2"/>
      <c r="N13" s="19">
        <f t="shared" si="1"/>
        <v>0</v>
      </c>
      <c r="O13" s="11"/>
      <c r="P13" s="2">
        <f>--109.07</f>
        <v>109.07</v>
      </c>
      <c r="Q13" s="2"/>
      <c r="R13" s="19"/>
      <c r="S13" s="2"/>
      <c r="T13" s="2">
        <f t="shared" ref="T13:T15" si="5">0</f>
        <v>0</v>
      </c>
      <c r="U13" s="2"/>
      <c r="V13" s="19"/>
      <c r="W13" s="2"/>
      <c r="X13" s="2">
        <f t="shared" si="2"/>
        <v>109.07</v>
      </c>
      <c r="Y13" s="2"/>
      <c r="Z13" s="19">
        <f t="shared" si="3"/>
        <v>0</v>
      </c>
    </row>
    <row r="14" spans="1:26" s="24" customFormat="1" hidden="1" outlineLevel="1" x14ac:dyDescent="0.3">
      <c r="A14" s="44"/>
      <c r="B14" s="11" t="str">
        <f>CONCATENATE("          ", "4151", " - ", "NON-TAXABLE SALES-FOOD")</f>
        <v xml:space="preserve">          4151 - NON-TAXABLE SALES-FOOD</v>
      </c>
      <c r="C14" s="11"/>
      <c r="D14" s="2">
        <f>--230179.05</f>
        <v>230179.05</v>
      </c>
      <c r="E14" s="2"/>
      <c r="F14" s="19"/>
      <c r="G14" s="2"/>
      <c r="H14" s="2">
        <f t="shared" si="4"/>
        <v>0</v>
      </c>
      <c r="I14" s="2"/>
      <c r="J14" s="19"/>
      <c r="K14" s="2"/>
      <c r="L14" s="2">
        <f t="shared" si="0"/>
        <v>230179.05</v>
      </c>
      <c r="M14" s="2"/>
      <c r="N14" s="19">
        <f t="shared" si="1"/>
        <v>0</v>
      </c>
      <c r="O14" s="11"/>
      <c r="P14" s="2">
        <f>--720640.72</f>
        <v>720640.72</v>
      </c>
      <c r="Q14" s="2"/>
      <c r="R14" s="19"/>
      <c r="S14" s="2"/>
      <c r="T14" s="2">
        <f t="shared" si="5"/>
        <v>0</v>
      </c>
      <c r="U14" s="2"/>
      <c r="V14" s="19"/>
      <c r="W14" s="2"/>
      <c r="X14" s="2">
        <f t="shared" si="2"/>
        <v>720640.72</v>
      </c>
      <c r="Y14" s="2"/>
      <c r="Z14" s="19">
        <f t="shared" si="3"/>
        <v>0</v>
      </c>
    </row>
    <row r="15" spans="1:26" s="24" customFormat="1" hidden="1" outlineLevel="1" x14ac:dyDescent="0.3">
      <c r="A15" s="44"/>
      <c r="B15" s="11" t="str">
        <f>CONCATENATE("          ", "4153", " - ", "NON-TAXABLE SALES-FOOD")</f>
        <v xml:space="preserve">          4153 - NON-TAXABLE SALES-FOOD</v>
      </c>
      <c r="C15" s="11"/>
      <c r="D15" s="2">
        <f>--915.48</f>
        <v>915.48</v>
      </c>
      <c r="E15" s="2"/>
      <c r="F15" s="19"/>
      <c r="G15" s="2"/>
      <c r="H15" s="2">
        <f t="shared" si="4"/>
        <v>0</v>
      </c>
      <c r="I15" s="2"/>
      <c r="J15" s="19"/>
      <c r="K15" s="2"/>
      <c r="L15" s="2">
        <f t="shared" si="0"/>
        <v>915.48</v>
      </c>
      <c r="M15" s="2"/>
      <c r="N15" s="19">
        <f t="shared" si="1"/>
        <v>0</v>
      </c>
      <c r="O15" s="11"/>
      <c r="P15" s="2">
        <f>--3550.44</f>
        <v>3550.44</v>
      </c>
      <c r="Q15" s="2"/>
      <c r="R15" s="19"/>
      <c r="S15" s="2"/>
      <c r="T15" s="2">
        <f t="shared" si="5"/>
        <v>0</v>
      </c>
      <c r="U15" s="2"/>
      <c r="V15" s="19"/>
      <c r="W15" s="2"/>
      <c r="X15" s="2">
        <f t="shared" si="2"/>
        <v>3550.44</v>
      </c>
      <c r="Y15" s="2"/>
      <c r="Z15" s="19">
        <f t="shared" si="3"/>
        <v>0</v>
      </c>
    </row>
    <row r="16" spans="1:26" x14ac:dyDescent="0.3">
      <c r="A16" s="9"/>
      <c r="B16" s="10"/>
      <c r="C16" s="9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collapsed="1" x14ac:dyDescent="0.3">
      <c r="A17" s="10"/>
      <c r="B17" s="26" t="s">
        <v>256</v>
      </c>
      <c r="C17" s="10"/>
      <c r="D17" s="4">
        <f>SUM(OSRRefD16x_0)</f>
        <v>42969.06</v>
      </c>
      <c r="E17" s="4"/>
      <c r="F17" s="12">
        <f t="shared" ref="F17:F19" si="6">IF(D$12=0,0,D17/D$12)</f>
        <v>0.1859089043746659</v>
      </c>
      <c r="G17" s="4"/>
      <c r="H17" s="4">
        <f>SUM(OSRRefH16x_0)</f>
        <v>0</v>
      </c>
      <c r="I17" s="4"/>
      <c r="J17" s="12">
        <f t="shared" ref="J17:J19" si="7">IF(H$12=0,0,H17/H$12)</f>
        <v>0</v>
      </c>
      <c r="K17" s="4"/>
      <c r="L17" s="4">
        <f t="shared" ref="L17:L19" si="8">+D17-H17</f>
        <v>42969.06</v>
      </c>
      <c r="M17" s="4"/>
      <c r="N17" s="12">
        <f t="shared" ref="N17:N19" si="9">IF(H17=0,0,L17/H17)</f>
        <v>0</v>
      </c>
      <c r="O17" s="10"/>
      <c r="P17" s="4">
        <f>SUM(OSRRefP16x_0)</f>
        <v>204496.03</v>
      </c>
      <c r="Q17" s="4"/>
      <c r="R17" s="12">
        <f t="shared" ref="R17:R19" si="10">IF(P$12=0,0,P17/P$12)</f>
        <v>0.28233600036272255</v>
      </c>
      <c r="S17" s="4"/>
      <c r="T17" s="4">
        <f>SUM(OSRRefT16x_0)</f>
        <v>0</v>
      </c>
      <c r="U17" s="4"/>
      <c r="V17" s="12">
        <f t="shared" ref="V17:V19" si="11">IF(T$12=0,0,T17/T$12)</f>
        <v>0</v>
      </c>
      <c r="W17" s="4"/>
      <c r="X17" s="4">
        <f t="shared" ref="X17:X19" si="12">+P17-T17</f>
        <v>204496.03</v>
      </c>
      <c r="Y17" s="4"/>
      <c r="Z17" s="12">
        <f t="shared" ref="Z17:Z19" si="13">IF(T17=0,0,X17/T17)</f>
        <v>0</v>
      </c>
    </row>
    <row r="18" spans="1:26" s="24" customFormat="1" hidden="1" outlineLevel="1" x14ac:dyDescent="0.3">
      <c r="A18" s="44"/>
      <c r="B18" s="11" t="str">
        <f>CONCATENATE("          ", "5053", " - ", "PURCHASES @ COST-FOOD")</f>
        <v xml:space="preserve">          5053 - PURCHASES @ COST-FOOD</v>
      </c>
      <c r="C18" s="11"/>
      <c r="D18" s="2">
        <v>43314.06</v>
      </c>
      <c r="E18" s="2"/>
      <c r="F18" s="19">
        <f t="shared" si="6"/>
        <v>0.18740157309977321</v>
      </c>
      <c r="G18" s="2"/>
      <c r="H18" s="2"/>
      <c r="I18" s="2"/>
      <c r="J18" s="19">
        <f t="shared" si="7"/>
        <v>0</v>
      </c>
      <c r="K18" s="2"/>
      <c r="L18" s="2">
        <f t="shared" si="8"/>
        <v>43314.06</v>
      </c>
      <c r="M18" s="2"/>
      <c r="N18" s="19">
        <f t="shared" si="9"/>
        <v>0</v>
      </c>
      <c r="O18" s="11"/>
      <c r="P18" s="2">
        <v>223340.09</v>
      </c>
      <c r="Q18" s="2"/>
      <c r="R18" s="19">
        <f t="shared" si="10"/>
        <v>0.30835291878893928</v>
      </c>
      <c r="S18" s="2"/>
      <c r="T18" s="2"/>
      <c r="U18" s="2"/>
      <c r="V18" s="19">
        <f t="shared" si="11"/>
        <v>0</v>
      </c>
      <c r="W18" s="2"/>
      <c r="X18" s="2">
        <f t="shared" si="12"/>
        <v>223340.09</v>
      </c>
      <c r="Y18" s="2"/>
      <c r="Z18" s="19">
        <f t="shared" si="13"/>
        <v>0</v>
      </c>
    </row>
    <row r="19" spans="1:26" s="24" customFormat="1" hidden="1" outlineLevel="1" x14ac:dyDescent="0.3">
      <c r="A19" s="44"/>
      <c r="B19" s="11" t="str">
        <f>CONCATENATE("          ", "5059", " - ", "PURCHASES @ COST-FOOD")</f>
        <v xml:space="preserve">          5059 - PURCHASES @ COST-FOOD</v>
      </c>
      <c r="C19" s="11"/>
      <c r="D19" s="2">
        <v>-345</v>
      </c>
      <c r="E19" s="2"/>
      <c r="F19" s="19">
        <f t="shared" si="6"/>
        <v>-1.4926687251073153E-3</v>
      </c>
      <c r="G19" s="2"/>
      <c r="H19" s="2"/>
      <c r="I19" s="2"/>
      <c r="J19" s="19">
        <f t="shared" si="7"/>
        <v>0</v>
      </c>
      <c r="K19" s="2"/>
      <c r="L19" s="2">
        <f t="shared" si="8"/>
        <v>-345</v>
      </c>
      <c r="M19" s="2"/>
      <c r="N19" s="19">
        <f t="shared" si="9"/>
        <v>0</v>
      </c>
      <c r="O19" s="11"/>
      <c r="P19" s="2">
        <v>-18844.060000000001</v>
      </c>
      <c r="Q19" s="2"/>
      <c r="R19" s="19">
        <f t="shared" si="10"/>
        <v>-2.6016918426216715E-2</v>
      </c>
      <c r="S19" s="2"/>
      <c r="T19" s="2"/>
      <c r="U19" s="2"/>
      <c r="V19" s="19">
        <f t="shared" si="11"/>
        <v>0</v>
      </c>
      <c r="W19" s="2"/>
      <c r="X19" s="2">
        <f t="shared" si="12"/>
        <v>-18844.060000000001</v>
      </c>
      <c r="Y19" s="2"/>
      <c r="Z19" s="19">
        <f t="shared" si="13"/>
        <v>0</v>
      </c>
    </row>
    <row r="20" spans="1:26" x14ac:dyDescent="0.3">
      <c r="A20" s="9"/>
      <c r="B20" s="10"/>
      <c r="C20" s="10"/>
      <c r="D20" s="3"/>
      <c r="E20" s="3"/>
      <c r="F20" s="8"/>
      <c r="G20" s="3"/>
      <c r="H20" s="3"/>
      <c r="I20" s="3"/>
      <c r="J20" s="8"/>
      <c r="K20" s="3"/>
      <c r="L20" s="3"/>
      <c r="M20" s="3"/>
      <c r="N20" s="8"/>
      <c r="O20" s="10"/>
      <c r="P20" s="3"/>
      <c r="Q20" s="3"/>
      <c r="R20" s="8"/>
      <c r="S20" s="3"/>
      <c r="T20" s="3"/>
      <c r="U20" s="3"/>
      <c r="V20" s="8"/>
      <c r="W20" s="3"/>
      <c r="X20" s="3"/>
      <c r="Y20" s="3"/>
      <c r="Z20" s="8"/>
    </row>
    <row r="21" spans="1:26" s="23" customFormat="1" x14ac:dyDescent="0.3">
      <c r="A21" s="10"/>
      <c r="B21" s="25" t="s">
        <v>107</v>
      </c>
      <c r="C21" s="25"/>
      <c r="D21" s="21">
        <f>D12-D17</f>
        <v>188160.59</v>
      </c>
      <c r="E21" s="13"/>
      <c r="F21" s="22">
        <f>IF(D$12=0,0,D21/D$12)</f>
        <v>0.8140910956253341</v>
      </c>
      <c r="G21" s="13"/>
      <c r="H21" s="21">
        <f>H12-H17</f>
        <v>0</v>
      </c>
      <c r="I21" s="13"/>
      <c r="J21" s="22">
        <f>IF(H$12=0,0,H21/H$12)</f>
        <v>0</v>
      </c>
      <c r="K21" s="16"/>
      <c r="L21" s="21">
        <f>+D21-H21</f>
        <v>188160.59</v>
      </c>
      <c r="M21" s="16"/>
      <c r="N21" s="22">
        <f>IF(H21=0,0,L21/H21)</f>
        <v>0</v>
      </c>
      <c r="O21" s="26"/>
      <c r="P21" s="21">
        <f>P12-P17</f>
        <v>519804.19999999984</v>
      </c>
      <c r="Q21" s="13"/>
      <c r="R21" s="22">
        <f>IF(P$12=0,0,P21/P$12)</f>
        <v>0.71766399963727745</v>
      </c>
      <c r="S21" s="13"/>
      <c r="T21" s="21">
        <f>T12-T17</f>
        <v>0</v>
      </c>
      <c r="U21" s="13"/>
      <c r="V21" s="22">
        <f>IF(T$12=0,0,T21/T$12)</f>
        <v>0</v>
      </c>
      <c r="W21" s="16"/>
      <c r="X21" s="21">
        <f>+P21-T21</f>
        <v>519804.19999999984</v>
      </c>
      <c r="Y21" s="16"/>
      <c r="Z21" s="22">
        <f>IF(T21=0,0,X21/T21)</f>
        <v>0</v>
      </c>
    </row>
    <row r="22" spans="1:26" x14ac:dyDescent="0.3">
      <c r="A22" s="9"/>
      <c r="B22" s="10"/>
      <c r="C22" s="9"/>
      <c r="D22" s="1"/>
      <c r="E22" s="1"/>
      <c r="F22" s="5"/>
      <c r="G22" s="1"/>
      <c r="H22" s="1"/>
      <c r="I22" s="1"/>
      <c r="J22" s="5"/>
      <c r="K22" s="1"/>
      <c r="L22" s="1"/>
      <c r="M22" s="1"/>
      <c r="N22" s="5"/>
      <c r="O22" s="37"/>
      <c r="P22" s="1"/>
      <c r="Q22" s="1"/>
      <c r="R22" s="5"/>
      <c r="S22" s="1"/>
      <c r="T22" s="1"/>
      <c r="U22" s="1"/>
      <c r="V22" s="5"/>
      <c r="W22" s="1"/>
      <c r="X22" s="1"/>
      <c r="Y22" s="1"/>
      <c r="Z22" s="5"/>
    </row>
    <row r="23" spans="1:26" s="23" customFormat="1" x14ac:dyDescent="0.3">
      <c r="A23" s="10"/>
      <c r="B23" s="26" t="s">
        <v>294</v>
      </c>
      <c r="C23" s="10"/>
      <c r="D23" s="20">
        <f>SUM(OSRRefD22x_0)</f>
        <v>119707.03000000003</v>
      </c>
      <c r="E23" s="20"/>
      <c r="F23" s="32">
        <f t="shared" ref="F23:F33" si="14">IF(D$12=0,0,D23/D$12)</f>
        <v>0.51792156480140061</v>
      </c>
      <c r="G23" s="20"/>
      <c r="H23" s="20">
        <f>SUM(OSRRefH22x_0)</f>
        <v>41541.899999999994</v>
      </c>
      <c r="I23" s="20"/>
      <c r="J23" s="32">
        <f t="shared" ref="J23:J33" si="15">IF(H$12=0,0,H23/H$12)</f>
        <v>0</v>
      </c>
      <c r="K23" s="4"/>
      <c r="L23" s="20">
        <f t="shared" ref="L23:L33" si="16">+D23-H23</f>
        <v>78165.130000000034</v>
      </c>
      <c r="M23" s="4"/>
      <c r="N23" s="32">
        <f t="shared" ref="N23:N33" si="17">IF(H23=0,0,L23/H23)</f>
        <v>1.8815973751802408</v>
      </c>
      <c r="O23" s="10"/>
      <c r="P23" s="20">
        <f>SUM(OSRRefP22x_0)</f>
        <v>554935.78999999992</v>
      </c>
      <c r="Q23" s="20"/>
      <c r="R23" s="32">
        <f t="shared" ref="R23:R33" si="18">IF(P$12=0,0,P23/P$12)</f>
        <v>0.76616818139074738</v>
      </c>
      <c r="S23" s="20"/>
      <c r="T23" s="20">
        <f>SUM(OSRRefT22x_0)</f>
        <v>211039.80000000002</v>
      </c>
      <c r="U23" s="20"/>
      <c r="V23" s="32">
        <f t="shared" ref="V23:V33" si="19">IF(T$12=0,0,T23/T$12)</f>
        <v>0</v>
      </c>
      <c r="W23" s="4"/>
      <c r="X23" s="20">
        <f t="shared" ref="X23:X33" si="20">+P23-T23</f>
        <v>343895.98999999987</v>
      </c>
      <c r="Y23" s="4"/>
      <c r="Z23" s="32">
        <f t="shared" ref="Z23:Z33" si="21">IF(T23=0,0,X23/T23)</f>
        <v>1.6295314438319211</v>
      </c>
    </row>
    <row r="24" spans="1:26" s="29" customFormat="1" outlineLevel="1" collapsed="1" x14ac:dyDescent="0.3">
      <c r="A24" s="28"/>
      <c r="B24" s="14" t="str">
        <f>CONCATENATE("     ","*Benefits                                         ")</f>
        <v xml:space="preserve">     *Benefits                                         </v>
      </c>
      <c r="C24" s="14"/>
      <c r="D24" s="1">
        <f>SUM(OSRRefD22_0x_0)</f>
        <v>23035.47</v>
      </c>
      <c r="E24" s="1"/>
      <c r="F24" s="5">
        <f t="shared" si="14"/>
        <v>9.9664711991732782E-2</v>
      </c>
      <c r="G24" s="1"/>
      <c r="H24" s="1">
        <f>SUM(OSRRefH22_0x_0)</f>
        <v>20032.95</v>
      </c>
      <c r="I24" s="1"/>
      <c r="J24" s="5">
        <f t="shared" si="15"/>
        <v>0</v>
      </c>
      <c r="K24" s="1"/>
      <c r="L24" s="1">
        <f t="shared" si="16"/>
        <v>3002.5200000000004</v>
      </c>
      <c r="M24" s="1"/>
      <c r="N24" s="5">
        <f t="shared" si="17"/>
        <v>0.14987907422521399</v>
      </c>
      <c r="O24" s="14"/>
      <c r="P24" s="1">
        <f>SUM(OSRRefP22_0x_0)</f>
        <v>113374.34000000001</v>
      </c>
      <c r="Q24" s="1"/>
      <c r="R24" s="5">
        <f t="shared" si="18"/>
        <v>0.15652948225627381</v>
      </c>
      <c r="S24" s="1"/>
      <c r="T24" s="1">
        <f>SUM(OSRRefT22_0x_0)</f>
        <v>99007.260000000009</v>
      </c>
      <c r="U24" s="1"/>
      <c r="V24" s="5">
        <f t="shared" si="19"/>
        <v>0</v>
      </c>
      <c r="W24" s="1"/>
      <c r="X24" s="1">
        <f t="shared" si="20"/>
        <v>14367.080000000002</v>
      </c>
      <c r="Y24" s="1"/>
      <c r="Z24" s="5">
        <f t="shared" si="21"/>
        <v>0.14511137870091548</v>
      </c>
    </row>
    <row r="25" spans="1:26" s="24" customFormat="1" hidden="1" outlineLevel="2" x14ac:dyDescent="0.3">
      <c r="A25" s="27"/>
      <c r="B25" s="11" t="str">
        <f>CONCATENATE("          ", "6111", " - ", "F.I.C.A.")</f>
        <v xml:space="preserve">          6111 - F.I.C.A.</v>
      </c>
      <c r="C25" s="11"/>
      <c r="D25" s="6">
        <v>2980.93</v>
      </c>
      <c r="E25" s="2"/>
      <c r="F25" s="7">
        <f t="shared" si="14"/>
        <v>1.2897220239809128E-2</v>
      </c>
      <c r="G25" s="2"/>
      <c r="H25" s="6">
        <v>1650.74</v>
      </c>
      <c r="I25" s="2"/>
      <c r="J25" s="7">
        <f t="shared" si="15"/>
        <v>0</v>
      </c>
      <c r="K25" s="2"/>
      <c r="L25" s="6">
        <f t="shared" si="16"/>
        <v>1330.1899999999998</v>
      </c>
      <c r="M25" s="2"/>
      <c r="N25" s="7">
        <f t="shared" si="17"/>
        <v>0.80581436204368939</v>
      </c>
      <c r="O25" s="11"/>
      <c r="P25" s="6">
        <v>15736.99</v>
      </c>
      <c r="Q25" s="2"/>
      <c r="R25" s="7">
        <f t="shared" si="18"/>
        <v>2.1727164162297731E-2</v>
      </c>
      <c r="S25" s="2"/>
      <c r="T25" s="6">
        <v>8764.26</v>
      </c>
      <c r="U25" s="2"/>
      <c r="V25" s="7">
        <f t="shared" si="19"/>
        <v>0</v>
      </c>
      <c r="W25" s="2"/>
      <c r="X25" s="6">
        <f t="shared" si="20"/>
        <v>6972.73</v>
      </c>
      <c r="Y25" s="2"/>
      <c r="Z25" s="7">
        <f t="shared" si="21"/>
        <v>0.79558684931756929</v>
      </c>
    </row>
    <row r="26" spans="1:26" s="24" customFormat="1" hidden="1" outlineLevel="2" x14ac:dyDescent="0.3">
      <c r="A26" s="27"/>
      <c r="B26" s="11" t="str">
        <f>CONCATENATE("          ", "6112", " - ", "COMPENSATION INSURANCE")</f>
        <v xml:space="preserve">          6112 - COMPENSATION INSURANCE</v>
      </c>
      <c r="C26" s="11"/>
      <c r="D26" s="6">
        <v>2384.36</v>
      </c>
      <c r="E26" s="2"/>
      <c r="F26" s="7">
        <f t="shared" si="14"/>
        <v>1.0316114786657619E-2</v>
      </c>
      <c r="G26" s="2"/>
      <c r="H26" s="6">
        <v>1428.3</v>
      </c>
      <c r="I26" s="2"/>
      <c r="J26" s="7">
        <f t="shared" si="15"/>
        <v>0</v>
      </c>
      <c r="K26" s="2"/>
      <c r="L26" s="6">
        <f t="shared" si="16"/>
        <v>956.06000000000017</v>
      </c>
      <c r="M26" s="2"/>
      <c r="N26" s="7">
        <f t="shared" si="17"/>
        <v>0.66936918014422753</v>
      </c>
      <c r="O26" s="11"/>
      <c r="P26" s="6">
        <v>9861.9</v>
      </c>
      <c r="Q26" s="2"/>
      <c r="R26" s="7">
        <f t="shared" si="18"/>
        <v>1.3615762623739609E-2</v>
      </c>
      <c r="S26" s="2"/>
      <c r="T26" s="6">
        <v>4763.79</v>
      </c>
      <c r="U26" s="2"/>
      <c r="V26" s="7">
        <f t="shared" si="19"/>
        <v>0</v>
      </c>
      <c r="W26" s="2"/>
      <c r="X26" s="6">
        <f t="shared" si="20"/>
        <v>5098.1099999999997</v>
      </c>
      <c r="Y26" s="2"/>
      <c r="Z26" s="7">
        <f t="shared" si="21"/>
        <v>1.0701794159692177</v>
      </c>
    </row>
    <row r="27" spans="1:26" s="24" customFormat="1" hidden="1" outlineLevel="2" x14ac:dyDescent="0.3">
      <c r="A27" s="27"/>
      <c r="B27" s="11" t="str">
        <f>CONCATENATE("          ", "6113", " - ", "GROUP INSURANCE")</f>
        <v xml:space="preserve">          6113 - GROUP INSURANCE</v>
      </c>
      <c r="C27" s="11"/>
      <c r="D27" s="6">
        <v>11954.18</v>
      </c>
      <c r="E27" s="2"/>
      <c r="F27" s="7">
        <f t="shared" si="14"/>
        <v>5.1720668464647443E-2</v>
      </c>
      <c r="G27" s="2"/>
      <c r="H27" s="6">
        <v>12616.92</v>
      </c>
      <c r="I27" s="2"/>
      <c r="J27" s="7">
        <f t="shared" si="15"/>
        <v>0</v>
      </c>
      <c r="K27" s="2"/>
      <c r="L27" s="6">
        <f t="shared" si="16"/>
        <v>-662.73999999999978</v>
      </c>
      <c r="M27" s="2"/>
      <c r="N27" s="7">
        <f t="shared" si="17"/>
        <v>-5.2527875265912738E-2</v>
      </c>
      <c r="O27" s="11"/>
      <c r="P27" s="6">
        <v>59544.87</v>
      </c>
      <c r="Q27" s="2"/>
      <c r="R27" s="7">
        <f t="shared" si="18"/>
        <v>8.2210204461760306E-2</v>
      </c>
      <c r="S27" s="2"/>
      <c r="T27" s="6">
        <v>63084.66</v>
      </c>
      <c r="U27" s="2"/>
      <c r="V27" s="7">
        <f t="shared" si="19"/>
        <v>0</v>
      </c>
      <c r="W27" s="2"/>
      <c r="X27" s="6">
        <f t="shared" si="20"/>
        <v>-3539.7900000000009</v>
      </c>
      <c r="Y27" s="2"/>
      <c r="Z27" s="7">
        <f t="shared" si="21"/>
        <v>-5.6111739367383458E-2</v>
      </c>
    </row>
    <row r="28" spans="1:26" s="24" customFormat="1" hidden="1" outlineLevel="2" x14ac:dyDescent="0.3">
      <c r="A28" s="27"/>
      <c r="B28" s="11" t="str">
        <f>CONCATENATE("          ", "6114", " - ", "STATE UNEMPLOYMENT INSURANCE")</f>
        <v xml:space="preserve">          6114 - STATE UNEMPLOYMENT INSURANCE</v>
      </c>
      <c r="C28" s="11"/>
      <c r="D28" s="6">
        <v>172.2</v>
      </c>
      <c r="E28" s="2"/>
      <c r="F28" s="7">
        <f t="shared" si="14"/>
        <v>7.4503638974921643E-4</v>
      </c>
      <c r="G28" s="2"/>
      <c r="H28" s="6">
        <v>86.56</v>
      </c>
      <c r="I28" s="2"/>
      <c r="J28" s="7">
        <f t="shared" si="15"/>
        <v>0</v>
      </c>
      <c r="K28" s="2"/>
      <c r="L28" s="6">
        <f t="shared" si="16"/>
        <v>85.639999999999986</v>
      </c>
      <c r="M28" s="2"/>
      <c r="N28" s="7">
        <f t="shared" si="17"/>
        <v>0.98937153419593327</v>
      </c>
      <c r="O28" s="11"/>
      <c r="P28" s="6">
        <v>712.25</v>
      </c>
      <c r="Q28" s="2"/>
      <c r="R28" s="7">
        <f t="shared" si="18"/>
        <v>9.8336293500831859E-4</v>
      </c>
      <c r="S28" s="2"/>
      <c r="T28" s="6">
        <v>297.38</v>
      </c>
      <c r="U28" s="2"/>
      <c r="V28" s="7">
        <f t="shared" si="19"/>
        <v>0</v>
      </c>
      <c r="W28" s="2"/>
      <c r="X28" s="6">
        <f t="shared" si="20"/>
        <v>414.87</v>
      </c>
      <c r="Y28" s="2"/>
      <c r="Z28" s="7">
        <f t="shared" si="21"/>
        <v>1.3950837312529425</v>
      </c>
    </row>
    <row r="29" spans="1:26" s="24" customFormat="1" hidden="1" outlineLevel="2" x14ac:dyDescent="0.3">
      <c r="A29" s="27"/>
      <c r="B29" s="11" t="str">
        <f>CONCATENATE("          ", "6115", " - ", "P.E.R.S.")</f>
        <v xml:space="preserve">          6115 - P.E.R.S.</v>
      </c>
      <c r="C29" s="11"/>
      <c r="D29" s="6">
        <v>397.02</v>
      </c>
      <c r="E29" s="2"/>
      <c r="F29" s="7">
        <f t="shared" si="14"/>
        <v>1.7177372093974096E-3</v>
      </c>
      <c r="G29" s="2"/>
      <c r="H29" s="6">
        <v>603.29999999999995</v>
      </c>
      <c r="I29" s="2"/>
      <c r="J29" s="7">
        <f t="shared" si="15"/>
        <v>0</v>
      </c>
      <c r="K29" s="2"/>
      <c r="L29" s="6">
        <f t="shared" si="16"/>
        <v>-206.27999999999997</v>
      </c>
      <c r="M29" s="2"/>
      <c r="N29" s="7">
        <f t="shared" si="17"/>
        <v>-0.34191944306315264</v>
      </c>
      <c r="O29" s="11"/>
      <c r="P29" s="6">
        <v>3002.49</v>
      </c>
      <c r="Q29" s="2"/>
      <c r="R29" s="7">
        <f t="shared" si="18"/>
        <v>4.1453666251079343E-3</v>
      </c>
      <c r="S29" s="2"/>
      <c r="T29" s="6">
        <v>2786.11</v>
      </c>
      <c r="U29" s="2"/>
      <c r="V29" s="7">
        <f t="shared" si="19"/>
        <v>0</v>
      </c>
      <c r="W29" s="2"/>
      <c r="X29" s="6">
        <f t="shared" si="20"/>
        <v>216.37999999999965</v>
      </c>
      <c r="Y29" s="2"/>
      <c r="Z29" s="7">
        <f t="shared" si="21"/>
        <v>7.7663839546895E-2</v>
      </c>
    </row>
    <row r="30" spans="1:26" s="24" customFormat="1" hidden="1" outlineLevel="2" x14ac:dyDescent="0.3">
      <c r="A30" s="27"/>
      <c r="B30" s="11" t="str">
        <f>CONCATENATE("          ", "6117", " - ", "RETIREMENT STAFF HOURLY")</f>
        <v xml:space="preserve">          6117 - RETIREMENT STAFF HOURLY</v>
      </c>
      <c r="C30" s="11"/>
      <c r="D30" s="6">
        <v>873.9</v>
      </c>
      <c r="E30" s="2"/>
      <c r="F30" s="7">
        <f t="shared" si="14"/>
        <v>3.7809947793370517E-3</v>
      </c>
      <c r="G30" s="2"/>
      <c r="H30" s="6">
        <v>574.07000000000005</v>
      </c>
      <c r="I30" s="2"/>
      <c r="J30" s="7">
        <f t="shared" si="15"/>
        <v>0</v>
      </c>
      <c r="K30" s="2"/>
      <c r="L30" s="6">
        <f t="shared" si="16"/>
        <v>299.82999999999993</v>
      </c>
      <c r="M30" s="2"/>
      <c r="N30" s="7">
        <f t="shared" si="17"/>
        <v>0.52228822269061248</v>
      </c>
      <c r="O30" s="11"/>
      <c r="P30" s="6">
        <v>3757.83</v>
      </c>
      <c r="Q30" s="2"/>
      <c r="R30" s="7">
        <f t="shared" si="18"/>
        <v>5.1882214644609469E-3</v>
      </c>
      <c r="S30" s="2"/>
      <c r="T30" s="6">
        <v>2904.9</v>
      </c>
      <c r="U30" s="2"/>
      <c r="V30" s="7">
        <f t="shared" si="19"/>
        <v>0</v>
      </c>
      <c r="W30" s="2"/>
      <c r="X30" s="6">
        <f t="shared" si="20"/>
        <v>852.92999999999984</v>
      </c>
      <c r="Y30" s="2"/>
      <c r="Z30" s="7">
        <f t="shared" si="21"/>
        <v>0.29361768047092834</v>
      </c>
    </row>
    <row r="31" spans="1:26" s="24" customFormat="1" hidden="1" outlineLevel="2" x14ac:dyDescent="0.3">
      <c r="A31" s="27"/>
      <c r="B31" s="11" t="str">
        <f>CONCATENATE("          ", "6118", " - ", "VACATION")</f>
        <v xml:space="preserve">          6118 - VACATION</v>
      </c>
      <c r="C31" s="11"/>
      <c r="D31" s="6">
        <v>1599.52</v>
      </c>
      <c r="E31" s="2"/>
      <c r="F31" s="7">
        <f t="shared" si="14"/>
        <v>6.9204448671989945E-3</v>
      </c>
      <c r="G31" s="2"/>
      <c r="H31" s="6">
        <v>1242.1400000000001</v>
      </c>
      <c r="I31" s="2"/>
      <c r="J31" s="7">
        <f t="shared" si="15"/>
        <v>0</v>
      </c>
      <c r="K31" s="2"/>
      <c r="L31" s="6">
        <f t="shared" si="16"/>
        <v>357.37999999999988</v>
      </c>
      <c r="M31" s="2"/>
      <c r="N31" s="7">
        <f t="shared" si="17"/>
        <v>0.28771314022573935</v>
      </c>
      <c r="O31" s="11"/>
      <c r="P31" s="6">
        <v>8218.23</v>
      </c>
      <c r="Q31" s="2"/>
      <c r="R31" s="7">
        <f t="shared" si="18"/>
        <v>1.1346441240257512E-2</v>
      </c>
      <c r="S31" s="2"/>
      <c r="T31" s="6">
        <v>6767.93</v>
      </c>
      <c r="U31" s="2"/>
      <c r="V31" s="7">
        <f t="shared" si="19"/>
        <v>0</v>
      </c>
      <c r="W31" s="2"/>
      <c r="X31" s="6">
        <f t="shared" si="20"/>
        <v>1450.2999999999993</v>
      </c>
      <c r="Y31" s="2"/>
      <c r="Z31" s="7">
        <f t="shared" si="21"/>
        <v>0.21429004141591287</v>
      </c>
    </row>
    <row r="32" spans="1:26" s="24" customFormat="1" hidden="1" outlineLevel="2" x14ac:dyDescent="0.3">
      <c r="A32" s="27"/>
      <c r="B32" s="11" t="str">
        <f>CONCATENATE("          ", "6119", " - ", "SICK LEAVE")</f>
        <v xml:space="preserve">          6119 - SICK LEAVE</v>
      </c>
      <c r="C32" s="11"/>
      <c r="D32" s="6">
        <v>1384.76</v>
      </c>
      <c r="E32" s="2"/>
      <c r="F32" s="7">
        <f t="shared" si="14"/>
        <v>5.9912694022597277E-3</v>
      </c>
      <c r="G32" s="2"/>
      <c r="H32" s="6">
        <v>946.52</v>
      </c>
      <c r="I32" s="2"/>
      <c r="J32" s="7">
        <f t="shared" si="15"/>
        <v>0</v>
      </c>
      <c r="K32" s="2"/>
      <c r="L32" s="6">
        <f t="shared" si="16"/>
        <v>438.24</v>
      </c>
      <c r="M32" s="2"/>
      <c r="N32" s="7">
        <f t="shared" si="17"/>
        <v>0.46300131006212231</v>
      </c>
      <c r="O32" s="11"/>
      <c r="P32" s="6">
        <v>7018.52</v>
      </c>
      <c r="Q32" s="2"/>
      <c r="R32" s="7">
        <f t="shared" si="18"/>
        <v>9.6900700970369725E-3</v>
      </c>
      <c r="S32" s="2"/>
      <c r="T32" s="6">
        <v>5205.8500000000004</v>
      </c>
      <c r="U32" s="2"/>
      <c r="V32" s="7">
        <f t="shared" si="19"/>
        <v>0</v>
      </c>
      <c r="W32" s="2"/>
      <c r="X32" s="6">
        <f t="shared" si="20"/>
        <v>1812.67</v>
      </c>
      <c r="Y32" s="2"/>
      <c r="Z32" s="7">
        <f t="shared" si="21"/>
        <v>0.34819866112162279</v>
      </c>
    </row>
    <row r="33" spans="1:26" s="24" customFormat="1" hidden="1" outlineLevel="2" x14ac:dyDescent="0.3">
      <c r="A33" s="27"/>
      <c r="B33" s="11" t="str">
        <f>CONCATENATE("          ", "6156", " - ", "EMPLOYEE MEALS")</f>
        <v xml:space="preserve">          6156 - EMPLOYEE MEALS</v>
      </c>
      <c r="C33" s="11"/>
      <c r="D33" s="6">
        <v>1288.5999999999999</v>
      </c>
      <c r="E33" s="2"/>
      <c r="F33" s="7">
        <f t="shared" si="14"/>
        <v>5.5752258526761923E-3</v>
      </c>
      <c r="G33" s="2"/>
      <c r="H33" s="6">
        <v>884.4</v>
      </c>
      <c r="I33" s="2"/>
      <c r="J33" s="7">
        <f t="shared" si="15"/>
        <v>0</v>
      </c>
      <c r="K33" s="2"/>
      <c r="L33" s="6">
        <f t="shared" si="16"/>
        <v>404.19999999999993</v>
      </c>
      <c r="M33" s="2"/>
      <c r="N33" s="7">
        <f t="shared" si="17"/>
        <v>0.45703301673450919</v>
      </c>
      <c r="O33" s="11"/>
      <c r="P33" s="6">
        <v>5521.26</v>
      </c>
      <c r="Q33" s="2"/>
      <c r="R33" s="7">
        <f t="shared" si="18"/>
        <v>7.6228886466044631E-3</v>
      </c>
      <c r="S33" s="2"/>
      <c r="T33" s="6">
        <v>4432.38</v>
      </c>
      <c r="U33" s="2"/>
      <c r="V33" s="7">
        <f t="shared" si="19"/>
        <v>0</v>
      </c>
      <c r="W33" s="2"/>
      <c r="X33" s="6">
        <f t="shared" si="20"/>
        <v>1088.8800000000001</v>
      </c>
      <c r="Y33" s="2"/>
      <c r="Z33" s="7">
        <f t="shared" si="21"/>
        <v>0.24566485725501877</v>
      </c>
    </row>
    <row r="34" spans="1:26" s="29" customFormat="1" outlineLevel="1" collapsed="1" x14ac:dyDescent="0.3">
      <c r="A34" s="28"/>
      <c r="B34" s="14" t="str">
        <f>CONCATENATE("     ","*Payroll                                          ")</f>
        <v xml:space="preserve">     *Payroll                                          </v>
      </c>
      <c r="C34" s="14"/>
      <c r="D34" s="1">
        <f>SUM(OSRRefD22_1x_0)</f>
        <v>64971.34</v>
      </c>
      <c r="E34" s="1"/>
      <c r="F34" s="5">
        <f t="shared" ref="F34:F39" si="22">IF(D$12=0,0,D34/D$12)</f>
        <v>0.28110344129366355</v>
      </c>
      <c r="G34" s="1"/>
      <c r="H34" s="1">
        <f>SUM(OSRRefH22_1x_0)</f>
        <v>21240.03</v>
      </c>
      <c r="I34" s="1"/>
      <c r="J34" s="5">
        <f t="shared" ref="J34:J39" si="23">IF(H$12=0,0,H34/H$12)</f>
        <v>0</v>
      </c>
      <c r="K34" s="1"/>
      <c r="L34" s="1">
        <f t="shared" ref="L34:L39" si="24">+D34-H34</f>
        <v>43731.31</v>
      </c>
      <c r="M34" s="1"/>
      <c r="N34" s="5">
        <f t="shared" ref="N34:N39" si="25">IF(H34=0,0,L34/H34)</f>
        <v>2.0589099921233633</v>
      </c>
      <c r="O34" s="14"/>
      <c r="P34" s="1">
        <f>SUM(OSRRefP22_1x_0)</f>
        <v>298410.58999999997</v>
      </c>
      <c r="Q34" s="1"/>
      <c r="R34" s="5">
        <f t="shared" ref="R34:R39" si="26">IF(P$12=0,0,P34/P$12)</f>
        <v>0.41199847472090412</v>
      </c>
      <c r="S34" s="1"/>
      <c r="T34" s="1">
        <f>SUM(OSRRefT22_1x_0)</f>
        <v>106708.81999999999</v>
      </c>
      <c r="U34" s="1"/>
      <c r="V34" s="5">
        <f t="shared" ref="V34:V39" si="27">IF(T$12=0,0,T34/T$12)</f>
        <v>0</v>
      </c>
      <c r="W34" s="1"/>
      <c r="X34" s="1">
        <f t="shared" ref="X34:X39" si="28">+P34-T34</f>
        <v>191701.76999999996</v>
      </c>
      <c r="Y34" s="1"/>
      <c r="Z34" s="5">
        <f t="shared" ref="Z34:Z39" si="29">IF(T34=0,0,X34/T34)</f>
        <v>1.7964941417213682</v>
      </c>
    </row>
    <row r="35" spans="1:26" s="24" customFormat="1" hidden="1" outlineLevel="2" x14ac:dyDescent="0.3">
      <c r="A35" s="27"/>
      <c r="B35" s="11" t="str">
        <f>CONCATENATE("          ", "6002", " - ", "STAFF SALARIES")</f>
        <v xml:space="preserve">          6002 - STAFF SALARIES</v>
      </c>
      <c r="C35" s="11"/>
      <c r="D35" s="6">
        <v>5230.78</v>
      </c>
      <c r="E35" s="2"/>
      <c r="F35" s="7">
        <f t="shared" si="22"/>
        <v>2.2631367286715484E-2</v>
      </c>
      <c r="G35" s="2"/>
      <c r="H35" s="6">
        <v>4397.32</v>
      </c>
      <c r="I35" s="2"/>
      <c r="J35" s="7">
        <f t="shared" si="23"/>
        <v>0</v>
      </c>
      <c r="K35" s="2"/>
      <c r="L35" s="6">
        <f t="shared" si="24"/>
        <v>833.46</v>
      </c>
      <c r="M35" s="2"/>
      <c r="N35" s="7">
        <f t="shared" si="25"/>
        <v>0.18953817325098016</v>
      </c>
      <c r="O35" s="11"/>
      <c r="P35" s="6">
        <v>30161.24</v>
      </c>
      <c r="Q35" s="2"/>
      <c r="R35" s="7">
        <f t="shared" si="26"/>
        <v>4.164190310970909E-2</v>
      </c>
      <c r="S35" s="2"/>
      <c r="T35" s="6">
        <v>23085.919999999998</v>
      </c>
      <c r="U35" s="2"/>
      <c r="V35" s="7">
        <f t="shared" si="27"/>
        <v>0</v>
      </c>
      <c r="W35" s="2"/>
      <c r="X35" s="6">
        <f t="shared" si="28"/>
        <v>7075.3200000000033</v>
      </c>
      <c r="Y35" s="2"/>
      <c r="Z35" s="7">
        <f t="shared" si="29"/>
        <v>0.30647771455501899</v>
      </c>
    </row>
    <row r="36" spans="1:26" s="24" customFormat="1" hidden="1" outlineLevel="2" x14ac:dyDescent="0.3">
      <c r="A36" s="27"/>
      <c r="B36" s="11" t="str">
        <f>CONCATENATE("          ", "6004", " - ", "STAFF HOURLY")</f>
        <v xml:space="preserve">          6004 - STAFF HOURLY</v>
      </c>
      <c r="C36" s="11"/>
      <c r="D36" s="6">
        <v>26705.200000000001</v>
      </c>
      <c r="E36" s="2"/>
      <c r="F36" s="7">
        <f t="shared" si="22"/>
        <v>0.11554207779053878</v>
      </c>
      <c r="G36" s="2"/>
      <c r="H36" s="6">
        <v>16842.71</v>
      </c>
      <c r="I36" s="2"/>
      <c r="J36" s="7">
        <f t="shared" si="23"/>
        <v>0</v>
      </c>
      <c r="K36" s="2"/>
      <c r="L36" s="6">
        <f t="shared" si="24"/>
        <v>9862.4900000000016</v>
      </c>
      <c r="M36" s="2"/>
      <c r="N36" s="7">
        <f t="shared" si="25"/>
        <v>0.58556431833119504</v>
      </c>
      <c r="O36" s="11"/>
      <c r="P36" s="6">
        <v>134421.47</v>
      </c>
      <c r="Q36" s="2"/>
      <c r="R36" s="7">
        <f t="shared" si="26"/>
        <v>0.18558805372738874</v>
      </c>
      <c r="S36" s="2"/>
      <c r="T36" s="6">
        <v>83622.899999999994</v>
      </c>
      <c r="U36" s="2"/>
      <c r="V36" s="7">
        <f t="shared" si="27"/>
        <v>0</v>
      </c>
      <c r="W36" s="2"/>
      <c r="X36" s="6">
        <f t="shared" si="28"/>
        <v>50798.570000000007</v>
      </c>
      <c r="Y36" s="2"/>
      <c r="Z36" s="7">
        <f t="shared" si="29"/>
        <v>0.60747199630723181</v>
      </c>
    </row>
    <row r="37" spans="1:26" s="24" customFormat="1" hidden="1" outlineLevel="2" x14ac:dyDescent="0.3">
      <c r="A37" s="27"/>
      <c r="B37" s="11" t="str">
        <f>CONCATENATE("          ", "6005", " - ", "TEMPORARY WAGES-HOURLY")</f>
        <v xml:space="preserve">          6005 - TEMPORARY WAGES-HOURLY</v>
      </c>
      <c r="C37" s="11"/>
      <c r="D37" s="6">
        <v>6253.65</v>
      </c>
      <c r="E37" s="2"/>
      <c r="F37" s="7">
        <f t="shared" si="22"/>
        <v>2.7056892094977861E-2</v>
      </c>
      <c r="G37" s="2"/>
      <c r="H37" s="6"/>
      <c r="I37" s="2"/>
      <c r="J37" s="7">
        <f t="shared" si="23"/>
        <v>0</v>
      </c>
      <c r="K37" s="2"/>
      <c r="L37" s="6">
        <f t="shared" si="24"/>
        <v>6253.65</v>
      </c>
      <c r="M37" s="2"/>
      <c r="N37" s="7">
        <f t="shared" si="25"/>
        <v>0</v>
      </c>
      <c r="O37" s="11"/>
      <c r="P37" s="6">
        <v>56589.21</v>
      </c>
      <c r="Q37" s="2"/>
      <c r="R37" s="7">
        <f t="shared" si="26"/>
        <v>7.8129493345597878E-2</v>
      </c>
      <c r="S37" s="2"/>
      <c r="T37" s="6"/>
      <c r="U37" s="2"/>
      <c r="V37" s="7">
        <f t="shared" si="27"/>
        <v>0</v>
      </c>
      <c r="W37" s="2"/>
      <c r="X37" s="6">
        <f t="shared" si="28"/>
        <v>56589.21</v>
      </c>
      <c r="Y37" s="2"/>
      <c r="Z37" s="7">
        <f t="shared" si="29"/>
        <v>0</v>
      </c>
    </row>
    <row r="38" spans="1:26" s="24" customFormat="1" hidden="1" outlineLevel="2" x14ac:dyDescent="0.3">
      <c r="A38" s="27"/>
      <c r="B38" s="11" t="str">
        <f>CONCATENATE("          ", "6007", " - ", "STUDENT HOURLY")</f>
        <v xml:space="preserve">          6007 - STUDENT HOURLY</v>
      </c>
      <c r="C38" s="11"/>
      <c r="D38" s="6">
        <v>18636.72</v>
      </c>
      <c r="E38" s="2"/>
      <c r="F38" s="7">
        <f t="shared" si="22"/>
        <v>8.0633185746614516E-2</v>
      </c>
      <c r="G38" s="2"/>
      <c r="H38" s="6"/>
      <c r="I38" s="2"/>
      <c r="J38" s="7">
        <f t="shared" si="23"/>
        <v>0</v>
      </c>
      <c r="K38" s="2"/>
      <c r="L38" s="6">
        <f t="shared" si="24"/>
        <v>18636.72</v>
      </c>
      <c r="M38" s="2"/>
      <c r="N38" s="7">
        <f t="shared" si="25"/>
        <v>0</v>
      </c>
      <c r="O38" s="11"/>
      <c r="P38" s="6">
        <v>63223.48</v>
      </c>
      <c r="Q38" s="2"/>
      <c r="R38" s="7">
        <f t="shared" si="26"/>
        <v>8.7289051392403963E-2</v>
      </c>
      <c r="S38" s="2"/>
      <c r="T38" s="6">
        <v>0</v>
      </c>
      <c r="U38" s="2"/>
      <c r="V38" s="7">
        <f t="shared" si="27"/>
        <v>0</v>
      </c>
      <c r="W38" s="2"/>
      <c r="X38" s="6">
        <f t="shared" si="28"/>
        <v>63223.48</v>
      </c>
      <c r="Y38" s="2"/>
      <c r="Z38" s="7">
        <f t="shared" si="29"/>
        <v>0</v>
      </c>
    </row>
    <row r="39" spans="1:26" s="24" customFormat="1" hidden="1" outlineLevel="2" x14ac:dyDescent="0.3">
      <c r="A39" s="27"/>
      <c r="B39" s="11" t="str">
        <f>CONCATENATE("          ", "6008", " - ", "STUDENT HOURLY-FICA EXEMPT")</f>
        <v xml:space="preserve">          6008 - STUDENT HOURLY-FICA EXEMPT</v>
      </c>
      <c r="C39" s="11"/>
      <c r="D39" s="6">
        <v>8144.99</v>
      </c>
      <c r="E39" s="2"/>
      <c r="F39" s="7">
        <f t="shared" si="22"/>
        <v>3.5239918374816902E-2</v>
      </c>
      <c r="G39" s="2"/>
      <c r="H39" s="6"/>
      <c r="I39" s="2"/>
      <c r="J39" s="7">
        <f t="shared" si="23"/>
        <v>0</v>
      </c>
      <c r="K39" s="2"/>
      <c r="L39" s="6">
        <f t="shared" si="24"/>
        <v>8144.99</v>
      </c>
      <c r="M39" s="2"/>
      <c r="N39" s="7">
        <f t="shared" si="25"/>
        <v>0</v>
      </c>
      <c r="O39" s="11"/>
      <c r="P39" s="6">
        <v>14015.19</v>
      </c>
      <c r="Q39" s="2"/>
      <c r="R39" s="7">
        <f t="shared" si="26"/>
        <v>1.9349973145804472E-2</v>
      </c>
      <c r="S39" s="2"/>
      <c r="T39" s="6"/>
      <c r="U39" s="2"/>
      <c r="V39" s="7">
        <f t="shared" si="27"/>
        <v>0</v>
      </c>
      <c r="W39" s="2"/>
      <c r="X39" s="6">
        <f t="shared" si="28"/>
        <v>14015.19</v>
      </c>
      <c r="Y39" s="2"/>
      <c r="Z39" s="7">
        <f t="shared" si="29"/>
        <v>0</v>
      </c>
    </row>
    <row r="40" spans="1:26" s="29" customFormat="1" outlineLevel="1" collapsed="1" x14ac:dyDescent="0.3">
      <c r="A40" s="28"/>
      <c r="B40" s="14" t="str">
        <f>CONCATENATE("     ","Advertising/Promo                                 ")</f>
        <v xml:space="preserve">     Advertising/Promo                                 </v>
      </c>
      <c r="C40" s="14"/>
      <c r="D40" s="1">
        <f>SUM(OSRRefD22_2x_0)</f>
        <v>0</v>
      </c>
      <c r="E40" s="1"/>
      <c r="F40" s="5">
        <f t="shared" ref="F40:F62" si="30">IF(D$12=0,0,D40/D$12)</f>
        <v>0</v>
      </c>
      <c r="G40" s="1"/>
      <c r="H40" s="1">
        <f>SUM(OSRRefH22_2x_0)</f>
        <v>0</v>
      </c>
      <c r="I40" s="1"/>
      <c r="J40" s="5">
        <f t="shared" ref="J40:J62" si="31">IF(H$12=0,0,H40/H$12)</f>
        <v>0</v>
      </c>
      <c r="K40" s="1"/>
      <c r="L40" s="1">
        <f t="shared" ref="L40:L62" si="32">+D40-H40</f>
        <v>0</v>
      </c>
      <c r="M40" s="1"/>
      <c r="N40" s="5">
        <f t="shared" ref="N40:N62" si="33">IF(H40=0,0,L40/H40)</f>
        <v>0</v>
      </c>
      <c r="O40" s="14"/>
      <c r="P40" s="1">
        <f>SUM(OSRRefP22_2x_0)</f>
        <v>855.27</v>
      </c>
      <c r="Q40" s="1"/>
      <c r="R40" s="5">
        <f t="shared" ref="R40:R62" si="34">IF(P$12=0,0,P40/P$12)</f>
        <v>1.1808224884865771E-3</v>
      </c>
      <c r="S40" s="1"/>
      <c r="T40" s="1">
        <f>SUM(OSRRefT22_2x_0)</f>
        <v>0</v>
      </c>
      <c r="U40" s="1"/>
      <c r="V40" s="5">
        <f t="shared" ref="V40:V62" si="35">IF(T$12=0,0,T40/T$12)</f>
        <v>0</v>
      </c>
      <c r="W40" s="1"/>
      <c r="X40" s="1">
        <f t="shared" ref="X40:X62" si="36">+P40-T40</f>
        <v>855.27</v>
      </c>
      <c r="Y40" s="1"/>
      <c r="Z40" s="5">
        <f t="shared" ref="Z40:Z62" si="37">IF(T40=0,0,X40/T40)</f>
        <v>0</v>
      </c>
    </row>
    <row r="41" spans="1:26" s="24" customFormat="1" hidden="1" outlineLevel="2" x14ac:dyDescent="0.3">
      <c r="A41" s="27"/>
      <c r="B41" s="11" t="str">
        <f>CONCATENATE("          ", "6362", " - ", "ADVERTISING EXPENSE")</f>
        <v xml:space="preserve">          6362 - ADVERTISING EXPENSE</v>
      </c>
      <c r="C41" s="11"/>
      <c r="D41" s="6"/>
      <c r="E41" s="2"/>
      <c r="F41" s="7">
        <f t="shared" si="30"/>
        <v>0</v>
      </c>
      <c r="G41" s="2"/>
      <c r="H41" s="6"/>
      <c r="I41" s="2"/>
      <c r="J41" s="7">
        <f t="shared" si="31"/>
        <v>0</v>
      </c>
      <c r="K41" s="2"/>
      <c r="L41" s="6">
        <f t="shared" si="32"/>
        <v>0</v>
      </c>
      <c r="M41" s="2"/>
      <c r="N41" s="7">
        <f t="shared" si="33"/>
        <v>0</v>
      </c>
      <c r="O41" s="11"/>
      <c r="P41" s="6">
        <v>855.27</v>
      </c>
      <c r="Q41" s="2"/>
      <c r="R41" s="7">
        <f t="shared" si="34"/>
        <v>1.1808224884865771E-3</v>
      </c>
      <c r="S41" s="2"/>
      <c r="T41" s="6"/>
      <c r="U41" s="2"/>
      <c r="V41" s="7">
        <f t="shared" si="35"/>
        <v>0</v>
      </c>
      <c r="W41" s="2"/>
      <c r="X41" s="6">
        <f t="shared" si="36"/>
        <v>855.27</v>
      </c>
      <c r="Y41" s="2"/>
      <c r="Z41" s="7">
        <f t="shared" si="37"/>
        <v>0</v>
      </c>
    </row>
    <row r="42" spans="1:26" s="29" customFormat="1" outlineLevel="1" collapsed="1" x14ac:dyDescent="0.3">
      <c r="A42" s="28"/>
      <c r="B42" s="14" t="str">
        <f>CONCATENATE("     ","Bad Debts/Over/Short                              ")</f>
        <v xml:space="preserve">     Bad Debts/Over/Short                              </v>
      </c>
      <c r="C42" s="14"/>
      <c r="D42" s="1">
        <f>SUM(OSRRefD22_3x_0)</f>
        <v>0</v>
      </c>
      <c r="E42" s="1"/>
      <c r="F42" s="5">
        <f t="shared" si="30"/>
        <v>0</v>
      </c>
      <c r="G42" s="1"/>
      <c r="H42" s="1">
        <f>SUM(OSRRefH22_3x_0)</f>
        <v>0</v>
      </c>
      <c r="I42" s="1"/>
      <c r="J42" s="5">
        <f t="shared" si="31"/>
        <v>0</v>
      </c>
      <c r="K42" s="1"/>
      <c r="L42" s="1">
        <f t="shared" si="32"/>
        <v>0</v>
      </c>
      <c r="M42" s="1"/>
      <c r="N42" s="5">
        <f t="shared" si="33"/>
        <v>0</v>
      </c>
      <c r="O42" s="14"/>
      <c r="P42" s="1">
        <f>SUM(OSRRefP22_3x_0)</f>
        <v>0</v>
      </c>
      <c r="Q42" s="1"/>
      <c r="R42" s="5">
        <f t="shared" si="34"/>
        <v>0</v>
      </c>
      <c r="S42" s="1"/>
      <c r="T42" s="1">
        <f>SUM(OSRRefT22_3x_0)</f>
        <v>29.74</v>
      </c>
      <c r="U42" s="1"/>
      <c r="V42" s="5">
        <f t="shared" si="35"/>
        <v>0</v>
      </c>
      <c r="W42" s="1"/>
      <c r="X42" s="1">
        <f t="shared" si="36"/>
        <v>-29.74</v>
      </c>
      <c r="Y42" s="1"/>
      <c r="Z42" s="5">
        <f t="shared" si="37"/>
        <v>-1</v>
      </c>
    </row>
    <row r="43" spans="1:26" s="24" customFormat="1" hidden="1" outlineLevel="2" x14ac:dyDescent="0.3">
      <c r="A43" s="27"/>
      <c r="B43" s="11" t="str">
        <f>CONCATENATE("          ", "6272", " - ", "CASH (OVER/SHORT)")</f>
        <v xml:space="preserve">          6272 - CASH (OVER/SHORT)</v>
      </c>
      <c r="C43" s="11"/>
      <c r="D43" s="6"/>
      <c r="E43" s="2"/>
      <c r="F43" s="7">
        <f t="shared" si="30"/>
        <v>0</v>
      </c>
      <c r="G43" s="2"/>
      <c r="H43" s="6"/>
      <c r="I43" s="2"/>
      <c r="J43" s="7">
        <f t="shared" si="31"/>
        <v>0</v>
      </c>
      <c r="K43" s="2"/>
      <c r="L43" s="6">
        <f t="shared" si="32"/>
        <v>0</v>
      </c>
      <c r="M43" s="2"/>
      <c r="N43" s="7">
        <f t="shared" si="33"/>
        <v>0</v>
      </c>
      <c r="O43" s="11"/>
      <c r="P43" s="6"/>
      <c r="Q43" s="2"/>
      <c r="R43" s="7">
        <f t="shared" si="34"/>
        <v>0</v>
      </c>
      <c r="S43" s="2"/>
      <c r="T43" s="6">
        <v>29.74</v>
      </c>
      <c r="U43" s="2"/>
      <c r="V43" s="7">
        <f t="shared" si="35"/>
        <v>0</v>
      </c>
      <c r="W43" s="2"/>
      <c r="X43" s="6">
        <f t="shared" si="36"/>
        <v>-29.74</v>
      </c>
      <c r="Y43" s="2"/>
      <c r="Z43" s="7">
        <f t="shared" si="37"/>
        <v>-1</v>
      </c>
    </row>
    <row r="44" spans="1:26" s="29" customFormat="1" outlineLevel="1" collapsed="1" x14ac:dyDescent="0.3">
      <c r="A44" s="28"/>
      <c r="B44" s="14" t="str">
        <f>CONCATENATE("     ","Bank/card Fees                                    ")</f>
        <v xml:space="preserve">     Bank/card Fees                                    </v>
      </c>
      <c r="C44" s="14"/>
      <c r="D44" s="1">
        <f>SUM(OSRRefD22_4x_0)</f>
        <v>41.19</v>
      </c>
      <c r="E44" s="1"/>
      <c r="F44" s="5">
        <f t="shared" si="30"/>
        <v>1.7821166604976903E-4</v>
      </c>
      <c r="G44" s="1"/>
      <c r="H44" s="1">
        <f>SUM(OSRRefH22_4x_0)</f>
        <v>0</v>
      </c>
      <c r="I44" s="1"/>
      <c r="J44" s="5">
        <f t="shared" si="31"/>
        <v>0</v>
      </c>
      <c r="K44" s="1"/>
      <c r="L44" s="1">
        <f t="shared" si="32"/>
        <v>41.19</v>
      </c>
      <c r="M44" s="1"/>
      <c r="N44" s="5">
        <f t="shared" si="33"/>
        <v>0</v>
      </c>
      <c r="O44" s="14"/>
      <c r="P44" s="1">
        <f>SUM(OSRRefP22_4x_0)</f>
        <v>187.29</v>
      </c>
      <c r="Q44" s="1"/>
      <c r="R44" s="5">
        <f t="shared" si="34"/>
        <v>2.5858061649379846E-4</v>
      </c>
      <c r="S44" s="1"/>
      <c r="T44" s="1">
        <f>SUM(OSRRefT22_4x_0)</f>
        <v>0</v>
      </c>
      <c r="U44" s="1"/>
      <c r="V44" s="5">
        <f t="shared" si="35"/>
        <v>0</v>
      </c>
      <c r="W44" s="1"/>
      <c r="X44" s="1">
        <f t="shared" si="36"/>
        <v>187.29</v>
      </c>
      <c r="Y44" s="1"/>
      <c r="Z44" s="5">
        <f t="shared" si="37"/>
        <v>0</v>
      </c>
    </row>
    <row r="45" spans="1:26" s="24" customFormat="1" hidden="1" outlineLevel="2" x14ac:dyDescent="0.3">
      <c r="A45" s="27"/>
      <c r="B45" s="11" t="str">
        <f>CONCATENATE("          ", "6381", " - ", "BANK/CREDIT CARD FEES")</f>
        <v xml:space="preserve">          6381 - BANK/CREDIT CARD FEES</v>
      </c>
      <c r="C45" s="11"/>
      <c r="D45" s="6">
        <v>41.19</v>
      </c>
      <c r="E45" s="2"/>
      <c r="F45" s="7">
        <f t="shared" si="30"/>
        <v>1.7821166604976903E-4</v>
      </c>
      <c r="G45" s="2"/>
      <c r="H45" s="6"/>
      <c r="I45" s="2"/>
      <c r="J45" s="7">
        <f t="shared" si="31"/>
        <v>0</v>
      </c>
      <c r="K45" s="2"/>
      <c r="L45" s="6">
        <f t="shared" si="32"/>
        <v>41.19</v>
      </c>
      <c r="M45" s="2"/>
      <c r="N45" s="7">
        <f t="shared" si="33"/>
        <v>0</v>
      </c>
      <c r="O45" s="11"/>
      <c r="P45" s="6">
        <v>187.29</v>
      </c>
      <c r="Q45" s="2"/>
      <c r="R45" s="7">
        <f t="shared" si="34"/>
        <v>2.5858061649379846E-4</v>
      </c>
      <c r="S45" s="2"/>
      <c r="T45" s="6"/>
      <c r="U45" s="2"/>
      <c r="V45" s="7">
        <f t="shared" si="35"/>
        <v>0</v>
      </c>
      <c r="W45" s="2"/>
      <c r="X45" s="6">
        <f t="shared" si="36"/>
        <v>187.29</v>
      </c>
      <c r="Y45" s="2"/>
      <c r="Z45" s="7">
        <f t="shared" si="37"/>
        <v>0</v>
      </c>
    </row>
    <row r="46" spans="1:26" s="29" customFormat="1" outlineLevel="1" collapsed="1" x14ac:dyDescent="0.3">
      <c r="A46" s="28"/>
      <c r="B46" s="14" t="str">
        <f>CONCATENATE("     ","Depreciation                                      ")</f>
        <v xml:space="preserve">     Depreciation                                      </v>
      </c>
      <c r="C46" s="14"/>
      <c r="D46" s="1">
        <f>SUM(OSRRefD22_5x_0)</f>
        <v>213.02</v>
      </c>
      <c r="E46" s="1"/>
      <c r="F46" s="5">
        <f t="shared" si="30"/>
        <v>9.2164722267350815E-4</v>
      </c>
      <c r="G46" s="1"/>
      <c r="H46" s="1">
        <f>SUM(OSRRefH22_5x_0)</f>
        <v>213.02</v>
      </c>
      <c r="I46" s="1"/>
      <c r="J46" s="5">
        <f t="shared" si="31"/>
        <v>0</v>
      </c>
      <c r="K46" s="1"/>
      <c r="L46" s="1">
        <f t="shared" si="32"/>
        <v>0</v>
      </c>
      <c r="M46" s="1"/>
      <c r="N46" s="5">
        <f t="shared" si="33"/>
        <v>0</v>
      </c>
      <c r="O46" s="14"/>
      <c r="P46" s="1">
        <f>SUM(OSRRefP22_5x_0)</f>
        <v>1065.0999999999999</v>
      </c>
      <c r="Q46" s="1"/>
      <c r="R46" s="5">
        <f t="shared" si="34"/>
        <v>1.4705227968794103E-3</v>
      </c>
      <c r="S46" s="1"/>
      <c r="T46" s="1">
        <f>SUM(OSRRefT22_5x_0)</f>
        <v>1065.0999999999999</v>
      </c>
      <c r="U46" s="1"/>
      <c r="V46" s="5">
        <f t="shared" si="35"/>
        <v>0</v>
      </c>
      <c r="W46" s="1"/>
      <c r="X46" s="1">
        <f t="shared" si="36"/>
        <v>0</v>
      </c>
      <c r="Y46" s="1"/>
      <c r="Z46" s="5">
        <f t="shared" si="37"/>
        <v>0</v>
      </c>
    </row>
    <row r="47" spans="1:26" s="24" customFormat="1" hidden="1" outlineLevel="2" x14ac:dyDescent="0.3">
      <c r="A47" s="27"/>
      <c r="B47" s="11" t="str">
        <f>CONCATENATE("          ", "6322", " - ", "EQUIPMENT DEPRECIATION EXPENSE")</f>
        <v xml:space="preserve">          6322 - EQUIPMENT DEPRECIATION EXPENSE</v>
      </c>
      <c r="C47" s="11"/>
      <c r="D47" s="6">
        <v>213.02</v>
      </c>
      <c r="E47" s="2"/>
      <c r="F47" s="7">
        <f t="shared" si="30"/>
        <v>9.2164722267350815E-4</v>
      </c>
      <c r="G47" s="2"/>
      <c r="H47" s="6">
        <v>213.02</v>
      </c>
      <c r="I47" s="2"/>
      <c r="J47" s="7">
        <f t="shared" si="31"/>
        <v>0</v>
      </c>
      <c r="K47" s="2"/>
      <c r="L47" s="6">
        <f t="shared" si="32"/>
        <v>0</v>
      </c>
      <c r="M47" s="2"/>
      <c r="N47" s="7">
        <f t="shared" si="33"/>
        <v>0</v>
      </c>
      <c r="O47" s="11"/>
      <c r="P47" s="6">
        <v>1065.0999999999999</v>
      </c>
      <c r="Q47" s="2"/>
      <c r="R47" s="7">
        <f t="shared" si="34"/>
        <v>1.4705227968794103E-3</v>
      </c>
      <c r="S47" s="2"/>
      <c r="T47" s="6">
        <v>1065.0999999999999</v>
      </c>
      <c r="U47" s="2"/>
      <c r="V47" s="7">
        <f t="shared" si="35"/>
        <v>0</v>
      </c>
      <c r="W47" s="2"/>
      <c r="X47" s="6">
        <f t="shared" si="36"/>
        <v>0</v>
      </c>
      <c r="Y47" s="2"/>
      <c r="Z47" s="7">
        <f t="shared" si="37"/>
        <v>0</v>
      </c>
    </row>
    <row r="48" spans="1:26" s="29" customFormat="1" outlineLevel="1" collapsed="1" x14ac:dyDescent="0.3">
      <c r="A48" s="28"/>
      <c r="B48" s="14" t="str">
        <f>CONCATENATE("     ","Donations                                         ")</f>
        <v xml:space="preserve">     Donations                                         </v>
      </c>
      <c r="C48" s="14"/>
      <c r="D48" s="1">
        <f>SUM(OSRRefD22_6x_0)</f>
        <v>1390.82</v>
      </c>
      <c r="E48" s="1"/>
      <c r="F48" s="5">
        <f t="shared" si="30"/>
        <v>6.0174884529094388E-3</v>
      </c>
      <c r="G48" s="1"/>
      <c r="H48" s="1">
        <f>SUM(OSRRefH22_6x_0)</f>
        <v>0</v>
      </c>
      <c r="I48" s="1"/>
      <c r="J48" s="5">
        <f t="shared" si="31"/>
        <v>0</v>
      </c>
      <c r="K48" s="1"/>
      <c r="L48" s="1">
        <f t="shared" si="32"/>
        <v>1390.82</v>
      </c>
      <c r="M48" s="1"/>
      <c r="N48" s="5">
        <f t="shared" si="33"/>
        <v>0</v>
      </c>
      <c r="O48" s="14"/>
      <c r="P48" s="1">
        <f>SUM(OSRRefP22_6x_0)</f>
        <v>5646.07</v>
      </c>
      <c r="Q48" s="1"/>
      <c r="R48" s="5">
        <f t="shared" si="34"/>
        <v>7.7952066921199246E-3</v>
      </c>
      <c r="S48" s="1"/>
      <c r="T48" s="1">
        <f>SUM(OSRRefT22_6x_0)</f>
        <v>0</v>
      </c>
      <c r="U48" s="1"/>
      <c r="V48" s="5">
        <f t="shared" si="35"/>
        <v>0</v>
      </c>
      <c r="W48" s="1"/>
      <c r="X48" s="1">
        <f t="shared" si="36"/>
        <v>5646.07</v>
      </c>
      <c r="Y48" s="1"/>
      <c r="Z48" s="5">
        <f t="shared" si="37"/>
        <v>0</v>
      </c>
    </row>
    <row r="49" spans="1:26" s="24" customFormat="1" hidden="1" outlineLevel="2" x14ac:dyDescent="0.3">
      <c r="A49" s="27"/>
      <c r="B49" s="11" t="str">
        <f>CONCATENATE("          ", "6399", " - ", "DONATION-ON CAMPUS")</f>
        <v xml:space="preserve">          6399 - DONATION-ON CAMPUS</v>
      </c>
      <c r="C49" s="11"/>
      <c r="D49" s="6">
        <v>1390.82</v>
      </c>
      <c r="E49" s="2"/>
      <c r="F49" s="7">
        <f t="shared" si="30"/>
        <v>6.0174884529094388E-3</v>
      </c>
      <c r="G49" s="2"/>
      <c r="H49" s="6"/>
      <c r="I49" s="2"/>
      <c r="J49" s="7">
        <f t="shared" si="31"/>
        <v>0</v>
      </c>
      <c r="K49" s="2"/>
      <c r="L49" s="6">
        <f t="shared" si="32"/>
        <v>1390.82</v>
      </c>
      <c r="M49" s="2"/>
      <c r="N49" s="7">
        <f t="shared" si="33"/>
        <v>0</v>
      </c>
      <c r="O49" s="11"/>
      <c r="P49" s="6">
        <v>5646.07</v>
      </c>
      <c r="Q49" s="2"/>
      <c r="R49" s="7">
        <f t="shared" si="34"/>
        <v>7.7952066921199246E-3</v>
      </c>
      <c r="S49" s="2"/>
      <c r="T49" s="6"/>
      <c r="U49" s="2"/>
      <c r="V49" s="7">
        <f t="shared" si="35"/>
        <v>0</v>
      </c>
      <c r="W49" s="2"/>
      <c r="X49" s="6">
        <f t="shared" si="36"/>
        <v>5646.07</v>
      </c>
      <c r="Y49" s="2"/>
      <c r="Z49" s="7">
        <f t="shared" si="37"/>
        <v>0</v>
      </c>
    </row>
    <row r="50" spans="1:26" s="29" customFormat="1" outlineLevel="1" collapsed="1" x14ac:dyDescent="0.3">
      <c r="A50" s="28"/>
      <c r="B50" s="14" t="str">
        <f>CONCATENATE("     ","Employees' Appreciation                           ")</f>
        <v xml:space="preserve">     Employees' Appreciation                           </v>
      </c>
      <c r="C50" s="14"/>
      <c r="D50" s="1">
        <f>SUM(OSRRefD22_7x_0)</f>
        <v>0</v>
      </c>
      <c r="E50" s="1"/>
      <c r="F50" s="5">
        <f t="shared" si="30"/>
        <v>0</v>
      </c>
      <c r="G50" s="1"/>
      <c r="H50" s="1">
        <f>SUM(OSRRefH22_7x_0)</f>
        <v>0</v>
      </c>
      <c r="I50" s="1"/>
      <c r="J50" s="5">
        <f t="shared" si="31"/>
        <v>0</v>
      </c>
      <c r="K50" s="1"/>
      <c r="L50" s="1">
        <f t="shared" si="32"/>
        <v>0</v>
      </c>
      <c r="M50" s="1"/>
      <c r="N50" s="5">
        <f t="shared" si="33"/>
        <v>0</v>
      </c>
      <c r="O50" s="14"/>
      <c r="P50" s="1">
        <f>SUM(OSRRefP22_7x_0)</f>
        <v>14.49</v>
      </c>
      <c r="Q50" s="1"/>
      <c r="R50" s="5">
        <f t="shared" si="34"/>
        <v>2.0005516220808053E-5</v>
      </c>
      <c r="S50" s="1"/>
      <c r="T50" s="1">
        <f>SUM(OSRRefT22_7x_0)</f>
        <v>0</v>
      </c>
      <c r="U50" s="1"/>
      <c r="V50" s="5">
        <f t="shared" si="35"/>
        <v>0</v>
      </c>
      <c r="W50" s="1"/>
      <c r="X50" s="1">
        <f t="shared" si="36"/>
        <v>14.49</v>
      </c>
      <c r="Y50" s="1"/>
      <c r="Z50" s="5">
        <f t="shared" si="37"/>
        <v>0</v>
      </c>
    </row>
    <row r="51" spans="1:26" s="24" customFormat="1" hidden="1" outlineLevel="2" x14ac:dyDescent="0.3">
      <c r="A51" s="27"/>
      <c r="B51" s="11" t="str">
        <f>CONCATENATE("          ", "6277", " - ", "EMPLOYEE APPRECIATION")</f>
        <v xml:space="preserve">          6277 - EMPLOYEE APPRECIATION</v>
      </c>
      <c r="C51" s="11"/>
      <c r="D51" s="6"/>
      <c r="E51" s="2"/>
      <c r="F51" s="7">
        <f t="shared" si="30"/>
        <v>0</v>
      </c>
      <c r="G51" s="2"/>
      <c r="H51" s="6"/>
      <c r="I51" s="2"/>
      <c r="J51" s="7">
        <f t="shared" si="31"/>
        <v>0</v>
      </c>
      <c r="K51" s="2"/>
      <c r="L51" s="6">
        <f t="shared" si="32"/>
        <v>0</v>
      </c>
      <c r="M51" s="2"/>
      <c r="N51" s="7">
        <f t="shared" si="33"/>
        <v>0</v>
      </c>
      <c r="O51" s="11"/>
      <c r="P51" s="6">
        <v>14.49</v>
      </c>
      <c r="Q51" s="2"/>
      <c r="R51" s="7">
        <f t="shared" si="34"/>
        <v>2.0005516220808053E-5</v>
      </c>
      <c r="S51" s="2"/>
      <c r="T51" s="6"/>
      <c r="U51" s="2"/>
      <c r="V51" s="7">
        <f t="shared" si="35"/>
        <v>0</v>
      </c>
      <c r="W51" s="2"/>
      <c r="X51" s="6">
        <f t="shared" si="36"/>
        <v>14.49</v>
      </c>
      <c r="Y51" s="2"/>
      <c r="Z51" s="7">
        <f t="shared" si="37"/>
        <v>0</v>
      </c>
    </row>
    <row r="52" spans="1:26" s="29" customFormat="1" outlineLevel="1" collapsed="1" x14ac:dyDescent="0.3">
      <c r="A52" s="28"/>
      <c r="B52" s="14" t="str">
        <f>CONCATENATE("     ","Equipment Rental                                  ")</f>
        <v xml:space="preserve">     Equipment Rental                                  </v>
      </c>
      <c r="C52" s="14"/>
      <c r="D52" s="1">
        <f>SUM(OSRRefD22_8x_0)</f>
        <v>0</v>
      </c>
      <c r="E52" s="1"/>
      <c r="F52" s="5">
        <f t="shared" si="30"/>
        <v>0</v>
      </c>
      <c r="G52" s="1"/>
      <c r="H52" s="1">
        <f>SUM(OSRRefH22_8x_0)</f>
        <v>0</v>
      </c>
      <c r="I52" s="1"/>
      <c r="J52" s="5">
        <f t="shared" si="31"/>
        <v>0</v>
      </c>
      <c r="K52" s="1"/>
      <c r="L52" s="1">
        <f t="shared" si="32"/>
        <v>0</v>
      </c>
      <c r="M52" s="1"/>
      <c r="N52" s="5">
        <f t="shared" si="33"/>
        <v>0</v>
      </c>
      <c r="O52" s="14"/>
      <c r="P52" s="1">
        <f>SUM(OSRRefP22_8x_0)</f>
        <v>0</v>
      </c>
      <c r="Q52" s="1"/>
      <c r="R52" s="5">
        <f t="shared" si="34"/>
        <v>0</v>
      </c>
      <c r="S52" s="1"/>
      <c r="T52" s="1">
        <f>SUM(OSRRefT22_8x_0)</f>
        <v>20</v>
      </c>
      <c r="U52" s="1"/>
      <c r="V52" s="5">
        <f t="shared" si="35"/>
        <v>0</v>
      </c>
      <c r="W52" s="1"/>
      <c r="X52" s="1">
        <f t="shared" si="36"/>
        <v>-20</v>
      </c>
      <c r="Y52" s="1"/>
      <c r="Z52" s="5">
        <f t="shared" si="37"/>
        <v>-1</v>
      </c>
    </row>
    <row r="53" spans="1:26" s="24" customFormat="1" hidden="1" outlineLevel="2" x14ac:dyDescent="0.3">
      <c r="A53" s="27"/>
      <c r="B53" s="11" t="str">
        <f>CONCATENATE("          ", "6351", " - ", "EQUIPMENT RENTAL")</f>
        <v xml:space="preserve">          6351 - EQUIPMENT RENTAL</v>
      </c>
      <c r="C53" s="11"/>
      <c r="D53" s="6"/>
      <c r="E53" s="2"/>
      <c r="F53" s="7">
        <f t="shared" si="30"/>
        <v>0</v>
      </c>
      <c r="G53" s="2"/>
      <c r="H53" s="6"/>
      <c r="I53" s="2"/>
      <c r="J53" s="7">
        <f t="shared" si="31"/>
        <v>0</v>
      </c>
      <c r="K53" s="2"/>
      <c r="L53" s="6">
        <f t="shared" si="32"/>
        <v>0</v>
      </c>
      <c r="M53" s="2"/>
      <c r="N53" s="7">
        <f t="shared" si="33"/>
        <v>0</v>
      </c>
      <c r="O53" s="11"/>
      <c r="P53" s="6"/>
      <c r="Q53" s="2"/>
      <c r="R53" s="7">
        <f t="shared" si="34"/>
        <v>0</v>
      </c>
      <c r="S53" s="2"/>
      <c r="T53" s="6">
        <v>20</v>
      </c>
      <c r="U53" s="2"/>
      <c r="V53" s="7">
        <f t="shared" si="35"/>
        <v>0</v>
      </c>
      <c r="W53" s="2"/>
      <c r="X53" s="6">
        <f t="shared" si="36"/>
        <v>-20</v>
      </c>
      <c r="Y53" s="2"/>
      <c r="Z53" s="7">
        <f t="shared" si="37"/>
        <v>-1</v>
      </c>
    </row>
    <row r="54" spans="1:26" s="29" customFormat="1" outlineLevel="1" collapsed="1" x14ac:dyDescent="0.3">
      <c r="A54" s="28"/>
      <c r="B54" s="14" t="str">
        <f>CONCATENATE("     ","General                                           ")</f>
        <v xml:space="preserve">     General                                           </v>
      </c>
      <c r="C54" s="14"/>
      <c r="D54" s="1">
        <f>SUM(OSRRefD22_9x_0)</f>
        <v>0</v>
      </c>
      <c r="E54" s="1"/>
      <c r="F54" s="5">
        <f t="shared" si="30"/>
        <v>0</v>
      </c>
      <c r="G54" s="1"/>
      <c r="H54" s="1">
        <f>SUM(OSRRefH22_9x_0)</f>
        <v>0</v>
      </c>
      <c r="I54" s="1"/>
      <c r="J54" s="5">
        <f t="shared" si="31"/>
        <v>0</v>
      </c>
      <c r="K54" s="1"/>
      <c r="L54" s="1">
        <f t="shared" si="32"/>
        <v>0</v>
      </c>
      <c r="M54" s="1"/>
      <c r="N54" s="5">
        <f t="shared" si="33"/>
        <v>0</v>
      </c>
      <c r="O54" s="14"/>
      <c r="P54" s="1">
        <f>SUM(OSRRefP22_9x_0)</f>
        <v>1767.16</v>
      </c>
      <c r="Q54" s="1"/>
      <c r="R54" s="5">
        <f t="shared" si="34"/>
        <v>2.4398169803149178E-3</v>
      </c>
      <c r="S54" s="1"/>
      <c r="T54" s="1">
        <f>SUM(OSRRefT22_9x_0)</f>
        <v>1439.55</v>
      </c>
      <c r="U54" s="1"/>
      <c r="V54" s="5">
        <f t="shared" si="35"/>
        <v>0</v>
      </c>
      <c r="W54" s="1"/>
      <c r="X54" s="1">
        <f t="shared" si="36"/>
        <v>327.61000000000013</v>
      </c>
      <c r="Y54" s="1"/>
      <c r="Z54" s="5">
        <f t="shared" si="37"/>
        <v>0.22757806258900359</v>
      </c>
    </row>
    <row r="55" spans="1:26" s="24" customFormat="1" hidden="1" outlineLevel="2" x14ac:dyDescent="0.3">
      <c r="A55" s="27"/>
      <c r="B55" s="11" t="str">
        <f>CONCATENATE("          ", "6279", " - ", "GENERAL EXPENSE")</f>
        <v xml:space="preserve">          6279 - GENERAL EXPENSE</v>
      </c>
      <c r="C55" s="11"/>
      <c r="D55" s="6"/>
      <c r="E55" s="2"/>
      <c r="F55" s="7">
        <f t="shared" si="30"/>
        <v>0</v>
      </c>
      <c r="G55" s="2"/>
      <c r="H55" s="6"/>
      <c r="I55" s="2"/>
      <c r="J55" s="7">
        <f t="shared" si="31"/>
        <v>0</v>
      </c>
      <c r="K55" s="2"/>
      <c r="L55" s="6">
        <f t="shared" si="32"/>
        <v>0</v>
      </c>
      <c r="M55" s="2"/>
      <c r="N55" s="7">
        <f t="shared" si="33"/>
        <v>0</v>
      </c>
      <c r="O55" s="11"/>
      <c r="P55" s="6">
        <v>1767.16</v>
      </c>
      <c r="Q55" s="2"/>
      <c r="R55" s="7">
        <f t="shared" si="34"/>
        <v>2.4398169803149178E-3</v>
      </c>
      <c r="S55" s="2"/>
      <c r="T55" s="6">
        <v>1439.55</v>
      </c>
      <c r="U55" s="2"/>
      <c r="V55" s="7">
        <f t="shared" si="35"/>
        <v>0</v>
      </c>
      <c r="W55" s="2"/>
      <c r="X55" s="6">
        <f t="shared" si="36"/>
        <v>327.61000000000013</v>
      </c>
      <c r="Y55" s="2"/>
      <c r="Z55" s="7">
        <f t="shared" si="37"/>
        <v>0.22757806258900359</v>
      </c>
    </row>
    <row r="56" spans="1:26" s="29" customFormat="1" outlineLevel="1" collapsed="1" x14ac:dyDescent="0.3">
      <c r="A56" s="28"/>
      <c r="B56" s="14" t="str">
        <f>CONCATENATE("     ","Insurance                                         ")</f>
        <v xml:space="preserve">     Insurance                                         </v>
      </c>
      <c r="C56" s="14"/>
      <c r="D56" s="1">
        <f>SUM(OSRRefD22_10x_0)</f>
        <v>5.21</v>
      </c>
      <c r="E56" s="1"/>
      <c r="F56" s="5">
        <f t="shared" si="30"/>
        <v>2.2541461037127864E-5</v>
      </c>
      <c r="G56" s="1"/>
      <c r="H56" s="1">
        <f>SUM(OSRRefH22_10x_0)</f>
        <v>5.9</v>
      </c>
      <c r="I56" s="1"/>
      <c r="J56" s="5">
        <f t="shared" si="31"/>
        <v>0</v>
      </c>
      <c r="K56" s="1"/>
      <c r="L56" s="1">
        <f t="shared" si="32"/>
        <v>-0.69000000000000039</v>
      </c>
      <c r="M56" s="1"/>
      <c r="N56" s="5">
        <f t="shared" si="33"/>
        <v>-0.11694915254237294</v>
      </c>
      <c r="O56" s="14"/>
      <c r="P56" s="1">
        <f>SUM(OSRRefP22_10x_0)</f>
        <v>26.06</v>
      </c>
      <c r="Q56" s="1"/>
      <c r="R56" s="5">
        <f t="shared" si="34"/>
        <v>3.5979555052743807E-5</v>
      </c>
      <c r="S56" s="1"/>
      <c r="T56" s="1">
        <f>SUM(OSRRefT22_10x_0)</f>
        <v>29.5</v>
      </c>
      <c r="U56" s="1"/>
      <c r="V56" s="5">
        <f t="shared" si="35"/>
        <v>0</v>
      </c>
      <c r="W56" s="1"/>
      <c r="X56" s="1">
        <f t="shared" si="36"/>
        <v>-3.4400000000000013</v>
      </c>
      <c r="Y56" s="1"/>
      <c r="Z56" s="5">
        <f t="shared" si="37"/>
        <v>-0.11661016949152547</v>
      </c>
    </row>
    <row r="57" spans="1:26" s="24" customFormat="1" hidden="1" outlineLevel="2" x14ac:dyDescent="0.3">
      <c r="A57" s="27"/>
      <c r="B57" s="11" t="str">
        <f>CONCATENATE("          ", "6314", " - ", "LIABILITY INSURANCE")</f>
        <v xml:space="preserve">          6314 - LIABILITY INSURANCE</v>
      </c>
      <c r="C57" s="11"/>
      <c r="D57" s="6">
        <v>5.21</v>
      </c>
      <c r="E57" s="2"/>
      <c r="F57" s="7">
        <f t="shared" si="30"/>
        <v>2.2541461037127864E-5</v>
      </c>
      <c r="G57" s="2"/>
      <c r="H57" s="6">
        <v>5.9</v>
      </c>
      <c r="I57" s="2"/>
      <c r="J57" s="7">
        <f t="shared" si="31"/>
        <v>0</v>
      </c>
      <c r="K57" s="2"/>
      <c r="L57" s="6">
        <f t="shared" si="32"/>
        <v>-0.69000000000000039</v>
      </c>
      <c r="M57" s="2"/>
      <c r="N57" s="7">
        <f t="shared" si="33"/>
        <v>-0.11694915254237294</v>
      </c>
      <c r="O57" s="11"/>
      <c r="P57" s="6">
        <v>26.06</v>
      </c>
      <c r="Q57" s="2"/>
      <c r="R57" s="7">
        <f t="shared" si="34"/>
        <v>3.5979555052743807E-5</v>
      </c>
      <c r="S57" s="2"/>
      <c r="T57" s="6">
        <v>29.5</v>
      </c>
      <c r="U57" s="2"/>
      <c r="V57" s="7">
        <f t="shared" si="35"/>
        <v>0</v>
      </c>
      <c r="W57" s="2"/>
      <c r="X57" s="6">
        <f t="shared" si="36"/>
        <v>-3.4400000000000013</v>
      </c>
      <c r="Y57" s="2"/>
      <c r="Z57" s="7">
        <f t="shared" si="37"/>
        <v>-0.11661016949152547</v>
      </c>
    </row>
    <row r="58" spans="1:26" s="29" customFormat="1" outlineLevel="1" collapsed="1" x14ac:dyDescent="0.3">
      <c r="A58" s="28"/>
      <c r="B58" s="14" t="str">
        <f>CONCATENATE("     ","R/H Commissions                                   ")</f>
        <v xml:space="preserve">     R/H Commissions                                   </v>
      </c>
      <c r="C58" s="14"/>
      <c r="D58" s="1">
        <f>SUM(OSRRefD22_11x_0)</f>
        <v>18379.11</v>
      </c>
      <c r="E58" s="1"/>
      <c r="F58" s="5">
        <f t="shared" si="30"/>
        <v>7.9518616499440906E-2</v>
      </c>
      <c r="G58" s="1"/>
      <c r="H58" s="1">
        <f>SUM(OSRRefH22_11x_0)</f>
        <v>0</v>
      </c>
      <c r="I58" s="1"/>
      <c r="J58" s="5">
        <f t="shared" si="31"/>
        <v>0</v>
      </c>
      <c r="K58" s="1"/>
      <c r="L58" s="1">
        <f t="shared" si="32"/>
        <v>18379.11</v>
      </c>
      <c r="M58" s="1"/>
      <c r="N58" s="5">
        <f t="shared" si="33"/>
        <v>0</v>
      </c>
      <c r="O58" s="14"/>
      <c r="P58" s="1">
        <f>SUM(OSRRefP22_11x_0)</f>
        <v>53922.91</v>
      </c>
      <c r="Q58" s="1"/>
      <c r="R58" s="5">
        <f t="shared" si="34"/>
        <v>7.444828507095741E-2</v>
      </c>
      <c r="S58" s="1"/>
      <c r="T58" s="1">
        <f>SUM(OSRRefT22_11x_0)</f>
        <v>0</v>
      </c>
      <c r="U58" s="1"/>
      <c r="V58" s="5">
        <f t="shared" si="35"/>
        <v>0</v>
      </c>
      <c r="W58" s="1"/>
      <c r="X58" s="1">
        <f t="shared" si="36"/>
        <v>53922.91</v>
      </c>
      <c r="Y58" s="1"/>
      <c r="Z58" s="5">
        <f t="shared" si="37"/>
        <v>0</v>
      </c>
    </row>
    <row r="59" spans="1:26" s="24" customFormat="1" hidden="1" outlineLevel="2" x14ac:dyDescent="0.3">
      <c r="A59" s="27"/>
      <c r="B59" s="11" t="str">
        <f>CONCATENATE("          ", "6387", " - ", "COMMISSION DUE HOUSING")</f>
        <v xml:space="preserve">          6387 - COMMISSION DUE HOUSING</v>
      </c>
      <c r="C59" s="11"/>
      <c r="D59" s="6">
        <v>18379.11</v>
      </c>
      <c r="E59" s="2"/>
      <c r="F59" s="7">
        <f t="shared" si="30"/>
        <v>7.9518616499440906E-2</v>
      </c>
      <c r="G59" s="2"/>
      <c r="H59" s="6"/>
      <c r="I59" s="2"/>
      <c r="J59" s="7">
        <f t="shared" si="31"/>
        <v>0</v>
      </c>
      <c r="K59" s="2"/>
      <c r="L59" s="6">
        <f t="shared" si="32"/>
        <v>18379.11</v>
      </c>
      <c r="M59" s="2"/>
      <c r="N59" s="7">
        <f t="shared" si="33"/>
        <v>0</v>
      </c>
      <c r="O59" s="11"/>
      <c r="P59" s="6">
        <v>53922.91</v>
      </c>
      <c r="Q59" s="2"/>
      <c r="R59" s="7">
        <f t="shared" si="34"/>
        <v>7.444828507095741E-2</v>
      </c>
      <c r="S59" s="2"/>
      <c r="T59" s="6"/>
      <c r="U59" s="2"/>
      <c r="V59" s="7">
        <f t="shared" si="35"/>
        <v>0</v>
      </c>
      <c r="W59" s="2"/>
      <c r="X59" s="6">
        <f t="shared" si="36"/>
        <v>53922.91</v>
      </c>
      <c r="Y59" s="2"/>
      <c r="Z59" s="7">
        <f t="shared" si="37"/>
        <v>0</v>
      </c>
    </row>
    <row r="60" spans="1:26" s="29" customFormat="1" outlineLevel="1" collapsed="1" x14ac:dyDescent="0.3">
      <c r="A60" s="28"/>
      <c r="B60" s="14" t="str">
        <f>CONCATENATE("     ","Repair and Maintenance                            ")</f>
        <v xml:space="preserve">     Repair and Maintenance                            </v>
      </c>
      <c r="C60" s="14"/>
      <c r="D60" s="1">
        <f>SUM(OSRRefD22_12x_0)</f>
        <v>0</v>
      </c>
      <c r="E60" s="1"/>
      <c r="F60" s="5">
        <f t="shared" si="30"/>
        <v>0</v>
      </c>
      <c r="G60" s="1"/>
      <c r="H60" s="1">
        <f>SUM(OSRRefH22_12x_0)</f>
        <v>0</v>
      </c>
      <c r="I60" s="1"/>
      <c r="J60" s="5">
        <f t="shared" si="31"/>
        <v>0</v>
      </c>
      <c r="K60" s="1"/>
      <c r="L60" s="1">
        <f t="shared" si="32"/>
        <v>0</v>
      </c>
      <c r="M60" s="1"/>
      <c r="N60" s="5">
        <f t="shared" si="33"/>
        <v>0</v>
      </c>
      <c r="O60" s="14"/>
      <c r="P60" s="1">
        <f>SUM(OSRRefP22_12x_0)</f>
        <v>761.86</v>
      </c>
      <c r="Q60" s="1"/>
      <c r="R60" s="5">
        <f t="shared" si="34"/>
        <v>1.0518566313309056E-3</v>
      </c>
      <c r="S60" s="1"/>
      <c r="T60" s="1">
        <f>SUM(OSRRefT22_12x_0)</f>
        <v>72.349999999999994</v>
      </c>
      <c r="U60" s="1"/>
      <c r="V60" s="5">
        <f t="shared" si="35"/>
        <v>0</v>
      </c>
      <c r="W60" s="1"/>
      <c r="X60" s="1">
        <f t="shared" si="36"/>
        <v>689.51</v>
      </c>
      <c r="Y60" s="1"/>
      <c r="Z60" s="5">
        <f t="shared" si="37"/>
        <v>9.5302004146510022</v>
      </c>
    </row>
    <row r="61" spans="1:26" s="24" customFormat="1" hidden="1" outlineLevel="2" x14ac:dyDescent="0.3">
      <c r="A61" s="27"/>
      <c r="B61" s="11" t="str">
        <f>CONCATENATE("          ", "6373", " - ", "MAINTENANCE CONTRACTS")</f>
        <v xml:space="preserve">          6373 - MAINTENANCE CONTRACTS</v>
      </c>
      <c r="C61" s="11"/>
      <c r="D61" s="6"/>
      <c r="E61" s="2"/>
      <c r="F61" s="7">
        <f t="shared" si="30"/>
        <v>0</v>
      </c>
      <c r="G61" s="2"/>
      <c r="H61" s="6"/>
      <c r="I61" s="2"/>
      <c r="J61" s="7">
        <f t="shared" si="31"/>
        <v>0</v>
      </c>
      <c r="K61" s="2"/>
      <c r="L61" s="6">
        <f t="shared" si="32"/>
        <v>0</v>
      </c>
      <c r="M61" s="2"/>
      <c r="N61" s="7">
        <f t="shared" si="33"/>
        <v>0</v>
      </c>
      <c r="O61" s="11"/>
      <c r="P61" s="6">
        <v>71.86</v>
      </c>
      <c r="Q61" s="2"/>
      <c r="R61" s="7">
        <f t="shared" si="34"/>
        <v>9.9213001768617439E-5</v>
      </c>
      <c r="S61" s="2"/>
      <c r="T61" s="6">
        <v>72.349999999999994</v>
      </c>
      <c r="U61" s="2"/>
      <c r="V61" s="7">
        <f t="shared" si="35"/>
        <v>0</v>
      </c>
      <c r="W61" s="2"/>
      <c r="X61" s="6">
        <f t="shared" si="36"/>
        <v>-0.48999999999999488</v>
      </c>
      <c r="Y61" s="2"/>
      <c r="Z61" s="7">
        <f t="shared" si="37"/>
        <v>-6.7726330338630947E-3</v>
      </c>
    </row>
    <row r="62" spans="1:26" s="24" customFormat="1" hidden="1" outlineLevel="2" x14ac:dyDescent="0.3">
      <c r="A62" s="27"/>
      <c r="B62" s="11" t="str">
        <f>CONCATENATE("          ", "6375", " - ", "OUTSIDE REPAIRS &amp; MAINTENANCE")</f>
        <v xml:space="preserve">          6375 - OUTSIDE REPAIRS &amp; MAINTENANCE</v>
      </c>
      <c r="C62" s="11"/>
      <c r="D62" s="6"/>
      <c r="E62" s="2"/>
      <c r="F62" s="7">
        <f t="shared" si="30"/>
        <v>0</v>
      </c>
      <c r="G62" s="2"/>
      <c r="H62" s="6"/>
      <c r="I62" s="2"/>
      <c r="J62" s="7">
        <f t="shared" si="31"/>
        <v>0</v>
      </c>
      <c r="K62" s="2"/>
      <c r="L62" s="6">
        <f t="shared" si="32"/>
        <v>0</v>
      </c>
      <c r="M62" s="2"/>
      <c r="N62" s="7">
        <f t="shared" si="33"/>
        <v>0</v>
      </c>
      <c r="O62" s="11"/>
      <c r="P62" s="6">
        <v>690</v>
      </c>
      <c r="Q62" s="2"/>
      <c r="R62" s="7">
        <f t="shared" si="34"/>
        <v>9.5264362956228813E-4</v>
      </c>
      <c r="S62" s="2"/>
      <c r="T62" s="6"/>
      <c r="U62" s="2"/>
      <c r="V62" s="7">
        <f t="shared" si="35"/>
        <v>0</v>
      </c>
      <c r="W62" s="2"/>
      <c r="X62" s="6">
        <f t="shared" si="36"/>
        <v>690</v>
      </c>
      <c r="Y62" s="2"/>
      <c r="Z62" s="7">
        <f t="shared" si="37"/>
        <v>0</v>
      </c>
    </row>
    <row r="63" spans="1:26" s="29" customFormat="1" outlineLevel="1" collapsed="1" x14ac:dyDescent="0.3">
      <c r="A63" s="28"/>
      <c r="B63" s="14" t="str">
        <f>CONCATENATE("     ","Services                                          ")</f>
        <v xml:space="preserve">     Services                                          </v>
      </c>
      <c r="C63" s="14"/>
      <c r="D63" s="1">
        <f>SUM(OSRRefD22_13x_0)</f>
        <v>6137.75</v>
      </c>
      <c r="E63" s="1"/>
      <c r="F63" s="5">
        <f t="shared" ref="F63:F66" si="38">IF(D$12=0,0,D63/D$12)</f>
        <v>2.65554419348621E-2</v>
      </c>
      <c r="G63" s="1"/>
      <c r="H63" s="1">
        <f>SUM(OSRRefH22_13x_0)</f>
        <v>0</v>
      </c>
      <c r="I63" s="1"/>
      <c r="J63" s="5">
        <f t="shared" ref="J63:J66" si="39">IF(H$12=0,0,H63/H$12)</f>
        <v>0</v>
      </c>
      <c r="K63" s="1"/>
      <c r="L63" s="1">
        <f t="shared" ref="L63:L66" si="40">+D63-H63</f>
        <v>6137.75</v>
      </c>
      <c r="M63" s="1"/>
      <c r="N63" s="5">
        <f t="shared" ref="N63:N66" si="41">IF(H63=0,0,L63/H63)</f>
        <v>0</v>
      </c>
      <c r="O63" s="14"/>
      <c r="P63" s="1">
        <f>SUM(OSRRefP22_13x_0)</f>
        <v>22264.1</v>
      </c>
      <c r="Q63" s="1"/>
      <c r="R63" s="5">
        <f t="shared" ref="R63:R66" si="42">IF(P$12=0,0,P63/P$12)</f>
        <v>3.0738772511503969E-2</v>
      </c>
      <c r="S63" s="1"/>
      <c r="T63" s="1">
        <f>SUM(OSRRefT22_13x_0)</f>
        <v>2080.69</v>
      </c>
      <c r="U63" s="1"/>
      <c r="V63" s="5">
        <f t="shared" ref="V63:V66" si="43">IF(T$12=0,0,T63/T$12)</f>
        <v>0</v>
      </c>
      <c r="W63" s="1"/>
      <c r="X63" s="1">
        <f t="shared" ref="X63:X66" si="44">+P63-T63</f>
        <v>20183.41</v>
      </c>
      <c r="Y63" s="1"/>
      <c r="Z63" s="5">
        <f t="shared" ref="Z63:Z66" si="45">IF(T63=0,0,X63/T63)</f>
        <v>9.7003445972249587</v>
      </c>
    </row>
    <row r="64" spans="1:26" s="24" customFormat="1" hidden="1" outlineLevel="2" x14ac:dyDescent="0.3">
      <c r="A64" s="27"/>
      <c r="B64" s="11" t="str">
        <f>CONCATENATE("          ", "6282", " - ", "JANITORIAL/EXTERMINATOR EXPENS")</f>
        <v xml:space="preserve">          6282 - JANITORIAL/EXTERMINATOR EXPENS</v>
      </c>
      <c r="C64" s="11"/>
      <c r="D64" s="6">
        <v>829.16</v>
      </c>
      <c r="E64" s="2"/>
      <c r="F64" s="7">
        <f t="shared" si="38"/>
        <v>3.5874237684347292E-3</v>
      </c>
      <c r="G64" s="2"/>
      <c r="H64" s="6"/>
      <c r="I64" s="2"/>
      <c r="J64" s="7">
        <f t="shared" si="39"/>
        <v>0</v>
      </c>
      <c r="K64" s="2"/>
      <c r="L64" s="6">
        <f t="shared" si="40"/>
        <v>829.16</v>
      </c>
      <c r="M64" s="2"/>
      <c r="N64" s="7">
        <f t="shared" si="41"/>
        <v>0</v>
      </c>
      <c r="O64" s="11"/>
      <c r="P64" s="6">
        <v>3688.65</v>
      </c>
      <c r="Q64" s="2"/>
      <c r="R64" s="7">
        <f t="shared" si="42"/>
        <v>5.0927085857752673E-3</v>
      </c>
      <c r="S64" s="2"/>
      <c r="T64" s="6">
        <v>2080.69</v>
      </c>
      <c r="U64" s="2"/>
      <c r="V64" s="7">
        <f t="shared" si="43"/>
        <v>0</v>
      </c>
      <c r="W64" s="2"/>
      <c r="X64" s="6">
        <f t="shared" si="44"/>
        <v>1607.96</v>
      </c>
      <c r="Y64" s="2"/>
      <c r="Z64" s="7">
        <f t="shared" si="45"/>
        <v>0.77280133032792009</v>
      </c>
    </row>
    <row r="65" spans="1:26" s="24" customFormat="1" hidden="1" outlineLevel="2" x14ac:dyDescent="0.3">
      <c r="A65" s="27"/>
      <c r="B65" s="11" t="str">
        <f>CONCATENATE("          ", "6285", " - ", "JANITORIAL SERVICES")</f>
        <v xml:space="preserve">          6285 - JANITORIAL SERVICES</v>
      </c>
      <c r="C65" s="11"/>
      <c r="D65" s="6">
        <v>4151.8599999999997</v>
      </c>
      <c r="E65" s="2"/>
      <c r="F65" s="7">
        <f t="shared" si="38"/>
        <v>1.7963337892823356E-2</v>
      </c>
      <c r="G65" s="2"/>
      <c r="H65" s="6"/>
      <c r="I65" s="2"/>
      <c r="J65" s="7">
        <f t="shared" si="39"/>
        <v>0</v>
      </c>
      <c r="K65" s="2"/>
      <c r="L65" s="6">
        <f t="shared" si="40"/>
        <v>4151.8599999999997</v>
      </c>
      <c r="M65" s="2"/>
      <c r="N65" s="7">
        <f t="shared" si="41"/>
        <v>0</v>
      </c>
      <c r="O65" s="11"/>
      <c r="P65" s="6">
        <v>12396.62</v>
      </c>
      <c r="Q65" s="2"/>
      <c r="R65" s="7">
        <f t="shared" si="42"/>
        <v>1.7115305900151381E-2</v>
      </c>
      <c r="S65" s="2"/>
      <c r="T65" s="6"/>
      <c r="U65" s="2"/>
      <c r="V65" s="7">
        <f t="shared" si="43"/>
        <v>0</v>
      </c>
      <c r="W65" s="2"/>
      <c r="X65" s="6">
        <f t="shared" si="44"/>
        <v>12396.62</v>
      </c>
      <c r="Y65" s="2"/>
      <c r="Z65" s="7">
        <f t="shared" si="45"/>
        <v>0</v>
      </c>
    </row>
    <row r="66" spans="1:26" s="24" customFormat="1" hidden="1" outlineLevel="2" x14ac:dyDescent="0.3">
      <c r="A66" s="27"/>
      <c r="B66" s="11" t="str">
        <f>CONCATENATE("          ", "6286", " - ", "LAUNDRY EXPENSE")</f>
        <v xml:space="preserve">          6286 - LAUNDRY EXPENSE</v>
      </c>
      <c r="C66" s="11"/>
      <c r="D66" s="6">
        <v>1156.73</v>
      </c>
      <c r="E66" s="2"/>
      <c r="F66" s="7">
        <f t="shared" si="38"/>
        <v>5.0046802736040145E-3</v>
      </c>
      <c r="G66" s="2"/>
      <c r="H66" s="6"/>
      <c r="I66" s="2"/>
      <c r="J66" s="7">
        <f t="shared" si="39"/>
        <v>0</v>
      </c>
      <c r="K66" s="2"/>
      <c r="L66" s="6">
        <f t="shared" si="40"/>
        <v>1156.73</v>
      </c>
      <c r="M66" s="2"/>
      <c r="N66" s="7">
        <f t="shared" si="41"/>
        <v>0</v>
      </c>
      <c r="O66" s="11"/>
      <c r="P66" s="6">
        <v>6178.83</v>
      </c>
      <c r="Q66" s="2"/>
      <c r="R66" s="7">
        <f t="shared" si="42"/>
        <v>8.5307580255773226E-3</v>
      </c>
      <c r="S66" s="2"/>
      <c r="T66" s="6"/>
      <c r="U66" s="2"/>
      <c r="V66" s="7">
        <f t="shared" si="43"/>
        <v>0</v>
      </c>
      <c r="W66" s="2"/>
      <c r="X66" s="6">
        <f t="shared" si="44"/>
        <v>6178.83</v>
      </c>
      <c r="Y66" s="2"/>
      <c r="Z66" s="7">
        <f t="shared" si="45"/>
        <v>0</v>
      </c>
    </row>
    <row r="67" spans="1:26" s="29" customFormat="1" outlineLevel="1" collapsed="1" x14ac:dyDescent="0.3">
      <c r="A67" s="28"/>
      <c r="B67" s="14" t="str">
        <f>CONCATENATE("     ","Supplies                                          ")</f>
        <v xml:space="preserve">     Supplies                                          </v>
      </c>
      <c r="C67" s="14"/>
      <c r="D67" s="1">
        <f>SUM(OSRRefD22_14x_0)</f>
        <v>5386.119999999999</v>
      </c>
      <c r="E67" s="1"/>
      <c r="F67" s="5">
        <f t="shared" ref="F67:F73" si="46">IF(D$12=0,0,D67/D$12)</f>
        <v>2.3303457604855107E-2</v>
      </c>
      <c r="G67" s="1"/>
      <c r="H67" s="1">
        <f>SUM(OSRRefH22_14x_0)</f>
        <v>0</v>
      </c>
      <c r="I67" s="1"/>
      <c r="J67" s="5">
        <f t="shared" ref="J67:J73" si="47">IF(H$12=0,0,H67/H$12)</f>
        <v>0</v>
      </c>
      <c r="K67" s="1"/>
      <c r="L67" s="1">
        <f t="shared" ref="L67:L73" si="48">+D67-H67</f>
        <v>5386.119999999999</v>
      </c>
      <c r="M67" s="1"/>
      <c r="N67" s="5">
        <f t="shared" ref="N67:N73" si="49">IF(H67=0,0,L67/H67)</f>
        <v>0</v>
      </c>
      <c r="O67" s="14"/>
      <c r="P67" s="1">
        <f>SUM(OSRRefP22_14x_0)</f>
        <v>55765.679999999993</v>
      </c>
      <c r="Q67" s="1"/>
      <c r="R67" s="5">
        <f t="shared" ref="R67:R73" si="50">IF(P$12=0,0,P67/P$12)</f>
        <v>7.6992492464071152E-2</v>
      </c>
      <c r="S67" s="1"/>
      <c r="T67" s="1">
        <f>SUM(OSRRefT22_14x_0)</f>
        <v>57.16</v>
      </c>
      <c r="U67" s="1"/>
      <c r="V67" s="5">
        <f t="shared" ref="V67:V73" si="51">IF(T$12=0,0,T67/T$12)</f>
        <v>0</v>
      </c>
      <c r="W67" s="1"/>
      <c r="X67" s="1">
        <f t="shared" ref="X67:X73" si="52">+P67-T67</f>
        <v>55708.51999999999</v>
      </c>
      <c r="Y67" s="1"/>
      <c r="Z67" s="5">
        <f t="shared" ref="Z67:Z73" si="53">IF(T67=0,0,X67/T67)</f>
        <v>974.60671798460453</v>
      </c>
    </row>
    <row r="68" spans="1:26" s="24" customFormat="1" hidden="1" outlineLevel="2" x14ac:dyDescent="0.3">
      <c r="A68" s="27"/>
      <c r="B68" s="11" t="str">
        <f>CONCATENATE("          ", "6237", " - ", "JANITORIAL SUPPLIES")</f>
        <v xml:space="preserve">          6237 - JANITORIAL SUPPLIES</v>
      </c>
      <c r="C68" s="11"/>
      <c r="D68" s="6">
        <v>749.03</v>
      </c>
      <c r="E68" s="2"/>
      <c r="F68" s="7">
        <f t="shared" si="46"/>
        <v>3.2407352323684997E-3</v>
      </c>
      <c r="G68" s="2"/>
      <c r="H68" s="6"/>
      <c r="I68" s="2"/>
      <c r="J68" s="7">
        <f t="shared" si="47"/>
        <v>0</v>
      </c>
      <c r="K68" s="2"/>
      <c r="L68" s="6">
        <f t="shared" si="48"/>
        <v>749.03</v>
      </c>
      <c r="M68" s="2"/>
      <c r="N68" s="7">
        <f t="shared" si="49"/>
        <v>0</v>
      </c>
      <c r="O68" s="11"/>
      <c r="P68" s="6">
        <v>7205.42</v>
      </c>
      <c r="Q68" s="2"/>
      <c r="R68" s="7">
        <f t="shared" si="50"/>
        <v>9.9481122627836267E-3</v>
      </c>
      <c r="S68" s="2"/>
      <c r="T68" s="6"/>
      <c r="U68" s="2"/>
      <c r="V68" s="7">
        <f t="shared" si="51"/>
        <v>0</v>
      </c>
      <c r="W68" s="2"/>
      <c r="X68" s="6">
        <f t="shared" si="52"/>
        <v>7205.42</v>
      </c>
      <c r="Y68" s="2"/>
      <c r="Z68" s="7">
        <f t="shared" si="53"/>
        <v>0</v>
      </c>
    </row>
    <row r="69" spans="1:26" s="24" customFormat="1" hidden="1" outlineLevel="2" x14ac:dyDescent="0.3">
      <c r="A69" s="27"/>
      <c r="B69" s="11" t="str">
        <f>CONCATENATE("          ", "6239", " - ", "KITCHEN SUPPLIES")</f>
        <v xml:space="preserve">          6239 - KITCHEN SUPPLIES</v>
      </c>
      <c r="C69" s="11"/>
      <c r="D69" s="6">
        <v>371.56</v>
      </c>
      <c r="E69" s="2"/>
      <c r="F69" s="7">
        <f t="shared" si="46"/>
        <v>1.6075825840605046E-3</v>
      </c>
      <c r="G69" s="2"/>
      <c r="H69" s="6"/>
      <c r="I69" s="2"/>
      <c r="J69" s="7">
        <f t="shared" si="47"/>
        <v>0</v>
      </c>
      <c r="K69" s="2"/>
      <c r="L69" s="6">
        <f t="shared" si="48"/>
        <v>371.56</v>
      </c>
      <c r="M69" s="2"/>
      <c r="N69" s="7">
        <f t="shared" si="49"/>
        <v>0</v>
      </c>
      <c r="O69" s="11"/>
      <c r="P69" s="6">
        <v>9073.91</v>
      </c>
      <c r="Q69" s="2"/>
      <c r="R69" s="7">
        <f t="shared" si="50"/>
        <v>1.2527829792350061E-2</v>
      </c>
      <c r="S69" s="2"/>
      <c r="T69" s="6"/>
      <c r="U69" s="2"/>
      <c r="V69" s="7">
        <f t="shared" si="51"/>
        <v>0</v>
      </c>
      <c r="W69" s="2"/>
      <c r="X69" s="6">
        <f t="shared" si="52"/>
        <v>9073.91</v>
      </c>
      <c r="Y69" s="2"/>
      <c r="Z69" s="7">
        <f t="shared" si="53"/>
        <v>0</v>
      </c>
    </row>
    <row r="70" spans="1:26" s="24" customFormat="1" hidden="1" outlineLevel="2" x14ac:dyDescent="0.3">
      <c r="A70" s="27"/>
      <c r="B70" s="11" t="str">
        <f>CONCATENATE("          ", "6241", " - ", "OFFICE EXPENSE")</f>
        <v xml:space="preserve">          6241 - OFFICE EXPENSE</v>
      </c>
      <c r="C70" s="11"/>
      <c r="D70" s="6">
        <v>92.05</v>
      </c>
      <c r="E70" s="2"/>
      <c r="F70" s="7">
        <f t="shared" si="46"/>
        <v>3.9826132216269096E-4</v>
      </c>
      <c r="G70" s="2"/>
      <c r="H70" s="6"/>
      <c r="I70" s="2"/>
      <c r="J70" s="7">
        <f t="shared" si="47"/>
        <v>0</v>
      </c>
      <c r="K70" s="2"/>
      <c r="L70" s="6">
        <f t="shared" si="48"/>
        <v>92.05</v>
      </c>
      <c r="M70" s="2"/>
      <c r="N70" s="7">
        <f t="shared" si="49"/>
        <v>0</v>
      </c>
      <c r="O70" s="11"/>
      <c r="P70" s="6">
        <v>4689.2299999999996</v>
      </c>
      <c r="Q70" s="2"/>
      <c r="R70" s="7">
        <f t="shared" si="50"/>
        <v>6.4741523000758959E-3</v>
      </c>
      <c r="S70" s="2"/>
      <c r="T70" s="6">
        <v>57.16</v>
      </c>
      <c r="U70" s="2"/>
      <c r="V70" s="7">
        <f t="shared" si="51"/>
        <v>0</v>
      </c>
      <c r="W70" s="2"/>
      <c r="X70" s="6">
        <f t="shared" si="52"/>
        <v>4632.07</v>
      </c>
      <c r="Y70" s="2"/>
      <c r="Z70" s="7">
        <f t="shared" si="53"/>
        <v>81.036913925822248</v>
      </c>
    </row>
    <row r="71" spans="1:26" s="24" customFormat="1" hidden="1" outlineLevel="2" x14ac:dyDescent="0.3">
      <c r="A71" s="27"/>
      <c r="B71" s="11" t="str">
        <f>CONCATENATE("          ", "6243", " - ", "PAPER SUPPLIES")</f>
        <v xml:space="preserve">          6243 - PAPER SUPPLIES</v>
      </c>
      <c r="C71" s="11"/>
      <c r="D71" s="6">
        <v>4173.4799999999996</v>
      </c>
      <c r="E71" s="2"/>
      <c r="F71" s="7">
        <f t="shared" si="46"/>
        <v>1.8056878466263415E-2</v>
      </c>
      <c r="G71" s="2"/>
      <c r="H71" s="6"/>
      <c r="I71" s="2"/>
      <c r="J71" s="7">
        <f t="shared" si="47"/>
        <v>0</v>
      </c>
      <c r="K71" s="2"/>
      <c r="L71" s="6">
        <f t="shared" si="48"/>
        <v>4173.4799999999996</v>
      </c>
      <c r="M71" s="2"/>
      <c r="N71" s="7">
        <f t="shared" si="49"/>
        <v>0</v>
      </c>
      <c r="O71" s="11"/>
      <c r="P71" s="6">
        <v>32718.76</v>
      </c>
      <c r="Q71" s="2"/>
      <c r="R71" s="7">
        <f t="shared" si="50"/>
        <v>4.517292504518465E-2</v>
      </c>
      <c r="S71" s="2"/>
      <c r="T71" s="6"/>
      <c r="U71" s="2"/>
      <c r="V71" s="7">
        <f t="shared" si="51"/>
        <v>0</v>
      </c>
      <c r="W71" s="2"/>
      <c r="X71" s="6">
        <f t="shared" si="52"/>
        <v>32718.76</v>
      </c>
      <c r="Y71" s="2"/>
      <c r="Z71" s="7">
        <f t="shared" si="53"/>
        <v>0</v>
      </c>
    </row>
    <row r="72" spans="1:26" s="24" customFormat="1" hidden="1" outlineLevel="2" x14ac:dyDescent="0.3">
      <c r="A72" s="27"/>
      <c r="B72" s="11" t="str">
        <f>CONCATENATE("          ", "6247", " - ", "STORE SUPPLIES")</f>
        <v xml:space="preserve">          6247 - STORE SUPPLIES</v>
      </c>
      <c r="C72" s="11"/>
      <c r="D72" s="6"/>
      <c r="E72" s="2"/>
      <c r="F72" s="7">
        <f t="shared" si="46"/>
        <v>0</v>
      </c>
      <c r="G72" s="2"/>
      <c r="H72" s="6"/>
      <c r="I72" s="2"/>
      <c r="J72" s="7">
        <f t="shared" si="47"/>
        <v>0</v>
      </c>
      <c r="K72" s="2"/>
      <c r="L72" s="6">
        <f t="shared" si="48"/>
        <v>0</v>
      </c>
      <c r="M72" s="2"/>
      <c r="N72" s="7">
        <f t="shared" si="49"/>
        <v>0</v>
      </c>
      <c r="O72" s="11"/>
      <c r="P72" s="6">
        <v>207.94</v>
      </c>
      <c r="Q72" s="2"/>
      <c r="R72" s="7">
        <f t="shared" si="50"/>
        <v>2.8709089323359738E-4</v>
      </c>
      <c r="S72" s="2"/>
      <c r="T72" s="6"/>
      <c r="U72" s="2"/>
      <c r="V72" s="7">
        <f t="shared" si="51"/>
        <v>0</v>
      </c>
      <c r="W72" s="2"/>
      <c r="X72" s="6">
        <f t="shared" si="52"/>
        <v>207.94</v>
      </c>
      <c r="Y72" s="2"/>
      <c r="Z72" s="7">
        <f t="shared" si="53"/>
        <v>0</v>
      </c>
    </row>
    <row r="73" spans="1:26" s="24" customFormat="1" hidden="1" outlineLevel="2" x14ac:dyDescent="0.3">
      <c r="A73" s="27"/>
      <c r="B73" s="11" t="str">
        <f>CONCATENATE("          ", "6248", " - ", "UNIFORMS")</f>
        <v xml:space="preserve">          6248 - UNIFORMS</v>
      </c>
      <c r="C73" s="11"/>
      <c r="D73" s="6"/>
      <c r="E73" s="2"/>
      <c r="F73" s="7">
        <f t="shared" si="46"/>
        <v>0</v>
      </c>
      <c r="G73" s="2"/>
      <c r="H73" s="6"/>
      <c r="I73" s="2"/>
      <c r="J73" s="7">
        <f t="shared" si="47"/>
        <v>0</v>
      </c>
      <c r="K73" s="2"/>
      <c r="L73" s="6">
        <f t="shared" si="48"/>
        <v>0</v>
      </c>
      <c r="M73" s="2"/>
      <c r="N73" s="7">
        <f t="shared" si="49"/>
        <v>0</v>
      </c>
      <c r="O73" s="11"/>
      <c r="P73" s="6">
        <v>1870.42</v>
      </c>
      <c r="Q73" s="2"/>
      <c r="R73" s="7">
        <f t="shared" si="50"/>
        <v>2.5823821704433264E-3</v>
      </c>
      <c r="S73" s="2"/>
      <c r="T73" s="6"/>
      <c r="U73" s="2"/>
      <c r="V73" s="7">
        <f t="shared" si="51"/>
        <v>0</v>
      </c>
      <c r="W73" s="2"/>
      <c r="X73" s="6">
        <f t="shared" si="52"/>
        <v>1870.42</v>
      </c>
      <c r="Y73" s="2"/>
      <c r="Z73" s="7">
        <f t="shared" si="53"/>
        <v>0</v>
      </c>
    </row>
    <row r="74" spans="1:26" s="29" customFormat="1" outlineLevel="1" collapsed="1" x14ac:dyDescent="0.3">
      <c r="A74" s="28"/>
      <c r="B74" s="14" t="str">
        <f>CONCATENATE("     ","Telephone/Data Lines                              ")</f>
        <v xml:space="preserve">     Telephone/Data Lines                              </v>
      </c>
      <c r="C74" s="14"/>
      <c r="D74" s="1">
        <f>SUM(OSRRefD22_15x_0)</f>
        <v>147</v>
      </c>
      <c r="E74" s="1"/>
      <c r="F74" s="5">
        <f t="shared" ref="F74:F77" si="54">IF(D$12=0,0,D74/D$12)</f>
        <v>6.3600667417616048E-4</v>
      </c>
      <c r="G74" s="1"/>
      <c r="H74" s="1">
        <f>SUM(OSRRefH22_15x_0)</f>
        <v>50</v>
      </c>
      <c r="I74" s="1"/>
      <c r="J74" s="5">
        <f t="shared" ref="J74:J77" si="55">IF(H$12=0,0,H74/H$12)</f>
        <v>0</v>
      </c>
      <c r="K74" s="1"/>
      <c r="L74" s="1">
        <f t="shared" ref="L74:L77" si="56">+D74-H74</f>
        <v>97</v>
      </c>
      <c r="M74" s="1"/>
      <c r="N74" s="5">
        <f t="shared" ref="N74:N77" si="57">IF(H74=0,0,L74/H74)</f>
        <v>1.94</v>
      </c>
      <c r="O74" s="14"/>
      <c r="P74" s="1">
        <f>SUM(OSRRefP22_15x_0)</f>
        <v>770.85</v>
      </c>
      <c r="Q74" s="1"/>
      <c r="R74" s="5">
        <f t="shared" ref="R74:R77" si="58">IF(P$12=0,0,P74/P$12)</f>
        <v>1.0642686113740433E-3</v>
      </c>
      <c r="S74" s="1"/>
      <c r="T74" s="1">
        <f>SUM(OSRRefT22_15x_0)</f>
        <v>529.63</v>
      </c>
      <c r="U74" s="1"/>
      <c r="V74" s="5">
        <f t="shared" ref="V74:V77" si="59">IF(T$12=0,0,T74/T$12)</f>
        <v>0</v>
      </c>
      <c r="W74" s="1"/>
      <c r="X74" s="1">
        <f t="shared" ref="X74:X77" si="60">+P74-T74</f>
        <v>241.22000000000003</v>
      </c>
      <c r="Y74" s="1"/>
      <c r="Z74" s="5">
        <f t="shared" ref="Z74:Z77" si="61">IF(T74=0,0,X74/T74)</f>
        <v>0.45545003115382443</v>
      </c>
    </row>
    <row r="75" spans="1:26" s="24" customFormat="1" hidden="1" outlineLevel="2" x14ac:dyDescent="0.3">
      <c r="A75" s="27"/>
      <c r="B75" s="11" t="str">
        <f>CONCATENATE("          ", "6309", " - ", "TELEPHONE")</f>
        <v xml:space="preserve">          6309 - TELEPHONE</v>
      </c>
      <c r="C75" s="11"/>
      <c r="D75" s="6">
        <v>147</v>
      </c>
      <c r="E75" s="2"/>
      <c r="F75" s="7">
        <f t="shared" si="54"/>
        <v>6.3600667417616048E-4</v>
      </c>
      <c r="G75" s="2"/>
      <c r="H75" s="6">
        <v>50</v>
      </c>
      <c r="I75" s="2"/>
      <c r="J75" s="7">
        <f t="shared" si="55"/>
        <v>0</v>
      </c>
      <c r="K75" s="2"/>
      <c r="L75" s="6">
        <f t="shared" si="56"/>
        <v>97</v>
      </c>
      <c r="M75" s="2"/>
      <c r="N75" s="7">
        <f t="shared" si="57"/>
        <v>1.94</v>
      </c>
      <c r="O75" s="11"/>
      <c r="P75" s="6">
        <v>770.85</v>
      </c>
      <c r="Q75" s="2"/>
      <c r="R75" s="7">
        <f t="shared" si="58"/>
        <v>1.0642686113740433E-3</v>
      </c>
      <c r="S75" s="2"/>
      <c r="T75" s="6">
        <v>529.63</v>
      </c>
      <c r="U75" s="2"/>
      <c r="V75" s="7">
        <f t="shared" si="59"/>
        <v>0</v>
      </c>
      <c r="W75" s="2"/>
      <c r="X75" s="6">
        <f t="shared" si="60"/>
        <v>241.22000000000003</v>
      </c>
      <c r="Y75" s="2"/>
      <c r="Z75" s="7">
        <f t="shared" si="61"/>
        <v>0.45545003115382443</v>
      </c>
    </row>
    <row r="76" spans="1:26" s="29" customFormat="1" outlineLevel="1" collapsed="1" x14ac:dyDescent="0.3">
      <c r="A76" s="28"/>
      <c r="B76" s="14" t="str">
        <f>CONCATENATE("     ","Travel                                            ")</f>
        <v xml:space="preserve">     Travel                                            </v>
      </c>
      <c r="C76" s="14"/>
      <c r="D76" s="1">
        <f>SUM(OSRRefD22_16x_0)</f>
        <v>0</v>
      </c>
      <c r="E76" s="1"/>
      <c r="F76" s="5">
        <f t="shared" si="54"/>
        <v>0</v>
      </c>
      <c r="G76" s="1"/>
      <c r="H76" s="1">
        <f>SUM(OSRRefH22_16x_0)</f>
        <v>0</v>
      </c>
      <c r="I76" s="1"/>
      <c r="J76" s="5">
        <f t="shared" si="55"/>
        <v>0</v>
      </c>
      <c r="K76" s="1"/>
      <c r="L76" s="1">
        <f t="shared" si="56"/>
        <v>0</v>
      </c>
      <c r="M76" s="1"/>
      <c r="N76" s="5">
        <f t="shared" si="57"/>
        <v>0</v>
      </c>
      <c r="O76" s="14"/>
      <c r="P76" s="1">
        <f>SUM(OSRRefP22_16x_0)</f>
        <v>104.02</v>
      </c>
      <c r="Q76" s="1"/>
      <c r="R76" s="5">
        <f t="shared" si="58"/>
        <v>1.4361447876386842E-4</v>
      </c>
      <c r="S76" s="1"/>
      <c r="T76" s="1">
        <f>SUM(OSRRefT22_16x_0)</f>
        <v>0</v>
      </c>
      <c r="U76" s="1"/>
      <c r="V76" s="5">
        <f t="shared" si="59"/>
        <v>0</v>
      </c>
      <c r="W76" s="1"/>
      <c r="X76" s="1">
        <f t="shared" si="60"/>
        <v>104.02</v>
      </c>
      <c r="Y76" s="1"/>
      <c r="Z76" s="5">
        <f t="shared" si="61"/>
        <v>0</v>
      </c>
    </row>
    <row r="77" spans="1:26" s="24" customFormat="1" hidden="1" outlineLevel="2" x14ac:dyDescent="0.3">
      <c r="A77" s="27"/>
      <c r="B77" s="11" t="str">
        <f>CONCATENATE("          ", "6298", " - ", "VEHICLE MILEAGE")</f>
        <v xml:space="preserve">          6298 - VEHICLE MILEAGE</v>
      </c>
      <c r="C77" s="11"/>
      <c r="D77" s="6"/>
      <c r="E77" s="2"/>
      <c r="F77" s="7">
        <f t="shared" si="54"/>
        <v>0</v>
      </c>
      <c r="G77" s="2"/>
      <c r="H77" s="6"/>
      <c r="I77" s="2"/>
      <c r="J77" s="7">
        <f t="shared" si="55"/>
        <v>0</v>
      </c>
      <c r="K77" s="2"/>
      <c r="L77" s="6">
        <f t="shared" si="56"/>
        <v>0</v>
      </c>
      <c r="M77" s="2"/>
      <c r="N77" s="7">
        <f t="shared" si="57"/>
        <v>0</v>
      </c>
      <c r="O77" s="11"/>
      <c r="P77" s="6">
        <v>104.02</v>
      </c>
      <c r="Q77" s="2"/>
      <c r="R77" s="7">
        <f t="shared" si="58"/>
        <v>1.4361447876386842E-4</v>
      </c>
      <c r="S77" s="2"/>
      <c r="T77" s="6"/>
      <c r="U77" s="2"/>
      <c r="V77" s="7">
        <f t="shared" si="59"/>
        <v>0</v>
      </c>
      <c r="W77" s="2"/>
      <c r="X77" s="6">
        <f t="shared" si="60"/>
        <v>104.02</v>
      </c>
      <c r="Y77" s="2"/>
      <c r="Z77" s="7">
        <f t="shared" si="61"/>
        <v>0</v>
      </c>
    </row>
    <row r="78" spans="1:26" s="62" customFormat="1" x14ac:dyDescent="0.3">
      <c r="A78" s="37"/>
      <c r="B78" s="37"/>
      <c r="C78" s="37"/>
      <c r="D78" s="1"/>
      <c r="E78" s="1"/>
      <c r="F78" s="5"/>
      <c r="G78" s="1"/>
      <c r="H78" s="1"/>
      <c r="I78" s="1"/>
      <c r="J78" s="5"/>
      <c r="K78" s="1"/>
      <c r="L78" s="1"/>
      <c r="M78" s="1"/>
      <c r="N78" s="5"/>
      <c r="O78" s="37"/>
      <c r="P78" s="1"/>
      <c r="Q78" s="1"/>
      <c r="R78" s="5"/>
      <c r="S78" s="1"/>
      <c r="T78" s="1"/>
      <c r="U78" s="1"/>
      <c r="V78" s="5"/>
      <c r="W78" s="1"/>
      <c r="X78" s="1"/>
      <c r="Y78" s="1"/>
      <c r="Z78" s="5"/>
    </row>
    <row r="79" spans="1:26" s="23" customFormat="1" x14ac:dyDescent="0.3">
      <c r="A79" s="10"/>
      <c r="B79" s="26" t="s">
        <v>292</v>
      </c>
      <c r="C79" s="10"/>
      <c r="D79" s="4">
        <f>SUM(0)</f>
        <v>0</v>
      </c>
      <c r="E79" s="4"/>
      <c r="F79" s="12">
        <f>IF(D$12=0,0,D79/D$12)</f>
        <v>0</v>
      </c>
      <c r="G79" s="4"/>
      <c r="H79" s="4">
        <f>SUM(0)</f>
        <v>0</v>
      </c>
      <c r="I79" s="4"/>
      <c r="J79" s="12">
        <f>IF(H$12=0,0,H79/H$12)</f>
        <v>0</v>
      </c>
      <c r="K79" s="4"/>
      <c r="L79" s="4">
        <f>+D79-H79</f>
        <v>0</v>
      </c>
      <c r="M79" s="4"/>
      <c r="N79" s="12">
        <f>IF(H79=0,0,L79/H79)</f>
        <v>0</v>
      </c>
      <c r="O79" s="10"/>
      <c r="P79" s="4">
        <f>SUM(0)</f>
        <v>0</v>
      </c>
      <c r="Q79" s="4"/>
      <c r="R79" s="12">
        <f>IF(P$12=0,0,P79/P$12)</f>
        <v>0</v>
      </c>
      <c r="S79" s="4"/>
      <c r="T79" s="4">
        <f>SUM(0)</f>
        <v>0</v>
      </c>
      <c r="U79" s="4"/>
      <c r="V79" s="12">
        <f>IF(T$12=0,0,T79/T$12)</f>
        <v>0</v>
      </c>
      <c r="W79" s="4"/>
      <c r="X79" s="4">
        <f>+P79-T79</f>
        <v>0</v>
      </c>
      <c r="Y79" s="4"/>
      <c r="Z79" s="12">
        <f>IF(T79=0,0,X79/T79)</f>
        <v>0</v>
      </c>
    </row>
    <row r="80" spans="1:26" x14ac:dyDescent="0.3">
      <c r="A80" s="9"/>
      <c r="B80" s="10"/>
      <c r="C80" s="10"/>
      <c r="D80" s="3"/>
      <c r="E80" s="3"/>
      <c r="F80" s="8"/>
      <c r="G80" s="3"/>
      <c r="H80" s="3"/>
      <c r="I80" s="3"/>
      <c r="J80" s="8"/>
      <c r="K80" s="3"/>
      <c r="L80" s="3"/>
      <c r="M80" s="3"/>
      <c r="N80" s="8"/>
      <c r="O80" s="10"/>
      <c r="P80" s="3"/>
      <c r="Q80" s="3"/>
      <c r="R80" s="8"/>
      <c r="S80" s="3"/>
      <c r="T80" s="3"/>
      <c r="U80" s="3"/>
      <c r="V80" s="8"/>
      <c r="W80" s="3"/>
      <c r="X80" s="3"/>
      <c r="Y80" s="3"/>
      <c r="Z80" s="8"/>
    </row>
    <row r="81" spans="1:26" s="23" customFormat="1" x14ac:dyDescent="0.3">
      <c r="A81" s="10"/>
      <c r="B81" s="25" t="s">
        <v>276</v>
      </c>
      <c r="C81" s="25"/>
      <c r="D81" s="21">
        <f>+D21-D23+D79</f>
        <v>68453.559999999969</v>
      </c>
      <c r="E81" s="13"/>
      <c r="F81" s="22">
        <f>IF(D$12=0,0,D81/D$12)</f>
        <v>0.29616953082393355</v>
      </c>
      <c r="G81" s="13"/>
      <c r="H81" s="21">
        <f>+H21-H23+H79</f>
        <v>-41541.899999999994</v>
      </c>
      <c r="I81" s="13"/>
      <c r="J81" s="22">
        <f>IF(H$12=0,0,H81/H$12)</f>
        <v>0</v>
      </c>
      <c r="K81" s="16"/>
      <c r="L81" s="21">
        <f>+D81-H81</f>
        <v>109995.45999999996</v>
      </c>
      <c r="M81" s="16"/>
      <c r="N81" s="22">
        <f>IF(H81=0,0,L81/H81)</f>
        <v>-2.6478196712235111</v>
      </c>
      <c r="O81" s="26"/>
      <c r="P81" s="21">
        <f>+P21-P23+P79</f>
        <v>-35131.590000000084</v>
      </c>
      <c r="Q81" s="13"/>
      <c r="R81" s="22">
        <f>IF(P$12=0,0,P81/P$12)</f>
        <v>-4.8504181753469953E-2</v>
      </c>
      <c r="S81" s="13"/>
      <c r="T81" s="21">
        <f>+T21-T23+T79</f>
        <v>-211039.80000000002</v>
      </c>
      <c r="U81" s="13"/>
      <c r="V81" s="22">
        <f>IF(T$12=0,0,T81/T$12)</f>
        <v>0</v>
      </c>
      <c r="W81" s="16"/>
      <c r="X81" s="21">
        <f>+P81-T81</f>
        <v>175908.20999999993</v>
      </c>
      <c r="Y81" s="16"/>
      <c r="Z81" s="22">
        <f>IF(T81=0,0,X81/T81)</f>
        <v>-0.83353097377840535</v>
      </c>
    </row>
    <row r="82" spans="1:26" x14ac:dyDescent="0.3">
      <c r="A82" s="9"/>
      <c r="B82" s="10"/>
      <c r="C82" s="9"/>
      <c r="D82" s="3"/>
      <c r="E82" s="3"/>
      <c r="F82" s="8"/>
      <c r="G82" s="3"/>
      <c r="H82" s="3"/>
      <c r="I82" s="3"/>
      <c r="J82" s="8"/>
      <c r="K82" s="3"/>
      <c r="L82" s="3"/>
      <c r="M82" s="3"/>
      <c r="N82" s="8"/>
      <c r="P82" s="3"/>
      <c r="Q82" s="3"/>
      <c r="R82" s="8"/>
      <c r="S82" s="3"/>
      <c r="T82" s="3"/>
      <c r="U82" s="3"/>
      <c r="V82" s="8"/>
      <c r="W82" s="3"/>
      <c r="X82" s="3"/>
      <c r="Y82" s="3"/>
      <c r="Z82" s="8"/>
    </row>
    <row r="83" spans="1:26" s="23" customFormat="1" x14ac:dyDescent="0.3">
      <c r="A83" s="51"/>
      <c r="B83" s="10" t="s">
        <v>127</v>
      </c>
      <c r="C83" s="10"/>
      <c r="D83" s="4">
        <v>29266.22</v>
      </c>
      <c r="E83" s="4"/>
      <c r="F83" s="12">
        <f>IF(D$12=0,0,D83/D$12)</f>
        <v>0.12662252549597164</v>
      </c>
      <c r="G83" s="4"/>
      <c r="H83" s="4"/>
      <c r="I83" s="4"/>
      <c r="J83" s="12">
        <f>IF(H$12=0,0,H83/H$12)</f>
        <v>0</v>
      </c>
      <c r="K83" s="4"/>
      <c r="L83" s="4">
        <f>+D83-H83</f>
        <v>29266.22</v>
      </c>
      <c r="M83" s="4"/>
      <c r="N83" s="12">
        <f>IF(H83=0,0,L83/H83)</f>
        <v>0</v>
      </c>
      <c r="O83" s="10"/>
      <c r="P83" s="4">
        <v>86272.66</v>
      </c>
      <c r="Q83" s="4"/>
      <c r="R83" s="12">
        <f>IF(P$12=0,0,P83/P$12)</f>
        <v>0.11911173906433803</v>
      </c>
      <c r="S83" s="4"/>
      <c r="T83" s="4">
        <v>0</v>
      </c>
      <c r="U83" s="4"/>
      <c r="V83" s="12">
        <f>IF(T$12=0,0,T83/T$12)</f>
        <v>0</v>
      </c>
      <c r="W83" s="4"/>
      <c r="X83" s="4">
        <f>+P83-T83</f>
        <v>86272.66</v>
      </c>
      <c r="Y83" s="4"/>
      <c r="Z83" s="12">
        <f>IF(T83=0,0,X83/T83)</f>
        <v>0</v>
      </c>
    </row>
    <row r="84" spans="1:26" x14ac:dyDescent="0.3">
      <c r="A84" s="9"/>
      <c r="B84" s="10"/>
      <c r="C84" s="10"/>
      <c r="D84" s="3"/>
      <c r="E84" s="3"/>
      <c r="F84" s="8"/>
      <c r="G84" s="3"/>
      <c r="H84" s="3"/>
      <c r="I84" s="3"/>
      <c r="J84" s="8"/>
      <c r="K84" s="3"/>
      <c r="L84" s="3"/>
      <c r="M84" s="3"/>
      <c r="N84" s="8"/>
      <c r="O84" s="10"/>
      <c r="P84" s="3"/>
      <c r="Q84" s="3"/>
      <c r="R84" s="8"/>
      <c r="S84" s="3"/>
      <c r="T84" s="3"/>
      <c r="U84" s="3"/>
      <c r="V84" s="8"/>
      <c r="W84" s="3"/>
      <c r="X84" s="3"/>
      <c r="Y84" s="3"/>
      <c r="Z84" s="8"/>
    </row>
    <row r="85" spans="1:26" s="23" customFormat="1" ht="15" thickBot="1" x14ac:dyDescent="0.35">
      <c r="A85" s="10"/>
      <c r="B85" s="25" t="s">
        <v>125</v>
      </c>
      <c r="C85" s="25"/>
      <c r="D85" s="35">
        <f>+D81-D83</f>
        <v>39187.339999999967</v>
      </c>
      <c r="E85" s="13"/>
      <c r="F85" s="31">
        <f>IF(D$12=0,0,D85/D$12)</f>
        <v>0.16954700532796191</v>
      </c>
      <c r="G85" s="13"/>
      <c r="H85" s="35">
        <f>+H81-H83</f>
        <v>-41541.899999999994</v>
      </c>
      <c r="I85" s="13"/>
      <c r="J85" s="31">
        <f>IF(H$12=0,0,H85/H$12)</f>
        <v>0</v>
      </c>
      <c r="K85" s="16"/>
      <c r="L85" s="35">
        <f>D85-H85</f>
        <v>80729.239999999962</v>
      </c>
      <c r="M85" s="16"/>
      <c r="N85" s="31">
        <f>IF(H85=0,0,L85/H85)</f>
        <v>-1.943320839923065</v>
      </c>
      <c r="O85" s="26"/>
      <c r="P85" s="35">
        <f>+P81-P83</f>
        <v>-121404.25000000009</v>
      </c>
      <c r="Q85" s="13"/>
      <c r="R85" s="31">
        <f>IF(P$12=0,0,P85/P$12)</f>
        <v>-0.16761592081780799</v>
      </c>
      <c r="S85" s="13"/>
      <c r="T85" s="35">
        <f>+T81-T83</f>
        <v>-211039.80000000002</v>
      </c>
      <c r="U85" s="13"/>
      <c r="V85" s="31">
        <f>IF(T$12=0,0,T85/T$12)</f>
        <v>0</v>
      </c>
      <c r="W85" s="16"/>
      <c r="X85" s="35">
        <f>P85-T85</f>
        <v>89635.54999999993</v>
      </c>
      <c r="Y85" s="16"/>
      <c r="Z85" s="31">
        <f>IF(T85=0,0,X85/T85)</f>
        <v>-0.42473291767713922</v>
      </c>
    </row>
    <row r="86" spans="1:26" ht="15" thickTop="1" x14ac:dyDescent="0.3">
      <c r="A86" s="9"/>
      <c r="B86" s="9"/>
      <c r="C86" s="9"/>
      <c r="D86" s="3"/>
      <c r="E86" s="3"/>
      <c r="F86" s="8"/>
      <c r="G86" s="3"/>
      <c r="H86" s="3"/>
      <c r="I86" s="3"/>
      <c r="J86" s="8"/>
      <c r="K86" s="3"/>
      <c r="L86" s="3"/>
      <c r="M86" s="3"/>
      <c r="N86" s="8"/>
      <c r="P86" s="3"/>
      <c r="Q86" s="3"/>
      <c r="R86" s="8"/>
      <c r="S86" s="3"/>
      <c r="T86" s="3"/>
      <c r="U86" s="3"/>
      <c r="V86" s="8"/>
      <c r="W86" s="3"/>
      <c r="X86" s="3"/>
      <c r="Y86" s="3"/>
      <c r="Z86" s="8"/>
    </row>
    <row r="87" spans="1:26" x14ac:dyDescent="0.3">
      <c r="A87" s="9"/>
      <c r="B87" s="9"/>
      <c r="C87" s="9"/>
      <c r="D87" s="3"/>
      <c r="E87" s="3"/>
      <c r="F87" s="8"/>
      <c r="G87" s="3"/>
      <c r="H87" s="3"/>
      <c r="I87" s="3"/>
      <c r="J87" s="8"/>
      <c r="K87" s="3"/>
      <c r="L87" s="3"/>
      <c r="M87" s="3"/>
      <c r="N87" s="8"/>
      <c r="P87" s="3"/>
      <c r="Q87" s="3"/>
      <c r="R87" s="8"/>
      <c r="S87" s="3"/>
      <c r="T87" s="3"/>
      <c r="U87" s="3"/>
      <c r="V87" s="8"/>
      <c r="W87" s="3"/>
      <c r="X87" s="3"/>
      <c r="Y87" s="3"/>
      <c r="Z87" s="8"/>
    </row>
    <row r="88" spans="1:26" s="23" customFormat="1" ht="15" thickBot="1" x14ac:dyDescent="0.35">
      <c r="A88" s="10"/>
      <c r="B88" s="25" t="s">
        <v>293</v>
      </c>
      <c r="C88" s="25"/>
      <c r="D88" s="36">
        <f>SUM(D85:D87)</f>
        <v>39187.339999999967</v>
      </c>
      <c r="E88" s="13"/>
      <c r="F88" s="33">
        <f>IF(D$12=0,0,D88/D$12)</f>
        <v>0.16954700532796191</v>
      </c>
      <c r="G88" s="13"/>
      <c r="H88" s="36">
        <f>SUM(H85:H87)</f>
        <v>-41541.899999999994</v>
      </c>
      <c r="I88" s="13"/>
      <c r="J88" s="33">
        <f>IF(H$12=0,0,H88/H$12)</f>
        <v>0</v>
      </c>
      <c r="K88" s="16"/>
      <c r="L88" s="36">
        <f>+D88-H88</f>
        <v>80729.239999999962</v>
      </c>
      <c r="M88" s="16"/>
      <c r="N88" s="33">
        <f>IF(H88=0,0,L88/H88)</f>
        <v>-1.943320839923065</v>
      </c>
      <c r="O88" s="26"/>
      <c r="P88" s="36">
        <f>SUM(P85:P87)</f>
        <v>-121404.25000000009</v>
      </c>
      <c r="Q88" s="13"/>
      <c r="R88" s="33">
        <f>IF(P$12=0,0,P88/P$12)</f>
        <v>-0.16761592081780799</v>
      </c>
      <c r="S88" s="13"/>
      <c r="T88" s="36">
        <f>SUM(T85:T87)</f>
        <v>-211039.80000000002</v>
      </c>
      <c r="U88" s="13"/>
      <c r="V88" s="33">
        <f>IF(T$12=0,0,T88/T$12)</f>
        <v>0</v>
      </c>
      <c r="W88" s="16"/>
      <c r="X88" s="36">
        <f>+P88-T88</f>
        <v>89635.54999999993</v>
      </c>
      <c r="Y88" s="16"/>
      <c r="Z88" s="33">
        <f>IF(T88=0,0,X88/T88)</f>
        <v>-0.42473291767713922</v>
      </c>
    </row>
    <row r="89" spans="1:26" ht="15" thickTop="1" x14ac:dyDescent="0.3">
      <c r="A89" s="9"/>
      <c r="C89" s="9"/>
      <c r="D89" s="17"/>
      <c r="E89" s="17"/>
      <c r="G89" s="17"/>
      <c r="H89" s="17"/>
      <c r="I89" s="17"/>
      <c r="J89" s="42"/>
      <c r="K89" s="17"/>
      <c r="L89" s="17"/>
      <c r="M89" s="17"/>
      <c r="P89" s="17"/>
      <c r="Q89" s="17"/>
      <c r="R89" s="42"/>
      <c r="S89" s="17"/>
      <c r="T89" s="17"/>
      <c r="U89" s="17"/>
      <c r="V89" s="42"/>
      <c r="W89" s="17"/>
      <c r="X89" s="17"/>
    </row>
    <row r="90" spans="1:26" x14ac:dyDescent="0.3">
      <c r="A90" s="9"/>
      <c r="B90" s="52">
        <v>44543.765594675926</v>
      </c>
      <c r="D90" s="17"/>
      <c r="E90" s="17"/>
      <c r="G90" s="17"/>
      <c r="H90" s="17"/>
      <c r="I90" s="17"/>
      <c r="J90" s="42"/>
      <c r="K90" s="17"/>
      <c r="L90" s="17"/>
      <c r="M90" s="17"/>
      <c r="P90" s="17"/>
      <c r="Q90" s="17"/>
      <c r="R90" s="42"/>
      <c r="S90" s="17"/>
      <c r="T90" s="17"/>
      <c r="U90" s="17"/>
      <c r="V90" s="42"/>
      <c r="W90" s="17"/>
      <c r="X90" s="17"/>
    </row>
    <row r="91" spans="1:26" x14ac:dyDescent="0.3">
      <c r="A91" s="9"/>
      <c r="B91" s="59" t="s">
        <v>56</v>
      </c>
      <c r="D91" s="17"/>
      <c r="E91" s="17"/>
      <c r="G91" s="17"/>
      <c r="H91" s="17"/>
      <c r="I91" s="17"/>
      <c r="J91" s="42"/>
      <c r="K91" s="17"/>
      <c r="L91" s="17"/>
      <c r="M91" s="17"/>
      <c r="P91" s="17"/>
      <c r="Q91" s="17"/>
      <c r="R91" s="42"/>
      <c r="S91" s="17"/>
      <c r="T91" s="17"/>
      <c r="U91" s="17"/>
      <c r="V91" s="42"/>
      <c r="W91" s="17"/>
      <c r="X91" s="17"/>
    </row>
    <row r="92" spans="1:26" x14ac:dyDescent="0.3">
      <c r="A92" s="9"/>
      <c r="B92" s="61"/>
      <c r="D92" s="17"/>
      <c r="E92" s="17"/>
      <c r="G92" s="17"/>
      <c r="H92" s="17"/>
      <c r="I92" s="17"/>
      <c r="J92" s="42"/>
      <c r="K92" s="17"/>
      <c r="L92" s="17"/>
      <c r="M92" s="17"/>
      <c r="P92" s="17"/>
      <c r="Q92" s="17"/>
      <c r="R92" s="42"/>
      <c r="S92" s="17"/>
      <c r="T92" s="17"/>
      <c r="U92" s="17"/>
      <c r="V92" s="42"/>
      <c r="W92" s="17"/>
      <c r="X92" s="17"/>
    </row>
    <row r="93" spans="1:26" x14ac:dyDescent="0.3">
      <c r="D93" s="17"/>
      <c r="E93" s="17"/>
      <c r="G93" s="17"/>
      <c r="H93" s="17"/>
      <c r="I93" s="17"/>
      <c r="J93" s="42"/>
      <c r="K93" s="17"/>
      <c r="L93" s="17"/>
      <c r="M93" s="17"/>
      <c r="P93" s="17"/>
      <c r="Q93" s="17"/>
      <c r="R93" s="42"/>
      <c r="S93" s="17"/>
      <c r="T93" s="17"/>
      <c r="U93" s="17"/>
      <c r="V93" s="42"/>
      <c r="W93" s="17"/>
      <c r="X93" s="17"/>
    </row>
  </sheetData>
  <pageMargins left="0.25" right="0.25" top="0.75" bottom="0.75" header="0.3" footer="0.3"/>
  <pageSetup scale="55" fitToWidth="2" orientation="landscape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rgb="FFFFC000"/>
    <outlinePr summaryBelow="0" summaryRight="0"/>
  </sheetPr>
  <dimension ref="A2:Z74"/>
  <sheetViews>
    <sheetView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">
        <v>104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16197</v>
      </c>
      <c r="E12" s="4"/>
      <c r="F12" s="12"/>
      <c r="G12" s="4"/>
      <c r="H12" s="4">
        <f>SUM(OSRRefH13x_0)</f>
        <v>52842</v>
      </c>
      <c r="I12" s="4"/>
      <c r="J12" s="12"/>
      <c r="K12" s="4"/>
      <c r="L12" s="4">
        <f t="shared" ref="L12:L13" si="0">+D12-H12</f>
        <v>-36645</v>
      </c>
      <c r="M12" s="4"/>
      <c r="N12" s="12">
        <f t="shared" ref="N12:N13" si="1">IF(H12=0,0,L12/H12)</f>
        <v>-0.6934824571363688</v>
      </c>
      <c r="O12" s="10"/>
      <c r="P12" s="4">
        <f>SUM(OSRRefP13x_0)</f>
        <v>304544</v>
      </c>
      <c r="Q12" s="4"/>
      <c r="R12" s="12"/>
      <c r="S12" s="4"/>
      <c r="T12" s="4">
        <f>SUM(OSRRefT13x_0)</f>
        <v>322447</v>
      </c>
      <c r="U12" s="4"/>
      <c r="V12" s="12"/>
      <c r="W12" s="4"/>
      <c r="X12" s="4">
        <f t="shared" ref="X12:X13" si="2">+P12-T12</f>
        <v>-17903</v>
      </c>
      <c r="Y12" s="4"/>
      <c r="Z12" s="12">
        <f t="shared" ref="Z12:Z13" si="3">IF(T12=0,0,X12/T12)</f>
        <v>-5.5522302890087361E-2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--16197</f>
        <v>16197</v>
      </c>
      <c r="E13" s="2"/>
      <c r="F13" s="19"/>
      <c r="G13" s="2"/>
      <c r="H13" s="2">
        <f>--52842</f>
        <v>52842</v>
      </c>
      <c r="I13" s="2"/>
      <c r="J13" s="19"/>
      <c r="K13" s="2"/>
      <c r="L13" s="2">
        <f t="shared" si="0"/>
        <v>-36645</v>
      </c>
      <c r="M13" s="2"/>
      <c r="N13" s="19">
        <f t="shared" si="1"/>
        <v>-0.6934824571363688</v>
      </c>
      <c r="O13" s="11"/>
      <c r="P13" s="2">
        <f>--304544</f>
        <v>304544</v>
      </c>
      <c r="Q13" s="2"/>
      <c r="R13" s="19"/>
      <c r="S13" s="2"/>
      <c r="T13" s="2">
        <f>--322447</f>
        <v>322447</v>
      </c>
      <c r="U13" s="2"/>
      <c r="V13" s="19"/>
      <c r="W13" s="2"/>
      <c r="X13" s="2">
        <f t="shared" si="2"/>
        <v>-17903</v>
      </c>
      <c r="Y13" s="2"/>
      <c r="Z13" s="19">
        <f t="shared" si="3"/>
        <v>-5.5522302890087361E-2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16197</v>
      </c>
      <c r="E17" s="13"/>
      <c r="F17" s="22">
        <f>IF(D$12=0,0,D17/D$12)</f>
        <v>1</v>
      </c>
      <c r="G17" s="13"/>
      <c r="H17" s="21">
        <f>H12-H15</f>
        <v>52842</v>
      </c>
      <c r="I17" s="13"/>
      <c r="J17" s="22">
        <f>IF(H$12=0,0,H17/H$12)</f>
        <v>1</v>
      </c>
      <c r="K17" s="16"/>
      <c r="L17" s="21">
        <f>+D17-H17</f>
        <v>-36645</v>
      </c>
      <c r="M17" s="16"/>
      <c r="N17" s="22">
        <f>IF(H17=0,0,L17/H17)</f>
        <v>-0.6934824571363688</v>
      </c>
      <c r="O17" s="26"/>
      <c r="P17" s="21">
        <f>P12-P15</f>
        <v>304544</v>
      </c>
      <c r="Q17" s="13"/>
      <c r="R17" s="22">
        <f>IF(P$12=0,0,P17/P$12)</f>
        <v>1</v>
      </c>
      <c r="S17" s="13"/>
      <c r="T17" s="21">
        <f>T12-T15</f>
        <v>322447</v>
      </c>
      <c r="U17" s="13"/>
      <c r="V17" s="22">
        <f>IF(T$12=0,0,T17/T$12)</f>
        <v>1</v>
      </c>
      <c r="W17" s="16"/>
      <c r="X17" s="21">
        <f>+P17-T17</f>
        <v>-17903</v>
      </c>
      <c r="Y17" s="16"/>
      <c r="Z17" s="22">
        <f>IF(T17=0,0,X17/T17)</f>
        <v>-5.5522302890087361E-2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16817.129999999997</v>
      </c>
      <c r="E19" s="20"/>
      <c r="F19" s="32">
        <f t="shared" ref="F19:F29" si="4">IF(D$12=0,0,D19/D$12)</f>
        <v>1.0382867197629189</v>
      </c>
      <c r="G19" s="20"/>
      <c r="H19" s="20">
        <f>SUM(OSRRefH22x_0)</f>
        <v>16452.790000000005</v>
      </c>
      <c r="I19" s="20"/>
      <c r="J19" s="32">
        <f t="shared" ref="J19:J29" si="5">IF(H$12=0,0,H19/H$12)</f>
        <v>0.31135819991673297</v>
      </c>
      <c r="K19" s="4"/>
      <c r="L19" s="20">
        <f t="shared" ref="L19:L29" si="6">+D19-H19</f>
        <v>364.33999999999287</v>
      </c>
      <c r="M19" s="4"/>
      <c r="N19" s="32">
        <f t="shared" ref="N19:N29" si="7">IF(H19=0,0,L19/H19)</f>
        <v>2.2144572440296922E-2</v>
      </c>
      <c r="O19" s="10"/>
      <c r="P19" s="20">
        <f>SUM(OSRRefP22x_0)</f>
        <v>242701.98</v>
      </c>
      <c r="Q19" s="20"/>
      <c r="R19" s="32">
        <f t="shared" ref="R19:R29" si="8">IF(P$12=0,0,P19/P$12)</f>
        <v>0.79693568088683409</v>
      </c>
      <c r="S19" s="20"/>
      <c r="T19" s="20">
        <f>SUM(OSRRefT22x_0)</f>
        <v>265164.76999999996</v>
      </c>
      <c r="U19" s="20"/>
      <c r="V19" s="32">
        <f t="shared" ref="V19:V29" si="9">IF(T$12=0,0,T19/T$12)</f>
        <v>0.82235148722115559</v>
      </c>
      <c r="W19" s="4"/>
      <c r="X19" s="20">
        <f t="shared" ref="X19:X29" si="10">+P19-T19</f>
        <v>-22462.78999999995</v>
      </c>
      <c r="Y19" s="4"/>
      <c r="Z19" s="32">
        <f t="shared" ref="Z19:Z29" si="11">IF(T19=0,0,X19/T19)</f>
        <v>-8.4712573242667011E-2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3647.92</v>
      </c>
      <c r="E20" s="1"/>
      <c r="F20" s="5">
        <f t="shared" si="4"/>
        <v>0.22522195468296599</v>
      </c>
      <c r="G20" s="1"/>
      <c r="H20" s="1">
        <f>SUM(OSRRefH22_0x_0)</f>
        <v>4514.01</v>
      </c>
      <c r="I20" s="1"/>
      <c r="J20" s="5">
        <f t="shared" si="5"/>
        <v>8.5424662200522319E-2</v>
      </c>
      <c r="K20" s="1"/>
      <c r="L20" s="1">
        <f t="shared" si="6"/>
        <v>-866.09000000000015</v>
      </c>
      <c r="M20" s="1"/>
      <c r="N20" s="5">
        <f t="shared" si="7"/>
        <v>-0.19186709821201106</v>
      </c>
      <c r="O20" s="14"/>
      <c r="P20" s="1">
        <f>SUM(OSRRefP22_0x_0)</f>
        <v>19873.249999999996</v>
      </c>
      <c r="Q20" s="1"/>
      <c r="R20" s="5">
        <f t="shared" si="8"/>
        <v>6.5255759430492791E-2</v>
      </c>
      <c r="S20" s="1"/>
      <c r="T20" s="1">
        <f>SUM(OSRRefT22_0x_0)</f>
        <v>21372.75</v>
      </c>
      <c r="U20" s="1"/>
      <c r="V20" s="5">
        <f t="shared" si="9"/>
        <v>6.6282986041116834E-2</v>
      </c>
      <c r="W20" s="1"/>
      <c r="X20" s="1">
        <f t="shared" si="10"/>
        <v>-1499.5000000000036</v>
      </c>
      <c r="Y20" s="1"/>
      <c r="Z20" s="5">
        <f t="shared" si="11"/>
        <v>-7.0159431986992954E-2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900.33</v>
      </c>
      <c r="E21" s="2"/>
      <c r="F21" s="7">
        <f t="shared" si="4"/>
        <v>5.5586219670309321E-2</v>
      </c>
      <c r="G21" s="2"/>
      <c r="H21" s="6">
        <v>830.29</v>
      </c>
      <c r="I21" s="2"/>
      <c r="J21" s="7">
        <f t="shared" si="5"/>
        <v>1.5712690662730403E-2</v>
      </c>
      <c r="K21" s="2"/>
      <c r="L21" s="6">
        <f t="shared" si="6"/>
        <v>70.040000000000077</v>
      </c>
      <c r="M21" s="2"/>
      <c r="N21" s="7">
        <f t="shared" si="7"/>
        <v>8.4356068361656864E-2</v>
      </c>
      <c r="O21" s="11"/>
      <c r="P21" s="6">
        <v>5789.61</v>
      </c>
      <c r="Q21" s="2"/>
      <c r="R21" s="7">
        <f t="shared" si="8"/>
        <v>1.901075049910686E-2</v>
      </c>
      <c r="S21" s="2"/>
      <c r="T21" s="6">
        <v>5351.93</v>
      </c>
      <c r="U21" s="2"/>
      <c r="V21" s="7">
        <f t="shared" si="9"/>
        <v>1.6597859493188028E-2</v>
      </c>
      <c r="W21" s="2"/>
      <c r="X21" s="6">
        <f t="shared" si="10"/>
        <v>437.67999999999938</v>
      </c>
      <c r="Y21" s="2"/>
      <c r="Z21" s="7">
        <f t="shared" si="11"/>
        <v>8.1779843906777436E-2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156.38</v>
      </c>
      <c r="E22" s="2"/>
      <c r="F22" s="7">
        <f t="shared" si="4"/>
        <v>9.6548743594492802E-3</v>
      </c>
      <c r="G22" s="2"/>
      <c r="H22" s="6">
        <v>171.99</v>
      </c>
      <c r="I22" s="2"/>
      <c r="J22" s="7">
        <f t="shared" si="5"/>
        <v>3.2547973203133872E-3</v>
      </c>
      <c r="K22" s="2"/>
      <c r="L22" s="6">
        <f t="shared" si="6"/>
        <v>-15.610000000000014</v>
      </c>
      <c r="M22" s="2"/>
      <c r="N22" s="7">
        <f t="shared" si="7"/>
        <v>-9.0761090761090832E-2</v>
      </c>
      <c r="O22" s="11"/>
      <c r="P22" s="6">
        <v>895.35</v>
      </c>
      <c r="Q22" s="2"/>
      <c r="R22" s="7">
        <f t="shared" si="8"/>
        <v>2.9399692655248505E-3</v>
      </c>
      <c r="S22" s="2"/>
      <c r="T22" s="6">
        <v>495.53</v>
      </c>
      <c r="U22" s="2"/>
      <c r="V22" s="7">
        <f t="shared" si="9"/>
        <v>1.5367796878246658E-3</v>
      </c>
      <c r="W22" s="2"/>
      <c r="X22" s="6">
        <f t="shared" si="10"/>
        <v>399.82000000000005</v>
      </c>
      <c r="Y22" s="2"/>
      <c r="Z22" s="7">
        <f t="shared" si="11"/>
        <v>0.80685326821786785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6.5095388034821261E-2</v>
      </c>
      <c r="G23" s="2"/>
      <c r="H23" s="6">
        <v>1230.45</v>
      </c>
      <c r="I23" s="2"/>
      <c r="J23" s="7">
        <f t="shared" si="5"/>
        <v>2.3285454751901895E-2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5271.75</v>
      </c>
      <c r="Q23" s="2"/>
      <c r="R23" s="7">
        <f t="shared" si="8"/>
        <v>1.7310306556688033E-2</v>
      </c>
      <c r="S23" s="2"/>
      <c r="T23" s="6">
        <v>6172.55</v>
      </c>
      <c r="U23" s="2"/>
      <c r="V23" s="7">
        <f t="shared" si="9"/>
        <v>1.9142835876903803E-2</v>
      </c>
      <c r="W23" s="2"/>
      <c r="X23" s="6">
        <f t="shared" si="10"/>
        <v>-900.80000000000018</v>
      </c>
      <c r="Y23" s="2"/>
      <c r="Z23" s="7">
        <f t="shared" si="11"/>
        <v>-0.14593644441924328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30.99</v>
      </c>
      <c r="E24" s="2"/>
      <c r="F24" s="7">
        <f t="shared" si="4"/>
        <v>1.9133172809779589E-3</v>
      </c>
      <c r="G24" s="2"/>
      <c r="H24" s="6">
        <v>68.3</v>
      </c>
      <c r="I24" s="2"/>
      <c r="J24" s="7">
        <f t="shared" si="5"/>
        <v>1.2925324552439347E-3</v>
      </c>
      <c r="K24" s="2"/>
      <c r="L24" s="6">
        <f t="shared" si="6"/>
        <v>-37.31</v>
      </c>
      <c r="M24" s="2"/>
      <c r="N24" s="7">
        <f t="shared" si="7"/>
        <v>-0.54626647144948759</v>
      </c>
      <c r="O24" s="11"/>
      <c r="P24" s="6">
        <v>177.15</v>
      </c>
      <c r="Q24" s="2"/>
      <c r="R24" s="7">
        <f t="shared" si="8"/>
        <v>5.8168934538194812E-4</v>
      </c>
      <c r="S24" s="2"/>
      <c r="T24" s="6">
        <v>214.6</v>
      </c>
      <c r="U24" s="2"/>
      <c r="V24" s="7">
        <f t="shared" si="9"/>
        <v>6.6553573145354116E-4</v>
      </c>
      <c r="W24" s="2"/>
      <c r="X24" s="6">
        <f t="shared" si="10"/>
        <v>-37.449999999999989</v>
      </c>
      <c r="Y24" s="2"/>
      <c r="Z24" s="7">
        <f t="shared" si="11"/>
        <v>-0.17451071761416584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3.7663764894733588E-2</v>
      </c>
      <c r="G25" s="2"/>
      <c r="H25" s="6">
        <v>1318.86</v>
      </c>
      <c r="I25" s="2"/>
      <c r="J25" s="7">
        <f t="shared" si="5"/>
        <v>2.4958555694334049E-2</v>
      </c>
      <c r="K25" s="2"/>
      <c r="L25" s="6">
        <f t="shared" si="6"/>
        <v>-708.81999999999994</v>
      </c>
      <c r="M25" s="2"/>
      <c r="N25" s="7">
        <f t="shared" si="7"/>
        <v>-0.53744900899261483</v>
      </c>
      <c r="O25" s="11"/>
      <c r="P25" s="6">
        <v>3249.65</v>
      </c>
      <c r="Q25" s="2"/>
      <c r="R25" s="7">
        <f t="shared" si="8"/>
        <v>1.0670543501103288E-2</v>
      </c>
      <c r="S25" s="2"/>
      <c r="T25" s="6">
        <v>4179.3500000000004</v>
      </c>
      <c r="U25" s="2"/>
      <c r="V25" s="7">
        <f t="shared" si="9"/>
        <v>1.296135488933065E-2</v>
      </c>
      <c r="W25" s="2"/>
      <c r="X25" s="6">
        <f t="shared" si="10"/>
        <v>-929.70000000000027</v>
      </c>
      <c r="Y25" s="2"/>
      <c r="Z25" s="7">
        <f t="shared" si="11"/>
        <v>-0.22245085958342808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74.84</v>
      </c>
      <c r="I26" s="2"/>
      <c r="J26" s="7">
        <f t="shared" si="5"/>
        <v>1.4162976420271755E-3</v>
      </c>
      <c r="K26" s="2"/>
      <c r="L26" s="6">
        <f t="shared" si="6"/>
        <v>-74.84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7.0646606073342447E-4</v>
      </c>
      <c r="S26" s="2"/>
      <c r="T26" s="6">
        <v>452.74</v>
      </c>
      <c r="U26" s="2"/>
      <c r="V26" s="7">
        <f t="shared" si="9"/>
        <v>1.404075708566059E-3</v>
      </c>
      <c r="W26" s="2"/>
      <c r="X26" s="6">
        <f t="shared" si="10"/>
        <v>-237.59</v>
      </c>
      <c r="Y26" s="2"/>
      <c r="Z26" s="7">
        <f t="shared" si="11"/>
        <v>-0.52478243583513717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524.49</v>
      </c>
      <c r="E27" s="2"/>
      <c r="F27" s="7">
        <f t="shared" si="4"/>
        <v>3.2381922578255236E-2</v>
      </c>
      <c r="G27" s="2"/>
      <c r="H27" s="6">
        <v>520.02</v>
      </c>
      <c r="I27" s="2"/>
      <c r="J27" s="7">
        <f t="shared" si="5"/>
        <v>9.841035539911433E-3</v>
      </c>
      <c r="K27" s="2"/>
      <c r="L27" s="6">
        <f t="shared" si="6"/>
        <v>4.4700000000000273</v>
      </c>
      <c r="M27" s="2"/>
      <c r="N27" s="7">
        <f t="shared" si="7"/>
        <v>8.5958232375678394E-3</v>
      </c>
      <c r="O27" s="11"/>
      <c r="P27" s="6">
        <v>2514.65</v>
      </c>
      <c r="Q27" s="2"/>
      <c r="R27" s="7">
        <f t="shared" si="8"/>
        <v>8.2570991383839453E-3</v>
      </c>
      <c r="S27" s="2"/>
      <c r="T27" s="6">
        <v>2860.11</v>
      </c>
      <c r="U27" s="2"/>
      <c r="V27" s="7">
        <f t="shared" si="9"/>
        <v>8.8700158475656463E-3</v>
      </c>
      <c r="W27" s="2"/>
      <c r="X27" s="6">
        <f t="shared" si="10"/>
        <v>-345.46000000000004</v>
      </c>
      <c r="Y27" s="2"/>
      <c r="Z27" s="7">
        <f t="shared" si="11"/>
        <v>-0.12078556419158705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277.58999999999997</v>
      </c>
      <c r="E28" s="2"/>
      <c r="F28" s="7">
        <f t="shared" si="4"/>
        <v>1.7138358955362101E-2</v>
      </c>
      <c r="G28" s="2"/>
      <c r="H28" s="6">
        <v>299.26</v>
      </c>
      <c r="I28" s="2"/>
      <c r="J28" s="7">
        <f t="shared" si="5"/>
        <v>5.6632981340600276E-3</v>
      </c>
      <c r="K28" s="2"/>
      <c r="L28" s="6">
        <f t="shared" si="6"/>
        <v>-21.670000000000016</v>
      </c>
      <c r="M28" s="2"/>
      <c r="N28" s="7">
        <f t="shared" si="7"/>
        <v>-7.2411949475372647E-2</v>
      </c>
      <c r="O28" s="11"/>
      <c r="P28" s="6">
        <v>1478.69</v>
      </c>
      <c r="Q28" s="2"/>
      <c r="R28" s="7">
        <f t="shared" si="8"/>
        <v>4.8554231900809078E-3</v>
      </c>
      <c r="S28" s="2"/>
      <c r="T28" s="6">
        <v>1645.94</v>
      </c>
      <c r="U28" s="2"/>
      <c r="V28" s="7">
        <f t="shared" si="9"/>
        <v>5.1045288062844434E-3</v>
      </c>
      <c r="W28" s="2"/>
      <c r="X28" s="6">
        <f t="shared" si="10"/>
        <v>-167.25</v>
      </c>
      <c r="Y28" s="2"/>
      <c r="Z28" s="7">
        <f t="shared" si="11"/>
        <v>-0.10161366756989926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93.75</v>
      </c>
      <c r="E29" s="2"/>
      <c r="F29" s="7">
        <f t="shared" si="4"/>
        <v>5.7881089090572324E-3</v>
      </c>
      <c r="G29" s="2"/>
      <c r="H29" s="6"/>
      <c r="I29" s="2"/>
      <c r="J29" s="7">
        <f t="shared" si="5"/>
        <v>0</v>
      </c>
      <c r="K29" s="2"/>
      <c r="L29" s="6">
        <f t="shared" si="6"/>
        <v>93.75</v>
      </c>
      <c r="M29" s="2"/>
      <c r="N29" s="7">
        <f t="shared" si="7"/>
        <v>0</v>
      </c>
      <c r="O29" s="11"/>
      <c r="P29" s="6">
        <v>281.25</v>
      </c>
      <c r="Q29" s="2"/>
      <c r="R29" s="7">
        <f t="shared" si="8"/>
        <v>9.2351187348954503E-4</v>
      </c>
      <c r="S29" s="2"/>
      <c r="T29" s="6"/>
      <c r="U29" s="2"/>
      <c r="V29" s="7">
        <f t="shared" si="9"/>
        <v>0</v>
      </c>
      <c r="W29" s="2"/>
      <c r="X29" s="6">
        <f t="shared" si="10"/>
        <v>281.25</v>
      </c>
      <c r="Y29" s="2"/>
      <c r="Z29" s="7">
        <f t="shared" si="11"/>
        <v>0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11774.15</v>
      </c>
      <c r="E30" s="1"/>
      <c r="F30" s="5">
        <f t="shared" ref="F30:F36" si="12">IF(D$12=0,0,D30/D$12)</f>
        <v>0.72693400012347964</v>
      </c>
      <c r="G30" s="1"/>
      <c r="H30" s="1">
        <f>SUM(OSRRefH22_1x_0)</f>
        <v>10918.12</v>
      </c>
      <c r="I30" s="1"/>
      <c r="J30" s="5">
        <f t="shared" ref="J30:J36" si="13">IF(H$12=0,0,H30/H$12)</f>
        <v>0.20661822035502064</v>
      </c>
      <c r="K30" s="1"/>
      <c r="L30" s="1">
        <f t="shared" ref="L30:L36" si="14">+D30-H30</f>
        <v>856.02999999999884</v>
      </c>
      <c r="M30" s="1"/>
      <c r="N30" s="5">
        <f t="shared" ref="N30:N36" si="15">IF(H30=0,0,L30/H30)</f>
        <v>7.8404523855755276E-2</v>
      </c>
      <c r="O30" s="14"/>
      <c r="P30" s="1">
        <f>SUM(OSRRefP22_1x_0)</f>
        <v>77446.060000000012</v>
      </c>
      <c r="Q30" s="1"/>
      <c r="R30" s="5">
        <f t="shared" ref="R30:R36" si="16">IF(P$12=0,0,P30/P$12)</f>
        <v>0.2543017100977199</v>
      </c>
      <c r="S30" s="1"/>
      <c r="T30" s="1">
        <f>SUM(OSRRefT22_1x_0)</f>
        <v>72655.399999999994</v>
      </c>
      <c r="U30" s="1"/>
      <c r="V30" s="5">
        <f t="shared" ref="V30:V36" si="17">IF(T$12=0,0,T30/T$12)</f>
        <v>0.22532509218569252</v>
      </c>
      <c r="W30" s="1"/>
      <c r="X30" s="1">
        <f t="shared" ref="X30:X36" si="18">+P30-T30</f>
        <v>4790.660000000018</v>
      </c>
      <c r="Y30" s="1"/>
      <c r="Z30" s="5">
        <f t="shared" ref="Z30:Z36" si="19">IF(T30=0,0,X30/T30)</f>
        <v>6.5936736980321056E-2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4192.4399999999996</v>
      </c>
      <c r="E31" s="2"/>
      <c r="F31" s="7">
        <f t="shared" si="12"/>
        <v>0.25884052602333762</v>
      </c>
      <c r="G31" s="2"/>
      <c r="H31" s="6">
        <v>3995.44</v>
      </c>
      <c r="I31" s="2"/>
      <c r="J31" s="7">
        <f t="shared" si="13"/>
        <v>7.5611066954316644E-2</v>
      </c>
      <c r="K31" s="2"/>
      <c r="L31" s="6">
        <f t="shared" si="14"/>
        <v>196.99999999999955</v>
      </c>
      <c r="M31" s="2"/>
      <c r="N31" s="7">
        <f t="shared" si="15"/>
        <v>4.9306209078349206E-2</v>
      </c>
      <c r="O31" s="11"/>
      <c r="P31" s="6">
        <v>23676.53</v>
      </c>
      <c r="Q31" s="2"/>
      <c r="R31" s="7">
        <f t="shared" si="16"/>
        <v>7.7744201166333932E-2</v>
      </c>
      <c r="S31" s="2"/>
      <c r="T31" s="6">
        <v>21869.74</v>
      </c>
      <c r="U31" s="2"/>
      <c r="V31" s="7">
        <f t="shared" si="17"/>
        <v>6.7824293604840491E-2</v>
      </c>
      <c r="W31" s="2"/>
      <c r="X31" s="6">
        <f t="shared" si="18"/>
        <v>1806.7899999999972</v>
      </c>
      <c r="Y31" s="2"/>
      <c r="Z31" s="7">
        <f t="shared" si="19"/>
        <v>8.2615979888192415E-2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1156</v>
      </c>
      <c r="E32" s="2"/>
      <c r="F32" s="7">
        <f t="shared" si="12"/>
        <v>7.1371241587948386E-2</v>
      </c>
      <c r="G32" s="2"/>
      <c r="H32" s="6">
        <v>1939.95</v>
      </c>
      <c r="I32" s="2"/>
      <c r="J32" s="7">
        <f t="shared" si="13"/>
        <v>3.6712274327239697E-2</v>
      </c>
      <c r="K32" s="2"/>
      <c r="L32" s="6">
        <f t="shared" si="14"/>
        <v>-783.95</v>
      </c>
      <c r="M32" s="2"/>
      <c r="N32" s="7">
        <f t="shared" si="15"/>
        <v>-0.40410835330807499</v>
      </c>
      <c r="O32" s="11"/>
      <c r="P32" s="6">
        <v>10192.57</v>
      </c>
      <c r="Q32" s="2"/>
      <c r="R32" s="7">
        <f t="shared" si="16"/>
        <v>3.3468300147105182E-2</v>
      </c>
      <c r="S32" s="2"/>
      <c r="T32" s="6">
        <v>11753.84</v>
      </c>
      <c r="U32" s="2"/>
      <c r="V32" s="7">
        <f t="shared" si="17"/>
        <v>3.6452006066113193E-2</v>
      </c>
      <c r="W32" s="2"/>
      <c r="X32" s="6">
        <f t="shared" si="18"/>
        <v>-1561.2700000000004</v>
      </c>
      <c r="Y32" s="2"/>
      <c r="Z32" s="7">
        <f t="shared" si="19"/>
        <v>-0.13283063237205886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502.42</v>
      </c>
      <c r="E33" s="2"/>
      <c r="F33" s="7">
        <f t="shared" si="12"/>
        <v>3.1019324566277706E-2</v>
      </c>
      <c r="G33" s="2"/>
      <c r="H33" s="6"/>
      <c r="I33" s="2"/>
      <c r="J33" s="7">
        <f t="shared" si="13"/>
        <v>0</v>
      </c>
      <c r="K33" s="2"/>
      <c r="L33" s="6">
        <f t="shared" si="14"/>
        <v>502.42</v>
      </c>
      <c r="M33" s="2"/>
      <c r="N33" s="7">
        <f t="shared" si="15"/>
        <v>0</v>
      </c>
      <c r="O33" s="11"/>
      <c r="P33" s="6">
        <v>7152.32</v>
      </c>
      <c r="Q33" s="2"/>
      <c r="R33" s="7">
        <f t="shared" si="16"/>
        <v>2.3485342019543973E-2</v>
      </c>
      <c r="S33" s="2"/>
      <c r="T33" s="6"/>
      <c r="U33" s="2"/>
      <c r="V33" s="7">
        <f t="shared" si="17"/>
        <v>0</v>
      </c>
      <c r="W33" s="2"/>
      <c r="X33" s="6">
        <f t="shared" si="18"/>
        <v>7152.32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5366.19</v>
      </c>
      <c r="E34" s="2"/>
      <c r="F34" s="7">
        <f t="shared" si="12"/>
        <v>0.33130764956473419</v>
      </c>
      <c r="G34" s="2"/>
      <c r="H34" s="6">
        <v>3993.44</v>
      </c>
      <c r="I34" s="2"/>
      <c r="J34" s="7">
        <f t="shared" si="13"/>
        <v>7.5573218273343179E-2</v>
      </c>
      <c r="K34" s="2"/>
      <c r="L34" s="6">
        <f t="shared" si="14"/>
        <v>1372.7499999999995</v>
      </c>
      <c r="M34" s="2"/>
      <c r="N34" s="7">
        <f t="shared" si="15"/>
        <v>0.34375125205336743</v>
      </c>
      <c r="O34" s="11"/>
      <c r="P34" s="6">
        <v>32816.120000000003</v>
      </c>
      <c r="Q34" s="2"/>
      <c r="R34" s="7">
        <f t="shared" si="16"/>
        <v>0.10775493853104971</v>
      </c>
      <c r="S34" s="2"/>
      <c r="T34" s="6">
        <v>33346.76</v>
      </c>
      <c r="U34" s="2"/>
      <c r="V34" s="7">
        <f t="shared" si="17"/>
        <v>0.10341780199536668</v>
      </c>
      <c r="W34" s="2"/>
      <c r="X34" s="6">
        <f t="shared" si="18"/>
        <v>-530.63999999999942</v>
      </c>
      <c r="Y34" s="2"/>
      <c r="Z34" s="7">
        <f t="shared" si="19"/>
        <v>-1.5912790328055839E-2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>
        <v>557.1</v>
      </c>
      <c r="E35" s="2"/>
      <c r="F35" s="7">
        <f t="shared" si="12"/>
        <v>3.4395258381181702E-2</v>
      </c>
      <c r="G35" s="2"/>
      <c r="H35" s="6">
        <v>504.75</v>
      </c>
      <c r="I35" s="2"/>
      <c r="J35" s="7">
        <f t="shared" si="13"/>
        <v>9.5520608606790049E-3</v>
      </c>
      <c r="K35" s="2"/>
      <c r="L35" s="6">
        <f t="shared" si="14"/>
        <v>52.350000000000023</v>
      </c>
      <c r="M35" s="2"/>
      <c r="N35" s="7">
        <f t="shared" si="15"/>
        <v>0.10371471025260035</v>
      </c>
      <c r="O35" s="11"/>
      <c r="P35" s="6">
        <v>3444.3</v>
      </c>
      <c r="Q35" s="2"/>
      <c r="R35" s="7">
        <f t="shared" si="16"/>
        <v>1.1309695807502365E-2</v>
      </c>
      <c r="S35" s="2"/>
      <c r="T35" s="6">
        <v>3315.98</v>
      </c>
      <c r="U35" s="2"/>
      <c r="V35" s="7">
        <f t="shared" si="17"/>
        <v>1.0283798577750762E-2</v>
      </c>
      <c r="W35" s="2"/>
      <c r="X35" s="6">
        <f t="shared" si="18"/>
        <v>128.32000000000016</v>
      </c>
      <c r="Y35" s="2"/>
      <c r="Z35" s="7">
        <f t="shared" si="19"/>
        <v>3.8697458971405183E-2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2"/>
        <v>0</v>
      </c>
      <c r="G36" s="2"/>
      <c r="H36" s="6">
        <v>484.54</v>
      </c>
      <c r="I36" s="2"/>
      <c r="J36" s="7">
        <f t="shared" si="13"/>
        <v>9.1695999394421114E-3</v>
      </c>
      <c r="K36" s="2"/>
      <c r="L36" s="6">
        <f t="shared" si="14"/>
        <v>-484.54</v>
      </c>
      <c r="M36" s="2"/>
      <c r="N36" s="7">
        <f t="shared" si="15"/>
        <v>-1</v>
      </c>
      <c r="O36" s="11"/>
      <c r="P36" s="6">
        <v>164.22</v>
      </c>
      <c r="Q36" s="2"/>
      <c r="R36" s="7">
        <f t="shared" si="16"/>
        <v>5.3923242618472212E-4</v>
      </c>
      <c r="S36" s="2"/>
      <c r="T36" s="6">
        <v>2369.08</v>
      </c>
      <c r="U36" s="2"/>
      <c r="V36" s="7">
        <f t="shared" si="17"/>
        <v>7.3471919416214131E-3</v>
      </c>
      <c r="W36" s="2"/>
      <c r="X36" s="6">
        <f t="shared" si="18"/>
        <v>-2204.86</v>
      </c>
      <c r="Y36" s="2"/>
      <c r="Z36" s="7">
        <f t="shared" si="19"/>
        <v>-0.93068195248788566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3.6927340548492172E-4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3.6927340548492172E-4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229.39</v>
      </c>
      <c r="E39" s="1"/>
      <c r="F39" s="5">
        <f t="shared" si="20"/>
        <v>1.4162499228252145E-2</v>
      </c>
      <c r="G39" s="1"/>
      <c r="H39" s="1">
        <f>SUM(OSRRefH22_3x_0)</f>
        <v>54.7</v>
      </c>
      <c r="I39" s="1"/>
      <c r="J39" s="5">
        <f t="shared" si="21"/>
        <v>1.0351614246243519E-3</v>
      </c>
      <c r="K39" s="1"/>
      <c r="L39" s="1">
        <f t="shared" si="22"/>
        <v>174.69</v>
      </c>
      <c r="M39" s="1"/>
      <c r="N39" s="5">
        <f t="shared" si="23"/>
        <v>3.1936014625228517</v>
      </c>
      <c r="O39" s="14"/>
      <c r="P39" s="1">
        <f>SUM(OSRRefP22_3x_0)</f>
        <v>1532.5</v>
      </c>
      <c r="Q39" s="1"/>
      <c r="R39" s="5">
        <f t="shared" si="24"/>
        <v>5.0321135862141427E-3</v>
      </c>
      <c r="S39" s="1"/>
      <c r="T39" s="1">
        <f>SUM(OSRRefT22_3x_0)</f>
        <v>574.16999999999996</v>
      </c>
      <c r="U39" s="1"/>
      <c r="V39" s="5">
        <f t="shared" si="25"/>
        <v>1.7806647293973892E-3</v>
      </c>
      <c r="W39" s="1"/>
      <c r="X39" s="1">
        <f t="shared" si="26"/>
        <v>958.33</v>
      </c>
      <c r="Y39" s="1"/>
      <c r="Z39" s="5">
        <f t="shared" si="27"/>
        <v>1.6690701360224325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6">
        <v>229.39</v>
      </c>
      <c r="E40" s="2"/>
      <c r="F40" s="7">
        <f t="shared" si="20"/>
        <v>1.4162499228252145E-2</v>
      </c>
      <c r="G40" s="2"/>
      <c r="H40" s="6">
        <v>54.7</v>
      </c>
      <c r="I40" s="2"/>
      <c r="J40" s="7">
        <f t="shared" si="21"/>
        <v>1.0351614246243519E-3</v>
      </c>
      <c r="K40" s="2"/>
      <c r="L40" s="6">
        <f t="shared" si="22"/>
        <v>174.69</v>
      </c>
      <c r="M40" s="2"/>
      <c r="N40" s="7">
        <f t="shared" si="23"/>
        <v>3.1936014625228517</v>
      </c>
      <c r="O40" s="11"/>
      <c r="P40" s="6">
        <v>1532.5</v>
      </c>
      <c r="Q40" s="2"/>
      <c r="R40" s="7">
        <f t="shared" si="24"/>
        <v>5.0321135862141427E-3</v>
      </c>
      <c r="S40" s="2"/>
      <c r="T40" s="6">
        <v>574.16999999999996</v>
      </c>
      <c r="U40" s="2"/>
      <c r="V40" s="7">
        <f t="shared" si="25"/>
        <v>1.7806647293973892E-3</v>
      </c>
      <c r="W40" s="2"/>
      <c r="X40" s="6">
        <f t="shared" si="26"/>
        <v>958.33</v>
      </c>
      <c r="Y40" s="2"/>
      <c r="Z40" s="7">
        <f t="shared" si="27"/>
        <v>1.6690701360224325</v>
      </c>
    </row>
    <row r="41" spans="1:26" s="29" customFormat="1" outlineLevel="1" collapsed="1" x14ac:dyDescent="0.3">
      <c r="A41" s="28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2.035830618892508E-6</v>
      </c>
      <c r="S41" s="1"/>
      <c r="T41" s="1">
        <f>SUM(OSRRefT22_4x_0)</f>
        <v>2.12</v>
      </c>
      <c r="U41" s="1"/>
      <c r="V41" s="5">
        <f t="shared" si="25"/>
        <v>6.5747239081151328E-6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7"/>
      <c r="B42" s="11" t="str">
        <f>CONCATENATE("          ", "6305", " - ", "FREIGHT OUT")</f>
        <v xml:space="preserve">          6305 - FREIGHT OUT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0.62</v>
      </c>
      <c r="Q42" s="2"/>
      <c r="R42" s="7">
        <f t="shared" si="24"/>
        <v>2.035830618892508E-6</v>
      </c>
      <c r="S42" s="2"/>
      <c r="T42" s="6">
        <v>1.62</v>
      </c>
      <c r="U42" s="2"/>
      <c r="V42" s="7">
        <f t="shared" si="25"/>
        <v>5.024081476955903E-6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3">
      <c r="A43" s="27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1.5506424311592292E-6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2.434401432364018E-3</v>
      </c>
      <c r="G44" s="1"/>
      <c r="H44" s="1">
        <f>SUM(OSRRefH22_5x_0)</f>
        <v>29.01</v>
      </c>
      <c r="I44" s="1"/>
      <c r="J44" s="5">
        <f t="shared" ref="J44:J50" si="29">IF(H$12=0,0,H44/H$12)</f>
        <v>5.4899511752015445E-4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197.15</v>
      </c>
      <c r="Q44" s="1"/>
      <c r="R44" s="5">
        <f t="shared" ref="R44:R50" si="32">IF(P$12=0,0,P44/P$12)</f>
        <v>6.4736130083009353E-4</v>
      </c>
      <c r="S44" s="1"/>
      <c r="T44" s="1">
        <f>SUM(OSRRefT22_5x_0)</f>
        <v>145.05000000000001</v>
      </c>
      <c r="U44" s="1"/>
      <c r="V44" s="5">
        <f t="shared" ref="V44:V50" si="33">IF(T$12=0,0,T44/T$12)</f>
        <v>4.4984136927929245E-4</v>
      </c>
      <c r="W44" s="1"/>
      <c r="X44" s="1">
        <f t="shared" ref="X44:X50" si="34">+P44-T44</f>
        <v>52.099999999999994</v>
      </c>
      <c r="Y44" s="1"/>
      <c r="Z44" s="5">
        <f t="shared" ref="Z44:Z50" si="35">IF(T44=0,0,X44/T44)</f>
        <v>0.35918648741813158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2.434401432364018E-3</v>
      </c>
      <c r="G45" s="2"/>
      <c r="H45" s="6">
        <v>29.01</v>
      </c>
      <c r="I45" s="2"/>
      <c r="J45" s="7">
        <f t="shared" si="29"/>
        <v>5.4899511752015445E-4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197.15</v>
      </c>
      <c r="Q45" s="2"/>
      <c r="R45" s="7">
        <f t="shared" si="32"/>
        <v>6.4736130083009353E-4</v>
      </c>
      <c r="S45" s="2"/>
      <c r="T45" s="6">
        <v>145.05000000000001</v>
      </c>
      <c r="U45" s="2"/>
      <c r="V45" s="7">
        <f t="shared" si="33"/>
        <v>4.4984136927929245E-4</v>
      </c>
      <c r="W45" s="2"/>
      <c r="X45" s="6">
        <f t="shared" si="34"/>
        <v>52.099999999999994</v>
      </c>
      <c r="Y45" s="2"/>
      <c r="Z45" s="7">
        <f t="shared" si="35"/>
        <v>0.35918648741813158</v>
      </c>
    </row>
    <row r="46" spans="1:26" s="29" customFormat="1" outlineLevel="1" collapsed="1" x14ac:dyDescent="0.3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4.9391862690621721E-2</v>
      </c>
      <c r="G46" s="1"/>
      <c r="H46" s="1">
        <f>SUM(OSRRefH22_6x_0)</f>
        <v>800</v>
      </c>
      <c r="I46" s="1"/>
      <c r="J46" s="5">
        <f t="shared" si="29"/>
        <v>1.513947238938723E-2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4000</v>
      </c>
      <c r="Q46" s="1"/>
      <c r="R46" s="5">
        <f t="shared" si="32"/>
        <v>1.3134391089629084E-2</v>
      </c>
      <c r="S46" s="1"/>
      <c r="T46" s="1">
        <f>SUM(OSRRefT22_6x_0)</f>
        <v>4000</v>
      </c>
      <c r="U46" s="1"/>
      <c r="V46" s="5">
        <f t="shared" si="33"/>
        <v>1.2405139449273834E-2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7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4.9391862690621721E-2</v>
      </c>
      <c r="G47" s="2"/>
      <c r="H47" s="6">
        <v>800</v>
      </c>
      <c r="I47" s="2"/>
      <c r="J47" s="7">
        <f t="shared" si="29"/>
        <v>1.513947238938723E-2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4000</v>
      </c>
      <c r="Q47" s="2"/>
      <c r="R47" s="7">
        <f t="shared" si="32"/>
        <v>1.3134391089629084E-2</v>
      </c>
      <c r="S47" s="2"/>
      <c r="T47" s="6">
        <v>4000</v>
      </c>
      <c r="U47" s="2"/>
      <c r="V47" s="7">
        <f t="shared" si="33"/>
        <v>1.2405139449273834E-2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SUM(OSRRefP22_7x_0)</f>
        <v>122000.62</v>
      </c>
      <c r="Q48" s="1"/>
      <c r="R48" s="5">
        <f t="shared" si="32"/>
        <v>0.40060096406430595</v>
      </c>
      <c r="S48" s="1"/>
      <c r="T48" s="1">
        <f>SUM(OSRRefT22_7x_0)</f>
        <v>123827.9</v>
      </c>
      <c r="U48" s="1"/>
      <c r="V48" s="5">
        <f t="shared" si="33"/>
        <v>0.38402559180268381</v>
      </c>
      <c r="W48" s="1"/>
      <c r="X48" s="1">
        <f t="shared" si="34"/>
        <v>-1827.2799999999988</v>
      </c>
      <c r="Y48" s="1"/>
      <c r="Z48" s="5">
        <f t="shared" si="35"/>
        <v>-1.4756609778571702E-2</v>
      </c>
    </row>
    <row r="49" spans="1:26" s="24" customFormat="1" hidden="1" outlineLevel="2" x14ac:dyDescent="0.3">
      <c r="A49" s="27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122000.62</v>
      </c>
      <c r="Q49" s="2"/>
      <c r="R49" s="7">
        <f t="shared" si="32"/>
        <v>0.40060096406430595</v>
      </c>
      <c r="S49" s="2"/>
      <c r="T49" s="6">
        <v>117265.9</v>
      </c>
      <c r="U49" s="2"/>
      <c r="V49" s="7">
        <f t="shared" si="33"/>
        <v>0.36367496053615012</v>
      </c>
      <c r="W49" s="2"/>
      <c r="X49" s="6">
        <f t="shared" si="34"/>
        <v>4734.7200000000012</v>
      </c>
      <c r="Y49" s="2"/>
      <c r="Z49" s="7">
        <f t="shared" si="35"/>
        <v>4.0375931963170894E-2</v>
      </c>
    </row>
    <row r="50" spans="1:26" s="24" customFormat="1" hidden="1" outlineLevel="2" x14ac:dyDescent="0.3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2.0350631266533727E-2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9" customFormat="1" outlineLevel="1" collapsed="1" x14ac:dyDescent="0.3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235.39</v>
      </c>
      <c r="E51" s="1"/>
      <c r="F51" s="5">
        <f t="shared" ref="F51:F53" si="36">IF(D$12=0,0,D51/D$12)</f>
        <v>1.4532938198431808E-2</v>
      </c>
      <c r="G51" s="1"/>
      <c r="H51" s="1">
        <f>SUM(OSRRefH22_8x_0)</f>
        <v>0</v>
      </c>
      <c r="I51" s="1"/>
      <c r="J51" s="5">
        <f t="shared" ref="J51:J53" si="37">IF(H$12=0,0,H51/H$12)</f>
        <v>0</v>
      </c>
      <c r="K51" s="1"/>
      <c r="L51" s="1">
        <f t="shared" ref="L51:L53" si="38">+D51-H51</f>
        <v>235.39</v>
      </c>
      <c r="M51" s="1"/>
      <c r="N51" s="5">
        <f t="shared" ref="N51:N53" si="39">IF(H51=0,0,L51/H51)</f>
        <v>0</v>
      </c>
      <c r="O51" s="14"/>
      <c r="P51" s="1">
        <f>SUM(OSRRefP22_8x_0)</f>
        <v>15524.470000000001</v>
      </c>
      <c r="Q51" s="1"/>
      <c r="R51" s="5">
        <f t="shared" ref="R51:R53" si="40">IF(P$12=0,0,P51/P$12)</f>
        <v>5.0976115109803516E-2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0.12799529845214871</v>
      </c>
      <c r="W51" s="1"/>
      <c r="X51" s="1">
        <f t="shared" ref="X51:X53" si="42">+P51-T51</f>
        <v>-25747.229999999996</v>
      </c>
      <c r="Y51" s="1"/>
      <c r="Z51" s="5">
        <f t="shared" ref="Z51:Z53" si="43">IF(T51=0,0,X51/T51)</f>
        <v>-0.62384709134830885</v>
      </c>
    </row>
    <row r="52" spans="1:26" s="24" customFormat="1" hidden="1" outlineLevel="2" x14ac:dyDescent="0.3">
      <c r="A52" s="27"/>
      <c r="B52" s="11" t="str">
        <f>CONCATENATE("          ", "6241", " - ", "OFFICE EXPENSE")</f>
        <v xml:space="preserve">          6241 - OFFICE EXPENSE</v>
      </c>
      <c r="C52" s="11"/>
      <c r="D52" s="6">
        <v>235.39</v>
      </c>
      <c r="E52" s="2"/>
      <c r="F52" s="7">
        <f t="shared" si="36"/>
        <v>1.4532938198431808E-2</v>
      </c>
      <c r="G52" s="2"/>
      <c r="H52" s="6"/>
      <c r="I52" s="2"/>
      <c r="J52" s="7">
        <f t="shared" si="37"/>
        <v>0</v>
      </c>
      <c r="K52" s="2"/>
      <c r="L52" s="6">
        <f t="shared" si="38"/>
        <v>235.39</v>
      </c>
      <c r="M52" s="2"/>
      <c r="N52" s="7">
        <f t="shared" si="39"/>
        <v>0</v>
      </c>
      <c r="O52" s="11"/>
      <c r="P52" s="6">
        <v>15507.93</v>
      </c>
      <c r="Q52" s="2"/>
      <c r="R52" s="7">
        <f t="shared" si="40"/>
        <v>5.0921804402647895E-2</v>
      </c>
      <c r="S52" s="2"/>
      <c r="T52" s="6">
        <v>41271.699999999997</v>
      </c>
      <c r="U52" s="2"/>
      <c r="V52" s="7">
        <f t="shared" si="41"/>
        <v>0.12799529845214871</v>
      </c>
      <c r="W52" s="2"/>
      <c r="X52" s="6">
        <f t="shared" si="42"/>
        <v>-25763.769999999997</v>
      </c>
      <c r="Y52" s="2"/>
      <c r="Z52" s="7">
        <f t="shared" si="43"/>
        <v>-0.62424785022182272</v>
      </c>
    </row>
    <row r="53" spans="1:26" s="24" customFormat="1" hidden="1" outlineLevel="2" x14ac:dyDescent="0.3">
      <c r="A53" s="27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5.4310707155616264E-5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9" customFormat="1" outlineLevel="1" collapsed="1" x14ac:dyDescent="0.3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90.85</v>
      </c>
      <c r="E54" s="1"/>
      <c r="F54" s="5">
        <f t="shared" ref="F54:F57" si="44">IF(D$12=0,0,D54/D$12)</f>
        <v>5.6090634068037288E-3</v>
      </c>
      <c r="G54" s="1"/>
      <c r="H54" s="1">
        <f>SUM(OSRRefH22_9x_0)</f>
        <v>136.94999999999999</v>
      </c>
      <c r="I54" s="1"/>
      <c r="J54" s="5">
        <f t="shared" ref="J54:J57" si="45">IF(H$12=0,0,H54/H$12)</f>
        <v>2.5916884296582261E-3</v>
      </c>
      <c r="K54" s="1"/>
      <c r="L54" s="1">
        <f t="shared" ref="L54:L57" si="46">+D54-H54</f>
        <v>-46.099999999999994</v>
      </c>
      <c r="M54" s="1"/>
      <c r="N54" s="5">
        <f t="shared" ref="N54:N57" si="47">IF(H54=0,0,L54/H54)</f>
        <v>-0.33661920408908358</v>
      </c>
      <c r="O54" s="14"/>
      <c r="P54" s="1">
        <f>SUM(OSRRefP22_9x_0)</f>
        <v>14.85</v>
      </c>
      <c r="Q54" s="1"/>
      <c r="R54" s="5">
        <f t="shared" ref="R54:R57" si="48">IF(P$12=0,0,P54/P$12)</f>
        <v>4.8761426920247976E-5</v>
      </c>
      <c r="S54" s="1"/>
      <c r="T54" s="1">
        <f>SUM(OSRRefT22_9x_0)</f>
        <v>1315.68</v>
      </c>
      <c r="U54" s="1"/>
      <c r="V54" s="5">
        <f t="shared" ref="V54:V57" si="49">IF(T$12=0,0,T54/T$12)</f>
        <v>4.0802984676551494E-3</v>
      </c>
      <c r="W54" s="1"/>
      <c r="X54" s="1">
        <f t="shared" ref="X54:X57" si="50">+P54-T54</f>
        <v>-1300.8300000000002</v>
      </c>
      <c r="Y54" s="1"/>
      <c r="Z54" s="5">
        <f t="shared" ref="Z54:Z57" si="51">IF(T54=0,0,X54/T54)</f>
        <v>-0.98871306092666922</v>
      </c>
    </row>
    <row r="55" spans="1:26" s="24" customFormat="1" hidden="1" outlineLevel="2" x14ac:dyDescent="0.3">
      <c r="A55" s="27"/>
      <c r="B55" s="11" t="str">
        <f>CONCATENATE("          ", "6309", " - ", "TELEPHONE")</f>
        <v xml:space="preserve">          6309 - TELEPHONE</v>
      </c>
      <c r="C55" s="11"/>
      <c r="D55" s="6">
        <v>90.85</v>
      </c>
      <c r="E55" s="2"/>
      <c r="F55" s="7">
        <f t="shared" si="44"/>
        <v>5.6090634068037288E-3</v>
      </c>
      <c r="G55" s="2"/>
      <c r="H55" s="6">
        <v>136.94999999999999</v>
      </c>
      <c r="I55" s="2"/>
      <c r="J55" s="7">
        <f t="shared" si="45"/>
        <v>2.5916884296582261E-3</v>
      </c>
      <c r="K55" s="2"/>
      <c r="L55" s="6">
        <f t="shared" si="46"/>
        <v>-46.099999999999994</v>
      </c>
      <c r="M55" s="2"/>
      <c r="N55" s="7">
        <f t="shared" si="47"/>
        <v>-0.33661920408908358</v>
      </c>
      <c r="O55" s="11"/>
      <c r="P55" s="6">
        <v>14.85</v>
      </c>
      <c r="Q55" s="2"/>
      <c r="R55" s="7">
        <f t="shared" si="48"/>
        <v>4.8761426920247976E-5</v>
      </c>
      <c r="S55" s="2"/>
      <c r="T55" s="6">
        <v>1315.68</v>
      </c>
      <c r="U55" s="2"/>
      <c r="V55" s="7">
        <f t="shared" si="49"/>
        <v>4.0802984676551494E-3</v>
      </c>
      <c r="W55" s="2"/>
      <c r="X55" s="6">
        <f t="shared" si="50"/>
        <v>-1300.8300000000002</v>
      </c>
      <c r="Y55" s="2"/>
      <c r="Z55" s="7">
        <f t="shared" si="51"/>
        <v>-0.98871306092666922</v>
      </c>
    </row>
    <row r="56" spans="1:26" s="29" customFormat="1" outlineLevel="1" collapsed="1" x14ac:dyDescent="0.3">
      <c r="A56" s="28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0</v>
      </c>
      <c r="E56" s="1"/>
      <c r="F56" s="5">
        <f t="shared" si="44"/>
        <v>0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6.5671955448145421E-3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3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6.5671955448145421E-3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62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3">
      <c r="A59" s="10"/>
      <c r="B59" s="26" t="s">
        <v>292</v>
      </c>
      <c r="C59" s="10"/>
      <c r="D59" s="4">
        <f>SUM(OSRRefD25x_0)</f>
        <v>620.46</v>
      </c>
      <c r="E59" s="4"/>
      <c r="F59" s="12">
        <f t="shared" ref="F59:F60" si="52">IF(D$12=0,0,D59/D$12)</f>
        <v>3.8307093906278941E-2</v>
      </c>
      <c r="G59" s="4"/>
      <c r="H59" s="4">
        <f>SUM(OSRRefH25x_0)</f>
        <v>145.04</v>
      </c>
      <c r="I59" s="4"/>
      <c r="J59" s="12">
        <f t="shared" ref="J59:J60" si="53">IF(H$12=0,0,H59/H$12)</f>
        <v>2.7447863441959048E-3</v>
      </c>
      <c r="K59" s="4"/>
      <c r="L59" s="4">
        <f t="shared" ref="L59:L60" si="54">+D59-H59</f>
        <v>475.42000000000007</v>
      </c>
      <c r="M59" s="4"/>
      <c r="N59" s="12">
        <f t="shared" ref="N59:N60" si="55">IF(H59=0,0,L59/H59)</f>
        <v>3.277854384997243</v>
      </c>
      <c r="O59" s="10"/>
      <c r="P59" s="4">
        <f>SUM(OSRRefP25x_0)</f>
        <v>5017.33</v>
      </c>
      <c r="Q59" s="4"/>
      <c r="R59" s="12">
        <f t="shared" ref="R59:R60" si="56">IF(P$12=0,0,P59/P$12)</f>
        <v>1.6474893611432173E-2</v>
      </c>
      <c r="S59" s="4"/>
      <c r="T59" s="4">
        <f>SUM(OSRRefT25x_0)</f>
        <v>1120.2</v>
      </c>
      <c r="U59" s="4"/>
      <c r="V59" s="12">
        <f t="shared" ref="V59:V60" si="57">IF(T$12=0,0,T59/T$12)</f>
        <v>3.4740593027691373E-3</v>
      </c>
      <c r="W59" s="4"/>
      <c r="X59" s="4">
        <f t="shared" ref="X59:X60" si="58">+P59-T59</f>
        <v>3897.13</v>
      </c>
      <c r="Y59" s="4"/>
      <c r="Z59" s="12">
        <f t="shared" ref="Z59:Z60" si="59">IF(T59=0,0,X59/T59)</f>
        <v>3.4789591144438492</v>
      </c>
    </row>
    <row r="60" spans="1:26" s="24" customFormat="1" hidden="1" outlineLevel="1" x14ac:dyDescent="0.3">
      <c r="A60" s="44"/>
      <c r="B60" s="11" t="str">
        <f>CONCATENATE("          ", "9150", " - ", "MISC. INCOME")</f>
        <v xml:space="preserve">          9150 - MISC. INCOME</v>
      </c>
      <c r="C60" s="11"/>
      <c r="D60" s="2">
        <f>--620.46</f>
        <v>620.46</v>
      </c>
      <c r="E60" s="2"/>
      <c r="F60" s="19">
        <f t="shared" si="52"/>
        <v>3.8307093906278941E-2</v>
      </c>
      <c r="G60" s="2"/>
      <c r="H60" s="2">
        <f>--145.04</f>
        <v>145.04</v>
      </c>
      <c r="I60" s="2"/>
      <c r="J60" s="19">
        <f t="shared" si="53"/>
        <v>2.7447863441959048E-3</v>
      </c>
      <c r="K60" s="2"/>
      <c r="L60" s="2">
        <f t="shared" si="54"/>
        <v>475.42000000000007</v>
      </c>
      <c r="M60" s="2"/>
      <c r="N60" s="19">
        <f t="shared" si="55"/>
        <v>3.277854384997243</v>
      </c>
      <c r="O60" s="11"/>
      <c r="P60" s="2">
        <f>--5017.33</f>
        <v>5017.33</v>
      </c>
      <c r="Q60" s="2"/>
      <c r="R60" s="19">
        <f t="shared" si="56"/>
        <v>1.6474893611432173E-2</v>
      </c>
      <c r="S60" s="2"/>
      <c r="T60" s="2">
        <f>--1120.2</f>
        <v>1120.2</v>
      </c>
      <c r="U60" s="2"/>
      <c r="V60" s="19">
        <f t="shared" si="57"/>
        <v>3.4740593027691373E-3</v>
      </c>
      <c r="W60" s="2"/>
      <c r="X60" s="2">
        <f t="shared" si="58"/>
        <v>3897.13</v>
      </c>
      <c r="Y60" s="2"/>
      <c r="Z60" s="19">
        <f t="shared" si="59"/>
        <v>3.4789591144438492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5" t="s">
        <v>276</v>
      </c>
      <c r="C62" s="25"/>
      <c r="D62" s="21">
        <f>+D17-D19+D59</f>
        <v>0.33000000000265572</v>
      </c>
      <c r="E62" s="13"/>
      <c r="F62" s="22">
        <f>IF(D$12=0,0,D62/D$12)</f>
        <v>2.0374143360045425E-5</v>
      </c>
      <c r="G62" s="13"/>
      <c r="H62" s="21">
        <f>+H17-H19+H59</f>
        <v>36534.249999999993</v>
      </c>
      <c r="I62" s="13"/>
      <c r="J62" s="22">
        <f>IF(H$12=0,0,H62/H$12)</f>
        <v>0.69138658642746287</v>
      </c>
      <c r="K62" s="16"/>
      <c r="L62" s="21">
        <f>+D62-H62</f>
        <v>-36533.919999999991</v>
      </c>
      <c r="M62" s="16"/>
      <c r="N62" s="22">
        <f>IF(H62=0,0,L62/H62)</f>
        <v>-0.99999096737992432</v>
      </c>
      <c r="O62" s="26"/>
      <c r="P62" s="21">
        <f>+P17-P19+P59</f>
        <v>66859.349999999991</v>
      </c>
      <c r="Q62" s="13"/>
      <c r="R62" s="22">
        <f>IF(P$12=0,0,P62/P$12)</f>
        <v>0.21953921272459806</v>
      </c>
      <c r="S62" s="13"/>
      <c r="T62" s="21">
        <f>+T17-T19+T59</f>
        <v>58402.430000000037</v>
      </c>
      <c r="U62" s="13"/>
      <c r="V62" s="22">
        <f>IF(T$12=0,0,T62/T$12)</f>
        <v>0.18112257208161353</v>
      </c>
      <c r="W62" s="16"/>
      <c r="X62" s="21">
        <f>+P62-T62</f>
        <v>8456.9199999999546</v>
      </c>
      <c r="Y62" s="16"/>
      <c r="Z62" s="22">
        <f>IF(T62=0,0,X62/T62)</f>
        <v>0.14480424872732092</v>
      </c>
    </row>
    <row r="63" spans="1:26" x14ac:dyDescent="0.3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">
      <c r="A64" s="51"/>
      <c r="B64" s="10" t="s">
        <v>127</v>
      </c>
      <c r="C64" s="10"/>
      <c r="D64" s="4">
        <v>2944.24</v>
      </c>
      <c r="E64" s="4"/>
      <c r="F64" s="12">
        <f>IF(D$12=0,0,D64/D$12)</f>
        <v>0.1817768722602951</v>
      </c>
      <c r="G64" s="4"/>
      <c r="H64" s="4">
        <v>-7165.41</v>
      </c>
      <c r="I64" s="4"/>
      <c r="J64" s="12">
        <f>IF(H$12=0,0,H64/H$12)</f>
        <v>-0.13560065856704895</v>
      </c>
      <c r="K64" s="4"/>
      <c r="L64" s="4">
        <f>+D64-H64</f>
        <v>10109.65</v>
      </c>
      <c r="M64" s="4"/>
      <c r="N64" s="12">
        <f>IF(H64=0,0,L64/H64)</f>
        <v>-1.4108962362237472</v>
      </c>
      <c r="O64" s="10"/>
      <c r="P64" s="4">
        <v>36274.769999999997</v>
      </c>
      <c r="Q64" s="4"/>
      <c r="R64" s="12">
        <f>IF(P$12=0,0,P64/P$12)</f>
        <v>0.1191117539665861</v>
      </c>
      <c r="S64" s="4"/>
      <c r="T64" s="4">
        <v>51236.84</v>
      </c>
      <c r="U64" s="4"/>
      <c r="V64" s="12">
        <f>IF(T$12=0,0,T64/T$12)</f>
        <v>0.15890003628503288</v>
      </c>
      <c r="W64" s="4"/>
      <c r="X64" s="4">
        <f>+P64-T64</f>
        <v>-14962.07</v>
      </c>
      <c r="Y64" s="4"/>
      <c r="Z64" s="12">
        <f>IF(T64=0,0,X64/T64)</f>
        <v>-0.29201781374495384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5" t="s">
        <v>125</v>
      </c>
      <c r="C66" s="25"/>
      <c r="D66" s="35">
        <f>+D62-D64</f>
        <v>-2943.9099999999971</v>
      </c>
      <c r="E66" s="13"/>
      <c r="F66" s="31">
        <f>IF(D$12=0,0,D66/D$12)</f>
        <v>-0.18175649811693506</v>
      </c>
      <c r="G66" s="13"/>
      <c r="H66" s="35">
        <f>+H62-H64</f>
        <v>43699.659999999989</v>
      </c>
      <c r="I66" s="13"/>
      <c r="J66" s="31">
        <f>IF(H$12=0,0,H66/H$12)</f>
        <v>0.82698724499451171</v>
      </c>
      <c r="K66" s="16"/>
      <c r="L66" s="35">
        <f>D66-H66</f>
        <v>-46643.569999999985</v>
      </c>
      <c r="M66" s="16"/>
      <c r="N66" s="31">
        <f>IF(H66=0,0,L66/H66)</f>
        <v>-1.0673668856920167</v>
      </c>
      <c r="O66" s="26"/>
      <c r="P66" s="35">
        <f>+P62-P64</f>
        <v>30584.579999999994</v>
      </c>
      <c r="Q66" s="13"/>
      <c r="R66" s="31">
        <f>IF(P$12=0,0,P66/P$12)</f>
        <v>0.10042745875801196</v>
      </c>
      <c r="S66" s="13"/>
      <c r="T66" s="35">
        <f>+T62-T64</f>
        <v>7165.5900000000402</v>
      </c>
      <c r="U66" s="13"/>
      <c r="V66" s="31">
        <f>IF(T$12=0,0,T66/T$12)</f>
        <v>2.2222535796580647E-2</v>
      </c>
      <c r="W66" s="16"/>
      <c r="X66" s="35">
        <f>P66-T66</f>
        <v>23418.989999999954</v>
      </c>
      <c r="Y66" s="16"/>
      <c r="Z66" s="31">
        <f>IF(T66=0,0,X66/T66)</f>
        <v>3.2682570451281503</v>
      </c>
    </row>
    <row r="67" spans="1:26" ht="15" thickTop="1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5" t="s">
        <v>293</v>
      </c>
      <c r="C69" s="25"/>
      <c r="D69" s="36">
        <f>SUM(D66:D68)</f>
        <v>-2943.9099999999971</v>
      </c>
      <c r="E69" s="13"/>
      <c r="F69" s="33">
        <f>IF(D$12=0,0,D69/D$12)</f>
        <v>-0.18175649811693506</v>
      </c>
      <c r="G69" s="13"/>
      <c r="H69" s="36">
        <f>SUM(H66:H68)</f>
        <v>43699.659999999989</v>
      </c>
      <c r="I69" s="13"/>
      <c r="J69" s="33">
        <f>IF(H$12=0,0,H69/H$12)</f>
        <v>0.82698724499451171</v>
      </c>
      <c r="K69" s="16"/>
      <c r="L69" s="36">
        <f>+D69-H69</f>
        <v>-46643.569999999985</v>
      </c>
      <c r="M69" s="16"/>
      <c r="N69" s="33">
        <f>IF(H69=0,0,L69/H69)</f>
        <v>-1.0673668856920167</v>
      </c>
      <c r="O69" s="26"/>
      <c r="P69" s="36">
        <f>SUM(P66:P68)</f>
        <v>30584.579999999994</v>
      </c>
      <c r="Q69" s="13"/>
      <c r="R69" s="33">
        <f>IF(P$12=0,0,P69/P$12)</f>
        <v>0.10042745875801196</v>
      </c>
      <c r="S69" s="13"/>
      <c r="T69" s="36">
        <f>SUM(T66:T68)</f>
        <v>7165.5900000000402</v>
      </c>
      <c r="U69" s="13"/>
      <c r="V69" s="33">
        <f>IF(T$12=0,0,T69/T$12)</f>
        <v>2.2222535796580647E-2</v>
      </c>
      <c r="W69" s="16"/>
      <c r="X69" s="36">
        <f>+P69-T69</f>
        <v>23418.989999999954</v>
      </c>
      <c r="Y69" s="16"/>
      <c r="Z69" s="33">
        <f>IF(T69=0,0,X69/T69)</f>
        <v>3.2682570451281503</v>
      </c>
    </row>
    <row r="70" spans="1:26" ht="15" thickTop="1" x14ac:dyDescent="0.3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A71" s="9"/>
      <c r="B71" s="52">
        <v>44543.76557693287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9" t="s">
        <v>56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A73" s="9"/>
      <c r="B73" s="61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92D050"/>
    <outlinePr summaryBelow="0" summaryRight="0"/>
  </sheetPr>
  <dimension ref="A2:Z74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str">
        <f>CONCATENATE("Period ",RIGHT(202205,2),", ",2022)</f>
        <v>Period 05, 2022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3">
        <v>44527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str">
        <f>CONCATENATE("Department ","501", " - ", "ID Card Services")</f>
        <v>Department 501 - ID Card Services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>
        <f>SUM(OSRRefD13x_0)</f>
        <v>16197</v>
      </c>
      <c r="E12" s="4"/>
      <c r="F12" s="12"/>
      <c r="G12" s="4"/>
      <c r="H12" s="4">
        <f>SUM(OSRRefH13x_0)</f>
        <v>52842</v>
      </c>
      <c r="I12" s="4"/>
      <c r="J12" s="12"/>
      <c r="K12" s="4"/>
      <c r="L12" s="4">
        <f t="shared" ref="L12:L13" si="0">+D12-H12</f>
        <v>-36645</v>
      </c>
      <c r="M12" s="4"/>
      <c r="N12" s="12">
        <f t="shared" ref="N12:N13" si="1">IF(H12=0,0,L12/H12)</f>
        <v>-0.6934824571363688</v>
      </c>
      <c r="O12" s="10"/>
      <c r="P12" s="4">
        <f>SUM(OSRRefP13x_0)</f>
        <v>304544</v>
      </c>
      <c r="Q12" s="4"/>
      <c r="R12" s="12"/>
      <c r="S12" s="4"/>
      <c r="T12" s="4">
        <f>SUM(OSRRefT13x_0)</f>
        <v>322447</v>
      </c>
      <c r="U12" s="4"/>
      <c r="V12" s="12"/>
      <c r="W12" s="4"/>
      <c r="X12" s="4">
        <f t="shared" ref="X12:X13" si="2">+P12-T12</f>
        <v>-17903</v>
      </c>
      <c r="Y12" s="4"/>
      <c r="Z12" s="12">
        <f t="shared" ref="Z12:Z13" si="3">IF(T12=0,0,X12/T12)</f>
        <v>-5.5522302890087361E-2</v>
      </c>
    </row>
    <row r="13" spans="1:26" s="24" customFormat="1" hidden="1" outlineLevel="1" x14ac:dyDescent="0.3">
      <c r="A13" s="44"/>
      <c r="B13" s="11" t="str">
        <f>CONCATENATE("          ", "4100", " - ", "NON-TAXABLE SALES")</f>
        <v xml:space="preserve">          4100 - NON-TAXABLE SALES</v>
      </c>
      <c r="C13" s="11"/>
      <c r="D13" s="2">
        <f>--16197</f>
        <v>16197</v>
      </c>
      <c r="E13" s="2"/>
      <c r="F13" s="19"/>
      <c r="G13" s="2"/>
      <c r="H13" s="2">
        <f>--52842</f>
        <v>52842</v>
      </c>
      <c r="I13" s="2"/>
      <c r="J13" s="19"/>
      <c r="K13" s="2"/>
      <c r="L13" s="2">
        <f t="shared" si="0"/>
        <v>-36645</v>
      </c>
      <c r="M13" s="2"/>
      <c r="N13" s="19">
        <f t="shared" si="1"/>
        <v>-0.6934824571363688</v>
      </c>
      <c r="O13" s="11"/>
      <c r="P13" s="2">
        <f>--304544</f>
        <v>304544</v>
      </c>
      <c r="Q13" s="2"/>
      <c r="R13" s="19"/>
      <c r="S13" s="2"/>
      <c r="T13" s="2">
        <f>--322447</f>
        <v>322447</v>
      </c>
      <c r="U13" s="2"/>
      <c r="V13" s="19"/>
      <c r="W13" s="2"/>
      <c r="X13" s="2">
        <f t="shared" si="2"/>
        <v>-17903</v>
      </c>
      <c r="Y13" s="2"/>
      <c r="Z13" s="19">
        <f t="shared" si="3"/>
        <v>-5.5522302890087361E-2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x14ac:dyDescent="0.3">
      <c r="A15" s="10"/>
      <c r="B15" s="26" t="s">
        <v>256</v>
      </c>
      <c r="C15" s="10"/>
      <c r="D15" s="4">
        <f>SUM(0)</f>
        <v>0</v>
      </c>
      <c r="E15" s="4"/>
      <c r="F15" s="12">
        <f>IF(D$12=0,0,D15/D$12)</f>
        <v>0</v>
      </c>
      <c r="G15" s="4"/>
      <c r="H15" s="4">
        <f>SUM(0)</f>
        <v>0</v>
      </c>
      <c r="I15" s="4"/>
      <c r="J15" s="12">
        <f>IF(H$12=0,0,H15/H$12)</f>
        <v>0</v>
      </c>
      <c r="K15" s="4"/>
      <c r="L15" s="4">
        <f>+D15-H15</f>
        <v>0</v>
      </c>
      <c r="M15" s="4"/>
      <c r="N15" s="12">
        <f>IF(H15=0,0,L15/H15)</f>
        <v>0</v>
      </c>
      <c r="O15" s="10"/>
      <c r="P15" s="4">
        <f>SUM(0)</f>
        <v>0</v>
      </c>
      <c r="Q15" s="4"/>
      <c r="R15" s="12">
        <f>IF(P$12=0,0,P15/P$12)</f>
        <v>0</v>
      </c>
      <c r="S15" s="4"/>
      <c r="T15" s="4">
        <f>SUM(0)</f>
        <v>0</v>
      </c>
      <c r="U15" s="4"/>
      <c r="V15" s="12">
        <f>IF(T$12=0,0,T15/T$12)</f>
        <v>0</v>
      </c>
      <c r="W15" s="4"/>
      <c r="X15" s="4">
        <f>+P15-T15</f>
        <v>0</v>
      </c>
      <c r="Y15" s="4"/>
      <c r="Z15" s="12">
        <f>IF(T15=0,0,X15/T15)</f>
        <v>0</v>
      </c>
    </row>
    <row r="16" spans="1:26" x14ac:dyDescent="0.3">
      <c r="A16" s="9"/>
      <c r="B16" s="10"/>
      <c r="C16" s="10"/>
      <c r="D16" s="3"/>
      <c r="E16" s="3"/>
      <c r="F16" s="8"/>
      <c r="G16" s="3"/>
      <c r="H16" s="3"/>
      <c r="I16" s="3"/>
      <c r="J16" s="8"/>
      <c r="K16" s="3"/>
      <c r="L16" s="3"/>
      <c r="M16" s="3"/>
      <c r="N16" s="8"/>
      <c r="O16" s="10"/>
      <c r="P16" s="3"/>
      <c r="Q16" s="3"/>
      <c r="R16" s="8"/>
      <c r="S16" s="3"/>
      <c r="T16" s="3"/>
      <c r="U16" s="3"/>
      <c r="V16" s="8"/>
      <c r="W16" s="3"/>
      <c r="X16" s="3"/>
      <c r="Y16" s="3"/>
      <c r="Z16" s="8"/>
    </row>
    <row r="17" spans="1:26" s="23" customFormat="1" x14ac:dyDescent="0.3">
      <c r="A17" s="10"/>
      <c r="B17" s="25" t="s">
        <v>107</v>
      </c>
      <c r="C17" s="25"/>
      <c r="D17" s="21">
        <f>D12-D15</f>
        <v>16197</v>
      </c>
      <c r="E17" s="13"/>
      <c r="F17" s="22">
        <f>IF(D$12=0,0,D17/D$12)</f>
        <v>1</v>
      </c>
      <c r="G17" s="13"/>
      <c r="H17" s="21">
        <f>H12-H15</f>
        <v>52842</v>
      </c>
      <c r="I17" s="13"/>
      <c r="J17" s="22">
        <f>IF(H$12=0,0,H17/H$12)</f>
        <v>1</v>
      </c>
      <c r="K17" s="16"/>
      <c r="L17" s="21">
        <f>+D17-H17</f>
        <v>-36645</v>
      </c>
      <c r="M17" s="16"/>
      <c r="N17" s="22">
        <f>IF(H17=0,0,L17/H17)</f>
        <v>-0.6934824571363688</v>
      </c>
      <c r="O17" s="26"/>
      <c r="P17" s="21">
        <f>P12-P15</f>
        <v>304544</v>
      </c>
      <c r="Q17" s="13"/>
      <c r="R17" s="22">
        <f>IF(P$12=0,0,P17/P$12)</f>
        <v>1</v>
      </c>
      <c r="S17" s="13"/>
      <c r="T17" s="21">
        <f>T12-T15</f>
        <v>322447</v>
      </c>
      <c r="U17" s="13"/>
      <c r="V17" s="22">
        <f>IF(T$12=0,0,T17/T$12)</f>
        <v>1</v>
      </c>
      <c r="W17" s="16"/>
      <c r="X17" s="21">
        <f>+P17-T17</f>
        <v>-17903</v>
      </c>
      <c r="Y17" s="16"/>
      <c r="Z17" s="22">
        <f>IF(T17=0,0,X17/T17)</f>
        <v>-5.5522302890087361E-2</v>
      </c>
    </row>
    <row r="18" spans="1:26" x14ac:dyDescent="0.3">
      <c r="A18" s="9"/>
      <c r="B18" s="10"/>
      <c r="C18" s="9"/>
      <c r="D18" s="1"/>
      <c r="E18" s="1"/>
      <c r="F18" s="5"/>
      <c r="G18" s="1"/>
      <c r="H18" s="1"/>
      <c r="I18" s="1"/>
      <c r="J18" s="5"/>
      <c r="K18" s="1"/>
      <c r="L18" s="1"/>
      <c r="M18" s="1"/>
      <c r="N18" s="5"/>
      <c r="O18" s="37"/>
      <c r="P18" s="1"/>
      <c r="Q18" s="1"/>
      <c r="R18" s="5"/>
      <c r="S18" s="1"/>
      <c r="T18" s="1"/>
      <c r="U18" s="1"/>
      <c r="V18" s="5"/>
      <c r="W18" s="1"/>
      <c r="X18" s="1"/>
      <c r="Y18" s="1"/>
      <c r="Z18" s="5"/>
    </row>
    <row r="19" spans="1:26" s="23" customFormat="1" x14ac:dyDescent="0.3">
      <c r="A19" s="10"/>
      <c r="B19" s="26" t="s">
        <v>294</v>
      </c>
      <c r="C19" s="10"/>
      <c r="D19" s="20">
        <f>SUM(OSRRefD22x_0)</f>
        <v>16817.129999999997</v>
      </c>
      <c r="E19" s="20"/>
      <c r="F19" s="32">
        <f t="shared" ref="F19:F29" si="4">IF(D$12=0,0,D19/D$12)</f>
        <v>1.0382867197629189</v>
      </c>
      <c r="G19" s="20"/>
      <c r="H19" s="20">
        <f>SUM(OSRRefH22x_0)</f>
        <v>16452.790000000005</v>
      </c>
      <c r="I19" s="20"/>
      <c r="J19" s="32">
        <f t="shared" ref="J19:J29" si="5">IF(H$12=0,0,H19/H$12)</f>
        <v>0.31135819991673297</v>
      </c>
      <c r="K19" s="4"/>
      <c r="L19" s="20">
        <f t="shared" ref="L19:L29" si="6">+D19-H19</f>
        <v>364.33999999999287</v>
      </c>
      <c r="M19" s="4"/>
      <c r="N19" s="32">
        <f t="shared" ref="N19:N29" si="7">IF(H19=0,0,L19/H19)</f>
        <v>2.2144572440296922E-2</v>
      </c>
      <c r="O19" s="10"/>
      <c r="P19" s="20">
        <f>SUM(OSRRefP22x_0)</f>
        <v>242701.98</v>
      </c>
      <c r="Q19" s="20"/>
      <c r="R19" s="32">
        <f t="shared" ref="R19:R29" si="8">IF(P$12=0,0,P19/P$12)</f>
        <v>0.79693568088683409</v>
      </c>
      <c r="S19" s="20"/>
      <c r="T19" s="20">
        <f>SUM(OSRRefT22x_0)</f>
        <v>265164.76999999996</v>
      </c>
      <c r="U19" s="20"/>
      <c r="V19" s="32">
        <f t="shared" ref="V19:V29" si="9">IF(T$12=0,0,T19/T$12)</f>
        <v>0.82235148722115559</v>
      </c>
      <c r="W19" s="4"/>
      <c r="X19" s="20">
        <f t="shared" ref="X19:X29" si="10">+P19-T19</f>
        <v>-22462.78999999995</v>
      </c>
      <c r="Y19" s="4"/>
      <c r="Z19" s="32">
        <f t="shared" ref="Z19:Z29" si="11">IF(T19=0,0,X19/T19)</f>
        <v>-8.4712573242667011E-2</v>
      </c>
    </row>
    <row r="20" spans="1:26" s="29" customFormat="1" outlineLevel="1" collapsed="1" x14ac:dyDescent="0.3">
      <c r="A20" s="28"/>
      <c r="B20" s="14" t="str">
        <f>CONCATENATE("     ","*Benefits                                         ")</f>
        <v xml:space="preserve">     *Benefits                                         </v>
      </c>
      <c r="C20" s="14"/>
      <c r="D20" s="1">
        <f>SUM(OSRRefD22_0x_0)</f>
        <v>3647.92</v>
      </c>
      <c r="E20" s="1"/>
      <c r="F20" s="5">
        <f t="shared" si="4"/>
        <v>0.22522195468296599</v>
      </c>
      <c r="G20" s="1"/>
      <c r="H20" s="1">
        <f>SUM(OSRRefH22_0x_0)</f>
        <v>4514.01</v>
      </c>
      <c r="I20" s="1"/>
      <c r="J20" s="5">
        <f t="shared" si="5"/>
        <v>8.5424662200522319E-2</v>
      </c>
      <c r="K20" s="1"/>
      <c r="L20" s="1">
        <f t="shared" si="6"/>
        <v>-866.09000000000015</v>
      </c>
      <c r="M20" s="1"/>
      <c r="N20" s="5">
        <f t="shared" si="7"/>
        <v>-0.19186709821201106</v>
      </c>
      <c r="O20" s="14"/>
      <c r="P20" s="1">
        <f>SUM(OSRRefP22_0x_0)</f>
        <v>19873.249999999996</v>
      </c>
      <c r="Q20" s="1"/>
      <c r="R20" s="5">
        <f t="shared" si="8"/>
        <v>6.5255759430492791E-2</v>
      </c>
      <c r="S20" s="1"/>
      <c r="T20" s="1">
        <f>SUM(OSRRefT22_0x_0)</f>
        <v>21372.75</v>
      </c>
      <c r="U20" s="1"/>
      <c r="V20" s="5">
        <f t="shared" si="9"/>
        <v>6.6282986041116834E-2</v>
      </c>
      <c r="W20" s="1"/>
      <c r="X20" s="1">
        <f t="shared" si="10"/>
        <v>-1499.5000000000036</v>
      </c>
      <c r="Y20" s="1"/>
      <c r="Z20" s="5">
        <f t="shared" si="11"/>
        <v>-7.0159431986992954E-2</v>
      </c>
    </row>
    <row r="21" spans="1:26" s="24" customFormat="1" hidden="1" outlineLevel="2" x14ac:dyDescent="0.3">
      <c r="A21" s="27"/>
      <c r="B21" s="11" t="str">
        <f>CONCATENATE("          ", "6111", " - ", "F.I.C.A.")</f>
        <v xml:space="preserve">          6111 - F.I.C.A.</v>
      </c>
      <c r="C21" s="11"/>
      <c r="D21" s="6">
        <v>900.33</v>
      </c>
      <c r="E21" s="2"/>
      <c r="F21" s="7">
        <f t="shared" si="4"/>
        <v>5.5586219670309321E-2</v>
      </c>
      <c r="G21" s="2"/>
      <c r="H21" s="6">
        <v>830.29</v>
      </c>
      <c r="I21" s="2"/>
      <c r="J21" s="7">
        <f t="shared" si="5"/>
        <v>1.5712690662730403E-2</v>
      </c>
      <c r="K21" s="2"/>
      <c r="L21" s="6">
        <f t="shared" si="6"/>
        <v>70.040000000000077</v>
      </c>
      <c r="M21" s="2"/>
      <c r="N21" s="7">
        <f t="shared" si="7"/>
        <v>8.4356068361656864E-2</v>
      </c>
      <c r="O21" s="11"/>
      <c r="P21" s="6">
        <v>5789.61</v>
      </c>
      <c r="Q21" s="2"/>
      <c r="R21" s="7">
        <f t="shared" si="8"/>
        <v>1.901075049910686E-2</v>
      </c>
      <c r="S21" s="2"/>
      <c r="T21" s="6">
        <v>5351.93</v>
      </c>
      <c r="U21" s="2"/>
      <c r="V21" s="7">
        <f t="shared" si="9"/>
        <v>1.6597859493188028E-2</v>
      </c>
      <c r="W21" s="2"/>
      <c r="X21" s="6">
        <f t="shared" si="10"/>
        <v>437.67999999999938</v>
      </c>
      <c r="Y21" s="2"/>
      <c r="Z21" s="7">
        <f t="shared" si="11"/>
        <v>8.1779843906777436E-2</v>
      </c>
    </row>
    <row r="22" spans="1:26" s="24" customFormat="1" hidden="1" outlineLevel="2" x14ac:dyDescent="0.3">
      <c r="A22" s="27"/>
      <c r="B22" s="11" t="str">
        <f>CONCATENATE("          ", "6112", " - ", "COMPENSATION INSURANCE")</f>
        <v xml:space="preserve">          6112 - COMPENSATION INSURANCE</v>
      </c>
      <c r="C22" s="11"/>
      <c r="D22" s="6">
        <v>156.38</v>
      </c>
      <c r="E22" s="2"/>
      <c r="F22" s="7">
        <f t="shared" si="4"/>
        <v>9.6548743594492802E-3</v>
      </c>
      <c r="G22" s="2"/>
      <c r="H22" s="6">
        <v>171.99</v>
      </c>
      <c r="I22" s="2"/>
      <c r="J22" s="7">
        <f t="shared" si="5"/>
        <v>3.2547973203133872E-3</v>
      </c>
      <c r="K22" s="2"/>
      <c r="L22" s="6">
        <f t="shared" si="6"/>
        <v>-15.610000000000014</v>
      </c>
      <c r="M22" s="2"/>
      <c r="N22" s="7">
        <f t="shared" si="7"/>
        <v>-9.0761090761090832E-2</v>
      </c>
      <c r="O22" s="11"/>
      <c r="P22" s="6">
        <v>895.35</v>
      </c>
      <c r="Q22" s="2"/>
      <c r="R22" s="7">
        <f t="shared" si="8"/>
        <v>2.9399692655248505E-3</v>
      </c>
      <c r="S22" s="2"/>
      <c r="T22" s="6">
        <v>495.53</v>
      </c>
      <c r="U22" s="2"/>
      <c r="V22" s="7">
        <f t="shared" si="9"/>
        <v>1.5367796878246658E-3</v>
      </c>
      <c r="W22" s="2"/>
      <c r="X22" s="6">
        <f t="shared" si="10"/>
        <v>399.82000000000005</v>
      </c>
      <c r="Y22" s="2"/>
      <c r="Z22" s="7">
        <f t="shared" si="11"/>
        <v>0.80685326821786785</v>
      </c>
    </row>
    <row r="23" spans="1:26" s="24" customFormat="1" hidden="1" outlineLevel="2" x14ac:dyDescent="0.3">
      <c r="A23" s="27"/>
      <c r="B23" s="11" t="str">
        <f>CONCATENATE("          ", "6113", " - ", "GROUP INSURANCE")</f>
        <v xml:space="preserve">          6113 - GROUP INSURANCE</v>
      </c>
      <c r="C23" s="11"/>
      <c r="D23" s="6">
        <v>1054.3499999999999</v>
      </c>
      <c r="E23" s="2"/>
      <c r="F23" s="7">
        <f t="shared" si="4"/>
        <v>6.5095388034821261E-2</v>
      </c>
      <c r="G23" s="2"/>
      <c r="H23" s="6">
        <v>1230.45</v>
      </c>
      <c r="I23" s="2"/>
      <c r="J23" s="7">
        <f t="shared" si="5"/>
        <v>2.3285454751901895E-2</v>
      </c>
      <c r="K23" s="2"/>
      <c r="L23" s="6">
        <f t="shared" si="6"/>
        <v>-176.10000000000014</v>
      </c>
      <c r="M23" s="2"/>
      <c r="N23" s="7">
        <f t="shared" si="7"/>
        <v>-0.14311837132756319</v>
      </c>
      <c r="O23" s="11"/>
      <c r="P23" s="6">
        <v>5271.75</v>
      </c>
      <c r="Q23" s="2"/>
      <c r="R23" s="7">
        <f t="shared" si="8"/>
        <v>1.7310306556688033E-2</v>
      </c>
      <c r="S23" s="2"/>
      <c r="T23" s="6">
        <v>6172.55</v>
      </c>
      <c r="U23" s="2"/>
      <c r="V23" s="7">
        <f t="shared" si="9"/>
        <v>1.9142835876903803E-2</v>
      </c>
      <c r="W23" s="2"/>
      <c r="X23" s="6">
        <f t="shared" si="10"/>
        <v>-900.80000000000018</v>
      </c>
      <c r="Y23" s="2"/>
      <c r="Z23" s="7">
        <f t="shared" si="11"/>
        <v>-0.14593644441924328</v>
      </c>
    </row>
    <row r="24" spans="1:26" s="24" customFormat="1" hidden="1" outlineLevel="2" x14ac:dyDescent="0.3">
      <c r="A24" s="27"/>
      <c r="B24" s="11" t="str">
        <f>CONCATENATE("          ", "6114", " - ", "STATE UNEMPLOYMENT INSURANCE")</f>
        <v xml:space="preserve">          6114 - STATE UNEMPLOYMENT INSURANCE</v>
      </c>
      <c r="C24" s="11"/>
      <c r="D24" s="6">
        <v>30.99</v>
      </c>
      <c r="E24" s="2"/>
      <c r="F24" s="7">
        <f t="shared" si="4"/>
        <v>1.9133172809779589E-3</v>
      </c>
      <c r="G24" s="2"/>
      <c r="H24" s="6">
        <v>68.3</v>
      </c>
      <c r="I24" s="2"/>
      <c r="J24" s="7">
        <f t="shared" si="5"/>
        <v>1.2925324552439347E-3</v>
      </c>
      <c r="K24" s="2"/>
      <c r="L24" s="6">
        <f t="shared" si="6"/>
        <v>-37.31</v>
      </c>
      <c r="M24" s="2"/>
      <c r="N24" s="7">
        <f t="shared" si="7"/>
        <v>-0.54626647144948759</v>
      </c>
      <c r="O24" s="11"/>
      <c r="P24" s="6">
        <v>177.15</v>
      </c>
      <c r="Q24" s="2"/>
      <c r="R24" s="7">
        <f t="shared" si="8"/>
        <v>5.8168934538194812E-4</v>
      </c>
      <c r="S24" s="2"/>
      <c r="T24" s="6">
        <v>214.6</v>
      </c>
      <c r="U24" s="2"/>
      <c r="V24" s="7">
        <f t="shared" si="9"/>
        <v>6.6553573145354116E-4</v>
      </c>
      <c r="W24" s="2"/>
      <c r="X24" s="6">
        <f t="shared" si="10"/>
        <v>-37.449999999999989</v>
      </c>
      <c r="Y24" s="2"/>
      <c r="Z24" s="7">
        <f t="shared" si="11"/>
        <v>-0.17451071761416584</v>
      </c>
    </row>
    <row r="25" spans="1:26" s="24" customFormat="1" hidden="1" outlineLevel="2" x14ac:dyDescent="0.3">
      <c r="A25" s="27"/>
      <c r="B25" s="11" t="str">
        <f>CONCATENATE("          ", "6115", " - ", "P.E.R.S.")</f>
        <v xml:space="preserve">          6115 - P.E.R.S.</v>
      </c>
      <c r="C25" s="11"/>
      <c r="D25" s="6">
        <v>610.04</v>
      </c>
      <c r="E25" s="2"/>
      <c r="F25" s="7">
        <f t="shared" si="4"/>
        <v>3.7663764894733588E-2</v>
      </c>
      <c r="G25" s="2"/>
      <c r="H25" s="6">
        <v>1318.86</v>
      </c>
      <c r="I25" s="2"/>
      <c r="J25" s="7">
        <f t="shared" si="5"/>
        <v>2.4958555694334049E-2</v>
      </c>
      <c r="K25" s="2"/>
      <c r="L25" s="6">
        <f t="shared" si="6"/>
        <v>-708.81999999999994</v>
      </c>
      <c r="M25" s="2"/>
      <c r="N25" s="7">
        <f t="shared" si="7"/>
        <v>-0.53744900899261483</v>
      </c>
      <c r="O25" s="11"/>
      <c r="P25" s="6">
        <v>3249.65</v>
      </c>
      <c r="Q25" s="2"/>
      <c r="R25" s="7">
        <f t="shared" si="8"/>
        <v>1.0670543501103288E-2</v>
      </c>
      <c r="S25" s="2"/>
      <c r="T25" s="6">
        <v>4179.3500000000004</v>
      </c>
      <c r="U25" s="2"/>
      <c r="V25" s="7">
        <f t="shared" si="9"/>
        <v>1.296135488933065E-2</v>
      </c>
      <c r="W25" s="2"/>
      <c r="X25" s="6">
        <f t="shared" si="10"/>
        <v>-929.70000000000027</v>
      </c>
      <c r="Y25" s="2"/>
      <c r="Z25" s="7">
        <f t="shared" si="11"/>
        <v>-0.22245085958342808</v>
      </c>
    </row>
    <row r="26" spans="1:26" s="24" customFormat="1" hidden="1" outlineLevel="2" x14ac:dyDescent="0.3">
      <c r="A26" s="27"/>
      <c r="B26" s="11" t="str">
        <f>CONCATENATE("          ", "6117", " - ", "RETIREMENT STAFF HOURLY")</f>
        <v xml:space="preserve">          6117 - RETIREMENT STAFF HOURLY</v>
      </c>
      <c r="C26" s="11"/>
      <c r="D26" s="6"/>
      <c r="E26" s="2"/>
      <c r="F26" s="7">
        <f t="shared" si="4"/>
        <v>0</v>
      </c>
      <c r="G26" s="2"/>
      <c r="H26" s="6">
        <v>74.84</v>
      </c>
      <c r="I26" s="2"/>
      <c r="J26" s="7">
        <f t="shared" si="5"/>
        <v>1.4162976420271755E-3</v>
      </c>
      <c r="K26" s="2"/>
      <c r="L26" s="6">
        <f t="shared" si="6"/>
        <v>-74.84</v>
      </c>
      <c r="M26" s="2"/>
      <c r="N26" s="7">
        <f t="shared" si="7"/>
        <v>-1</v>
      </c>
      <c r="O26" s="11"/>
      <c r="P26" s="6">
        <v>215.15</v>
      </c>
      <c r="Q26" s="2"/>
      <c r="R26" s="7">
        <f t="shared" si="8"/>
        <v>7.0646606073342447E-4</v>
      </c>
      <c r="S26" s="2"/>
      <c r="T26" s="6">
        <v>452.74</v>
      </c>
      <c r="U26" s="2"/>
      <c r="V26" s="7">
        <f t="shared" si="9"/>
        <v>1.404075708566059E-3</v>
      </c>
      <c r="W26" s="2"/>
      <c r="X26" s="6">
        <f t="shared" si="10"/>
        <v>-237.59</v>
      </c>
      <c r="Y26" s="2"/>
      <c r="Z26" s="7">
        <f t="shared" si="11"/>
        <v>-0.52478243583513717</v>
      </c>
    </row>
    <row r="27" spans="1:26" s="24" customFormat="1" hidden="1" outlineLevel="2" x14ac:dyDescent="0.3">
      <c r="A27" s="27"/>
      <c r="B27" s="11" t="str">
        <f>CONCATENATE("          ", "6118", " - ", "VACATION")</f>
        <v xml:space="preserve">          6118 - VACATION</v>
      </c>
      <c r="C27" s="11"/>
      <c r="D27" s="6">
        <v>524.49</v>
      </c>
      <c r="E27" s="2"/>
      <c r="F27" s="7">
        <f t="shared" si="4"/>
        <v>3.2381922578255236E-2</v>
      </c>
      <c r="G27" s="2"/>
      <c r="H27" s="6">
        <v>520.02</v>
      </c>
      <c r="I27" s="2"/>
      <c r="J27" s="7">
        <f t="shared" si="5"/>
        <v>9.841035539911433E-3</v>
      </c>
      <c r="K27" s="2"/>
      <c r="L27" s="6">
        <f t="shared" si="6"/>
        <v>4.4700000000000273</v>
      </c>
      <c r="M27" s="2"/>
      <c r="N27" s="7">
        <f t="shared" si="7"/>
        <v>8.5958232375678394E-3</v>
      </c>
      <c r="O27" s="11"/>
      <c r="P27" s="6">
        <v>2514.65</v>
      </c>
      <c r="Q27" s="2"/>
      <c r="R27" s="7">
        <f t="shared" si="8"/>
        <v>8.2570991383839453E-3</v>
      </c>
      <c r="S27" s="2"/>
      <c r="T27" s="6">
        <v>2860.11</v>
      </c>
      <c r="U27" s="2"/>
      <c r="V27" s="7">
        <f t="shared" si="9"/>
        <v>8.8700158475656463E-3</v>
      </c>
      <c r="W27" s="2"/>
      <c r="X27" s="6">
        <f t="shared" si="10"/>
        <v>-345.46000000000004</v>
      </c>
      <c r="Y27" s="2"/>
      <c r="Z27" s="7">
        <f t="shared" si="11"/>
        <v>-0.12078556419158705</v>
      </c>
    </row>
    <row r="28" spans="1:26" s="24" customFormat="1" hidden="1" outlineLevel="2" x14ac:dyDescent="0.3">
      <c r="A28" s="27"/>
      <c r="B28" s="11" t="str">
        <f>CONCATENATE("          ", "6119", " - ", "SICK LEAVE")</f>
        <v xml:space="preserve">          6119 - SICK LEAVE</v>
      </c>
      <c r="C28" s="11"/>
      <c r="D28" s="6">
        <v>277.58999999999997</v>
      </c>
      <c r="E28" s="2"/>
      <c r="F28" s="7">
        <f t="shared" si="4"/>
        <v>1.7138358955362101E-2</v>
      </c>
      <c r="G28" s="2"/>
      <c r="H28" s="6">
        <v>299.26</v>
      </c>
      <c r="I28" s="2"/>
      <c r="J28" s="7">
        <f t="shared" si="5"/>
        <v>5.6632981340600276E-3</v>
      </c>
      <c r="K28" s="2"/>
      <c r="L28" s="6">
        <f t="shared" si="6"/>
        <v>-21.670000000000016</v>
      </c>
      <c r="M28" s="2"/>
      <c r="N28" s="7">
        <f t="shared" si="7"/>
        <v>-7.2411949475372647E-2</v>
      </c>
      <c r="O28" s="11"/>
      <c r="P28" s="6">
        <v>1478.69</v>
      </c>
      <c r="Q28" s="2"/>
      <c r="R28" s="7">
        <f t="shared" si="8"/>
        <v>4.8554231900809078E-3</v>
      </c>
      <c r="S28" s="2"/>
      <c r="T28" s="6">
        <v>1645.94</v>
      </c>
      <c r="U28" s="2"/>
      <c r="V28" s="7">
        <f t="shared" si="9"/>
        <v>5.1045288062844434E-3</v>
      </c>
      <c r="W28" s="2"/>
      <c r="X28" s="6">
        <f t="shared" si="10"/>
        <v>-167.25</v>
      </c>
      <c r="Y28" s="2"/>
      <c r="Z28" s="7">
        <f t="shared" si="11"/>
        <v>-0.10161366756989926</v>
      </c>
    </row>
    <row r="29" spans="1:26" s="24" customFormat="1" hidden="1" outlineLevel="2" x14ac:dyDescent="0.3">
      <c r="A29" s="27"/>
      <c r="B29" s="11" t="str">
        <f>CONCATENATE("          ", "6156", " - ", "EMPLOYEE MEALS")</f>
        <v xml:space="preserve">          6156 - EMPLOYEE MEALS</v>
      </c>
      <c r="C29" s="11"/>
      <c r="D29" s="6">
        <v>93.75</v>
      </c>
      <c r="E29" s="2"/>
      <c r="F29" s="7">
        <f t="shared" si="4"/>
        <v>5.7881089090572324E-3</v>
      </c>
      <c r="G29" s="2"/>
      <c r="H29" s="6"/>
      <c r="I29" s="2"/>
      <c r="J29" s="7">
        <f t="shared" si="5"/>
        <v>0</v>
      </c>
      <c r="K29" s="2"/>
      <c r="L29" s="6">
        <f t="shared" si="6"/>
        <v>93.75</v>
      </c>
      <c r="M29" s="2"/>
      <c r="N29" s="7">
        <f t="shared" si="7"/>
        <v>0</v>
      </c>
      <c r="O29" s="11"/>
      <c r="P29" s="6">
        <v>281.25</v>
      </c>
      <c r="Q29" s="2"/>
      <c r="R29" s="7">
        <f t="shared" si="8"/>
        <v>9.2351187348954503E-4</v>
      </c>
      <c r="S29" s="2"/>
      <c r="T29" s="6"/>
      <c r="U29" s="2"/>
      <c r="V29" s="7">
        <f t="shared" si="9"/>
        <v>0</v>
      </c>
      <c r="W29" s="2"/>
      <c r="X29" s="6">
        <f t="shared" si="10"/>
        <v>281.25</v>
      </c>
      <c r="Y29" s="2"/>
      <c r="Z29" s="7">
        <f t="shared" si="11"/>
        <v>0</v>
      </c>
    </row>
    <row r="30" spans="1:26" s="29" customFormat="1" outlineLevel="1" collapsed="1" x14ac:dyDescent="0.3">
      <c r="A30" s="28"/>
      <c r="B30" s="14" t="str">
        <f>CONCATENATE("     ","*Payroll                                          ")</f>
        <v xml:space="preserve">     *Payroll                                          </v>
      </c>
      <c r="C30" s="14"/>
      <c r="D30" s="1">
        <f>SUM(OSRRefD22_1x_0)</f>
        <v>11774.15</v>
      </c>
      <c r="E30" s="1"/>
      <c r="F30" s="5">
        <f t="shared" ref="F30:F36" si="12">IF(D$12=0,0,D30/D$12)</f>
        <v>0.72693400012347964</v>
      </c>
      <c r="G30" s="1"/>
      <c r="H30" s="1">
        <f>SUM(OSRRefH22_1x_0)</f>
        <v>10918.12</v>
      </c>
      <c r="I30" s="1"/>
      <c r="J30" s="5">
        <f t="shared" ref="J30:J36" si="13">IF(H$12=0,0,H30/H$12)</f>
        <v>0.20661822035502064</v>
      </c>
      <c r="K30" s="1"/>
      <c r="L30" s="1">
        <f t="shared" ref="L30:L36" si="14">+D30-H30</f>
        <v>856.02999999999884</v>
      </c>
      <c r="M30" s="1"/>
      <c r="N30" s="5">
        <f t="shared" ref="N30:N36" si="15">IF(H30=0,0,L30/H30)</f>
        <v>7.8404523855755276E-2</v>
      </c>
      <c r="O30" s="14"/>
      <c r="P30" s="1">
        <f>SUM(OSRRefP22_1x_0)</f>
        <v>77446.060000000012</v>
      </c>
      <c r="Q30" s="1"/>
      <c r="R30" s="5">
        <f t="shared" ref="R30:R36" si="16">IF(P$12=0,0,P30/P$12)</f>
        <v>0.2543017100977199</v>
      </c>
      <c r="S30" s="1"/>
      <c r="T30" s="1">
        <f>SUM(OSRRefT22_1x_0)</f>
        <v>72655.399999999994</v>
      </c>
      <c r="U30" s="1"/>
      <c r="V30" s="5">
        <f t="shared" ref="V30:V36" si="17">IF(T$12=0,0,T30/T$12)</f>
        <v>0.22532509218569252</v>
      </c>
      <c r="W30" s="1"/>
      <c r="X30" s="1">
        <f t="shared" ref="X30:X36" si="18">+P30-T30</f>
        <v>4790.660000000018</v>
      </c>
      <c r="Y30" s="1"/>
      <c r="Z30" s="5">
        <f t="shared" ref="Z30:Z36" si="19">IF(T30=0,0,X30/T30)</f>
        <v>6.5936736980321056E-2</v>
      </c>
    </row>
    <row r="31" spans="1:26" s="24" customFormat="1" hidden="1" outlineLevel="2" x14ac:dyDescent="0.3">
      <c r="A31" s="27"/>
      <c r="B31" s="11" t="str">
        <f>CONCATENATE("          ", "6001", " - ", "ADMINISTRATIVE SALARIES")</f>
        <v xml:space="preserve">          6001 - ADMINISTRATIVE SALARIES</v>
      </c>
      <c r="C31" s="11"/>
      <c r="D31" s="6">
        <v>4192.4399999999996</v>
      </c>
      <c r="E31" s="2"/>
      <c r="F31" s="7">
        <f t="shared" si="12"/>
        <v>0.25884052602333762</v>
      </c>
      <c r="G31" s="2"/>
      <c r="H31" s="6">
        <v>3995.44</v>
      </c>
      <c r="I31" s="2"/>
      <c r="J31" s="7">
        <f t="shared" si="13"/>
        <v>7.5611066954316644E-2</v>
      </c>
      <c r="K31" s="2"/>
      <c r="L31" s="6">
        <f t="shared" si="14"/>
        <v>196.99999999999955</v>
      </c>
      <c r="M31" s="2"/>
      <c r="N31" s="7">
        <f t="shared" si="15"/>
        <v>4.9306209078349206E-2</v>
      </c>
      <c r="O31" s="11"/>
      <c r="P31" s="6">
        <v>23676.53</v>
      </c>
      <c r="Q31" s="2"/>
      <c r="R31" s="7">
        <f t="shared" si="16"/>
        <v>7.7744201166333932E-2</v>
      </c>
      <c r="S31" s="2"/>
      <c r="T31" s="6">
        <v>21869.74</v>
      </c>
      <c r="U31" s="2"/>
      <c r="V31" s="7">
        <f t="shared" si="17"/>
        <v>6.7824293604840491E-2</v>
      </c>
      <c r="W31" s="2"/>
      <c r="X31" s="6">
        <f t="shared" si="18"/>
        <v>1806.7899999999972</v>
      </c>
      <c r="Y31" s="2"/>
      <c r="Z31" s="7">
        <f t="shared" si="19"/>
        <v>8.2615979888192415E-2</v>
      </c>
    </row>
    <row r="32" spans="1:26" s="24" customFormat="1" hidden="1" outlineLevel="2" x14ac:dyDescent="0.3">
      <c r="A32" s="27"/>
      <c r="B32" s="11" t="str">
        <f>CONCATENATE("          ", "6002", " - ", "STAFF SALARIES")</f>
        <v xml:space="preserve">          6002 - STAFF SALARIES</v>
      </c>
      <c r="C32" s="11"/>
      <c r="D32" s="6">
        <v>1156</v>
      </c>
      <c r="E32" s="2"/>
      <c r="F32" s="7">
        <f t="shared" si="12"/>
        <v>7.1371241587948386E-2</v>
      </c>
      <c r="G32" s="2"/>
      <c r="H32" s="6">
        <v>1939.95</v>
      </c>
      <c r="I32" s="2"/>
      <c r="J32" s="7">
        <f t="shared" si="13"/>
        <v>3.6712274327239697E-2</v>
      </c>
      <c r="K32" s="2"/>
      <c r="L32" s="6">
        <f t="shared" si="14"/>
        <v>-783.95</v>
      </c>
      <c r="M32" s="2"/>
      <c r="N32" s="7">
        <f t="shared" si="15"/>
        <v>-0.40410835330807499</v>
      </c>
      <c r="O32" s="11"/>
      <c r="P32" s="6">
        <v>10192.57</v>
      </c>
      <c r="Q32" s="2"/>
      <c r="R32" s="7">
        <f t="shared" si="16"/>
        <v>3.3468300147105182E-2</v>
      </c>
      <c r="S32" s="2"/>
      <c r="T32" s="6">
        <v>11753.84</v>
      </c>
      <c r="U32" s="2"/>
      <c r="V32" s="7">
        <f t="shared" si="17"/>
        <v>3.6452006066113193E-2</v>
      </c>
      <c r="W32" s="2"/>
      <c r="X32" s="6">
        <f t="shared" si="18"/>
        <v>-1561.2700000000004</v>
      </c>
      <c r="Y32" s="2"/>
      <c r="Z32" s="7">
        <f t="shared" si="19"/>
        <v>-0.13283063237205886</v>
      </c>
    </row>
    <row r="33" spans="1:26" s="24" customFormat="1" hidden="1" outlineLevel="2" x14ac:dyDescent="0.3">
      <c r="A33" s="27"/>
      <c r="B33" s="11" t="str">
        <f>CONCATENATE("          ", "6004", " - ", "STAFF HOURLY")</f>
        <v xml:space="preserve">          6004 - STAFF HOURLY</v>
      </c>
      <c r="C33" s="11"/>
      <c r="D33" s="6">
        <v>502.42</v>
      </c>
      <c r="E33" s="2"/>
      <c r="F33" s="7">
        <f t="shared" si="12"/>
        <v>3.1019324566277706E-2</v>
      </c>
      <c r="G33" s="2"/>
      <c r="H33" s="6"/>
      <c r="I33" s="2"/>
      <c r="J33" s="7">
        <f t="shared" si="13"/>
        <v>0</v>
      </c>
      <c r="K33" s="2"/>
      <c r="L33" s="6">
        <f t="shared" si="14"/>
        <v>502.42</v>
      </c>
      <c r="M33" s="2"/>
      <c r="N33" s="7">
        <f t="shared" si="15"/>
        <v>0</v>
      </c>
      <c r="O33" s="11"/>
      <c r="P33" s="6">
        <v>7152.32</v>
      </c>
      <c r="Q33" s="2"/>
      <c r="R33" s="7">
        <f t="shared" si="16"/>
        <v>2.3485342019543973E-2</v>
      </c>
      <c r="S33" s="2"/>
      <c r="T33" s="6"/>
      <c r="U33" s="2"/>
      <c r="V33" s="7">
        <f t="shared" si="17"/>
        <v>0</v>
      </c>
      <c r="W33" s="2"/>
      <c r="X33" s="6">
        <f t="shared" si="18"/>
        <v>7152.32</v>
      </c>
      <c r="Y33" s="2"/>
      <c r="Z33" s="7">
        <f t="shared" si="19"/>
        <v>0</v>
      </c>
    </row>
    <row r="34" spans="1:26" s="24" customFormat="1" hidden="1" outlineLevel="2" x14ac:dyDescent="0.3">
      <c r="A34" s="27"/>
      <c r="B34" s="11" t="str">
        <f>CONCATENATE("          ", "6005", " - ", "TEMPORARY WAGES-HOURLY")</f>
        <v xml:space="preserve">          6005 - TEMPORARY WAGES-HOURLY</v>
      </c>
      <c r="C34" s="11"/>
      <c r="D34" s="6">
        <v>5366.19</v>
      </c>
      <c r="E34" s="2"/>
      <c r="F34" s="7">
        <f t="shared" si="12"/>
        <v>0.33130764956473419</v>
      </c>
      <c r="G34" s="2"/>
      <c r="H34" s="6">
        <v>3993.44</v>
      </c>
      <c r="I34" s="2"/>
      <c r="J34" s="7">
        <f t="shared" si="13"/>
        <v>7.5573218273343179E-2</v>
      </c>
      <c r="K34" s="2"/>
      <c r="L34" s="6">
        <f t="shared" si="14"/>
        <v>1372.7499999999995</v>
      </c>
      <c r="M34" s="2"/>
      <c r="N34" s="7">
        <f t="shared" si="15"/>
        <v>0.34375125205336743</v>
      </c>
      <c r="O34" s="11"/>
      <c r="P34" s="6">
        <v>32816.120000000003</v>
      </c>
      <c r="Q34" s="2"/>
      <c r="R34" s="7">
        <f t="shared" si="16"/>
        <v>0.10775493853104971</v>
      </c>
      <c r="S34" s="2"/>
      <c r="T34" s="6">
        <v>33346.76</v>
      </c>
      <c r="U34" s="2"/>
      <c r="V34" s="7">
        <f t="shared" si="17"/>
        <v>0.10341780199536668</v>
      </c>
      <c r="W34" s="2"/>
      <c r="X34" s="6">
        <f t="shared" si="18"/>
        <v>-530.63999999999942</v>
      </c>
      <c r="Y34" s="2"/>
      <c r="Z34" s="7">
        <f t="shared" si="19"/>
        <v>-1.5912790328055839E-2</v>
      </c>
    </row>
    <row r="35" spans="1:26" s="24" customFormat="1" hidden="1" outlineLevel="2" x14ac:dyDescent="0.3">
      <c r="A35" s="27"/>
      <c r="B35" s="11" t="str">
        <f>CONCATENATE("          ", "6007", " - ", "STUDENT HOURLY")</f>
        <v xml:space="preserve">          6007 - STUDENT HOURLY</v>
      </c>
      <c r="C35" s="11"/>
      <c r="D35" s="6">
        <v>557.1</v>
      </c>
      <c r="E35" s="2"/>
      <c r="F35" s="7">
        <f t="shared" si="12"/>
        <v>3.4395258381181702E-2</v>
      </c>
      <c r="G35" s="2"/>
      <c r="H35" s="6">
        <v>504.75</v>
      </c>
      <c r="I35" s="2"/>
      <c r="J35" s="7">
        <f t="shared" si="13"/>
        <v>9.5520608606790049E-3</v>
      </c>
      <c r="K35" s="2"/>
      <c r="L35" s="6">
        <f t="shared" si="14"/>
        <v>52.350000000000023</v>
      </c>
      <c r="M35" s="2"/>
      <c r="N35" s="7">
        <f t="shared" si="15"/>
        <v>0.10371471025260035</v>
      </c>
      <c r="O35" s="11"/>
      <c r="P35" s="6">
        <v>3444.3</v>
      </c>
      <c r="Q35" s="2"/>
      <c r="R35" s="7">
        <f t="shared" si="16"/>
        <v>1.1309695807502365E-2</v>
      </c>
      <c r="S35" s="2"/>
      <c r="T35" s="6">
        <v>3315.98</v>
      </c>
      <c r="U35" s="2"/>
      <c r="V35" s="7">
        <f t="shared" si="17"/>
        <v>1.0283798577750762E-2</v>
      </c>
      <c r="W35" s="2"/>
      <c r="X35" s="6">
        <f t="shared" si="18"/>
        <v>128.32000000000016</v>
      </c>
      <c r="Y35" s="2"/>
      <c r="Z35" s="7">
        <f t="shared" si="19"/>
        <v>3.8697458971405183E-2</v>
      </c>
    </row>
    <row r="36" spans="1:26" s="24" customFormat="1" hidden="1" outlineLevel="2" x14ac:dyDescent="0.3">
      <c r="A36" s="27"/>
      <c r="B36" s="11" t="str">
        <f>CONCATENATE("          ", "6008", " - ", "STUDENT HOURLY-FICA EXEMPT")</f>
        <v xml:space="preserve">          6008 - STUDENT HOURLY-FICA EXEMPT</v>
      </c>
      <c r="C36" s="11"/>
      <c r="D36" s="6"/>
      <c r="E36" s="2"/>
      <c r="F36" s="7">
        <f t="shared" si="12"/>
        <v>0</v>
      </c>
      <c r="G36" s="2"/>
      <c r="H36" s="6">
        <v>484.54</v>
      </c>
      <c r="I36" s="2"/>
      <c r="J36" s="7">
        <f t="shared" si="13"/>
        <v>9.1695999394421114E-3</v>
      </c>
      <c r="K36" s="2"/>
      <c r="L36" s="6">
        <f t="shared" si="14"/>
        <v>-484.54</v>
      </c>
      <c r="M36" s="2"/>
      <c r="N36" s="7">
        <f t="shared" si="15"/>
        <v>-1</v>
      </c>
      <c r="O36" s="11"/>
      <c r="P36" s="6">
        <v>164.22</v>
      </c>
      <c r="Q36" s="2"/>
      <c r="R36" s="7">
        <f t="shared" si="16"/>
        <v>5.3923242618472212E-4</v>
      </c>
      <c r="S36" s="2"/>
      <c r="T36" s="6">
        <v>2369.08</v>
      </c>
      <c r="U36" s="2"/>
      <c r="V36" s="7">
        <f t="shared" si="17"/>
        <v>7.3471919416214131E-3</v>
      </c>
      <c r="W36" s="2"/>
      <c r="X36" s="6">
        <f t="shared" si="18"/>
        <v>-2204.86</v>
      </c>
      <c r="Y36" s="2"/>
      <c r="Z36" s="7">
        <f t="shared" si="19"/>
        <v>-0.93068195248788566</v>
      </c>
    </row>
    <row r="37" spans="1:26" s="29" customFormat="1" outlineLevel="1" collapsed="1" x14ac:dyDescent="0.3">
      <c r="A37" s="28"/>
      <c r="B37" s="14" t="str">
        <f>CONCATENATE("     ","Advertising/Promo                                 ")</f>
        <v xml:space="preserve">     Advertising/Promo                                 </v>
      </c>
      <c r="C37" s="14"/>
      <c r="D37" s="1">
        <f>SUM(OSRRefD22_2x_0)</f>
        <v>0</v>
      </c>
      <c r="E37" s="1"/>
      <c r="F37" s="5">
        <f t="shared" ref="F37:F43" si="20">IF(D$12=0,0,D37/D$12)</f>
        <v>0</v>
      </c>
      <c r="G37" s="1"/>
      <c r="H37" s="1">
        <f>SUM(OSRRefH22_2x_0)</f>
        <v>0</v>
      </c>
      <c r="I37" s="1"/>
      <c r="J37" s="5">
        <f t="shared" ref="J37:J43" si="21">IF(H$12=0,0,H37/H$12)</f>
        <v>0</v>
      </c>
      <c r="K37" s="1"/>
      <c r="L37" s="1">
        <f t="shared" ref="L37:L43" si="22">+D37-H37</f>
        <v>0</v>
      </c>
      <c r="M37" s="1"/>
      <c r="N37" s="5">
        <f t="shared" ref="N37:N43" si="23">IF(H37=0,0,L37/H37)</f>
        <v>0</v>
      </c>
      <c r="O37" s="14"/>
      <c r="P37" s="1">
        <f>SUM(OSRRefP22_2x_0)</f>
        <v>112.46</v>
      </c>
      <c r="Q37" s="1"/>
      <c r="R37" s="5">
        <f t="shared" ref="R37:R43" si="24">IF(P$12=0,0,P37/P$12)</f>
        <v>3.6927340548492172E-4</v>
      </c>
      <c r="S37" s="1"/>
      <c r="T37" s="1">
        <f>SUM(OSRRefT22_2x_0)</f>
        <v>0</v>
      </c>
      <c r="U37" s="1"/>
      <c r="V37" s="5">
        <f t="shared" ref="V37:V43" si="25">IF(T$12=0,0,T37/T$12)</f>
        <v>0</v>
      </c>
      <c r="W37" s="1"/>
      <c r="X37" s="1">
        <f t="shared" ref="X37:X43" si="26">+P37-T37</f>
        <v>112.46</v>
      </c>
      <c r="Y37" s="1"/>
      <c r="Z37" s="5">
        <f t="shared" ref="Z37:Z43" si="27">IF(T37=0,0,X37/T37)</f>
        <v>0</v>
      </c>
    </row>
    <row r="38" spans="1:26" s="24" customFormat="1" hidden="1" outlineLevel="2" x14ac:dyDescent="0.3">
      <c r="A38" s="27"/>
      <c r="B38" s="11" t="str">
        <f>CONCATENATE("          ", "6362", " - ", "ADVERTISING EXPENSE")</f>
        <v xml:space="preserve">          6362 - ADVERTISING EXPENSE</v>
      </c>
      <c r="C38" s="11"/>
      <c r="D38" s="6"/>
      <c r="E38" s="2"/>
      <c r="F38" s="7">
        <f t="shared" si="20"/>
        <v>0</v>
      </c>
      <c r="G38" s="2"/>
      <c r="H38" s="6"/>
      <c r="I38" s="2"/>
      <c r="J38" s="7">
        <f t="shared" si="21"/>
        <v>0</v>
      </c>
      <c r="K38" s="2"/>
      <c r="L38" s="6">
        <f t="shared" si="22"/>
        <v>0</v>
      </c>
      <c r="M38" s="2"/>
      <c r="N38" s="7">
        <f t="shared" si="23"/>
        <v>0</v>
      </c>
      <c r="O38" s="11"/>
      <c r="P38" s="6">
        <v>112.46</v>
      </c>
      <c r="Q38" s="2"/>
      <c r="R38" s="7">
        <f t="shared" si="24"/>
        <v>3.6927340548492172E-4</v>
      </c>
      <c r="S38" s="2"/>
      <c r="T38" s="6"/>
      <c r="U38" s="2"/>
      <c r="V38" s="7">
        <f t="shared" si="25"/>
        <v>0</v>
      </c>
      <c r="W38" s="2"/>
      <c r="X38" s="6">
        <f t="shared" si="26"/>
        <v>112.46</v>
      </c>
      <c r="Y38" s="2"/>
      <c r="Z38" s="7">
        <f t="shared" si="27"/>
        <v>0</v>
      </c>
    </row>
    <row r="39" spans="1:26" s="29" customFormat="1" outlineLevel="1" collapsed="1" x14ac:dyDescent="0.3">
      <c r="A39" s="28"/>
      <c r="B39" s="14" t="str">
        <f>CONCATENATE("     ","Bank/card Fees                                    ")</f>
        <v xml:space="preserve">     Bank/card Fees                                    </v>
      </c>
      <c r="C39" s="14"/>
      <c r="D39" s="1">
        <f>SUM(OSRRefD22_3x_0)</f>
        <v>229.39</v>
      </c>
      <c r="E39" s="1"/>
      <c r="F39" s="5">
        <f t="shared" si="20"/>
        <v>1.4162499228252145E-2</v>
      </c>
      <c r="G39" s="1"/>
      <c r="H39" s="1">
        <f>SUM(OSRRefH22_3x_0)</f>
        <v>54.7</v>
      </c>
      <c r="I39" s="1"/>
      <c r="J39" s="5">
        <f t="shared" si="21"/>
        <v>1.0351614246243519E-3</v>
      </c>
      <c r="K39" s="1"/>
      <c r="L39" s="1">
        <f t="shared" si="22"/>
        <v>174.69</v>
      </c>
      <c r="M39" s="1"/>
      <c r="N39" s="5">
        <f t="shared" si="23"/>
        <v>3.1936014625228517</v>
      </c>
      <c r="O39" s="14"/>
      <c r="P39" s="1">
        <f>SUM(OSRRefP22_3x_0)</f>
        <v>1532.5</v>
      </c>
      <c r="Q39" s="1"/>
      <c r="R39" s="5">
        <f t="shared" si="24"/>
        <v>5.0321135862141427E-3</v>
      </c>
      <c r="S39" s="1"/>
      <c r="T39" s="1">
        <f>SUM(OSRRefT22_3x_0)</f>
        <v>574.16999999999996</v>
      </c>
      <c r="U39" s="1"/>
      <c r="V39" s="5">
        <f t="shared" si="25"/>
        <v>1.7806647293973892E-3</v>
      </c>
      <c r="W39" s="1"/>
      <c r="X39" s="1">
        <f t="shared" si="26"/>
        <v>958.33</v>
      </c>
      <c r="Y39" s="1"/>
      <c r="Z39" s="5">
        <f t="shared" si="27"/>
        <v>1.6690701360224325</v>
      </c>
    </row>
    <row r="40" spans="1:26" s="24" customFormat="1" hidden="1" outlineLevel="2" x14ac:dyDescent="0.3">
      <c r="A40" s="27"/>
      <c r="B40" s="11" t="str">
        <f>CONCATENATE("          ", "6381", " - ", "BANK/CREDIT CARD FEES")</f>
        <v xml:space="preserve">          6381 - BANK/CREDIT CARD FEES</v>
      </c>
      <c r="C40" s="11"/>
      <c r="D40" s="6">
        <v>229.39</v>
      </c>
      <c r="E40" s="2"/>
      <c r="F40" s="7">
        <f t="shared" si="20"/>
        <v>1.4162499228252145E-2</v>
      </c>
      <c r="G40" s="2"/>
      <c r="H40" s="6">
        <v>54.7</v>
      </c>
      <c r="I40" s="2"/>
      <c r="J40" s="7">
        <f t="shared" si="21"/>
        <v>1.0351614246243519E-3</v>
      </c>
      <c r="K40" s="2"/>
      <c r="L40" s="6">
        <f t="shared" si="22"/>
        <v>174.69</v>
      </c>
      <c r="M40" s="2"/>
      <c r="N40" s="7">
        <f t="shared" si="23"/>
        <v>3.1936014625228517</v>
      </c>
      <c r="O40" s="11"/>
      <c r="P40" s="6">
        <v>1532.5</v>
      </c>
      <c r="Q40" s="2"/>
      <c r="R40" s="7">
        <f t="shared" si="24"/>
        <v>5.0321135862141427E-3</v>
      </c>
      <c r="S40" s="2"/>
      <c r="T40" s="6">
        <v>574.16999999999996</v>
      </c>
      <c r="U40" s="2"/>
      <c r="V40" s="7">
        <f t="shared" si="25"/>
        <v>1.7806647293973892E-3</v>
      </c>
      <c r="W40" s="2"/>
      <c r="X40" s="6">
        <f t="shared" si="26"/>
        <v>958.33</v>
      </c>
      <c r="Y40" s="2"/>
      <c r="Z40" s="7">
        <f t="shared" si="27"/>
        <v>1.6690701360224325</v>
      </c>
    </row>
    <row r="41" spans="1:26" s="29" customFormat="1" outlineLevel="1" collapsed="1" x14ac:dyDescent="0.3">
      <c r="A41" s="28"/>
      <c r="B41" s="14" t="str">
        <f>CONCATENATE("     ","Freight out/Postage                               ")</f>
        <v xml:space="preserve">     Freight out/Postage                               </v>
      </c>
      <c r="C41" s="14"/>
      <c r="D41" s="1">
        <f>SUM(OSRRefD22_4x_0)</f>
        <v>0</v>
      </c>
      <c r="E41" s="1"/>
      <c r="F41" s="5">
        <f t="shared" si="20"/>
        <v>0</v>
      </c>
      <c r="G41" s="1"/>
      <c r="H41" s="1">
        <f>SUM(OSRRefH22_4x_0)</f>
        <v>0</v>
      </c>
      <c r="I41" s="1"/>
      <c r="J41" s="5">
        <f t="shared" si="21"/>
        <v>0</v>
      </c>
      <c r="K41" s="1"/>
      <c r="L41" s="1">
        <f t="shared" si="22"/>
        <v>0</v>
      </c>
      <c r="M41" s="1"/>
      <c r="N41" s="5">
        <f t="shared" si="23"/>
        <v>0</v>
      </c>
      <c r="O41" s="14"/>
      <c r="P41" s="1">
        <f>SUM(OSRRefP22_4x_0)</f>
        <v>0.62</v>
      </c>
      <c r="Q41" s="1"/>
      <c r="R41" s="5">
        <f t="shared" si="24"/>
        <v>2.035830618892508E-6</v>
      </c>
      <c r="S41" s="1"/>
      <c r="T41" s="1">
        <f>SUM(OSRRefT22_4x_0)</f>
        <v>2.12</v>
      </c>
      <c r="U41" s="1"/>
      <c r="V41" s="5">
        <f t="shared" si="25"/>
        <v>6.5747239081151328E-6</v>
      </c>
      <c r="W41" s="1"/>
      <c r="X41" s="1">
        <f t="shared" si="26"/>
        <v>-1.5</v>
      </c>
      <c r="Y41" s="1"/>
      <c r="Z41" s="5">
        <f t="shared" si="27"/>
        <v>-0.70754716981132071</v>
      </c>
    </row>
    <row r="42" spans="1:26" s="24" customFormat="1" hidden="1" outlineLevel="2" x14ac:dyDescent="0.3">
      <c r="A42" s="27"/>
      <c r="B42" s="11" t="str">
        <f>CONCATENATE("          ", "6305", " - ", "FREIGHT OUT")</f>
        <v xml:space="preserve">          6305 - FREIGHT OUT</v>
      </c>
      <c r="C42" s="11"/>
      <c r="D42" s="6"/>
      <c r="E42" s="2"/>
      <c r="F42" s="7">
        <f t="shared" si="20"/>
        <v>0</v>
      </c>
      <c r="G42" s="2"/>
      <c r="H42" s="6"/>
      <c r="I42" s="2"/>
      <c r="J42" s="7">
        <f t="shared" si="21"/>
        <v>0</v>
      </c>
      <c r="K42" s="2"/>
      <c r="L42" s="6">
        <f t="shared" si="22"/>
        <v>0</v>
      </c>
      <c r="M42" s="2"/>
      <c r="N42" s="7">
        <f t="shared" si="23"/>
        <v>0</v>
      </c>
      <c r="O42" s="11"/>
      <c r="P42" s="6">
        <v>0.62</v>
      </c>
      <c r="Q42" s="2"/>
      <c r="R42" s="7">
        <f t="shared" si="24"/>
        <v>2.035830618892508E-6</v>
      </c>
      <c r="S42" s="2"/>
      <c r="T42" s="6">
        <v>1.62</v>
      </c>
      <c r="U42" s="2"/>
      <c r="V42" s="7">
        <f t="shared" si="25"/>
        <v>5.024081476955903E-6</v>
      </c>
      <c r="W42" s="2"/>
      <c r="X42" s="6">
        <f t="shared" si="26"/>
        <v>-1</v>
      </c>
      <c r="Y42" s="2"/>
      <c r="Z42" s="7">
        <f t="shared" si="27"/>
        <v>-0.61728395061728392</v>
      </c>
    </row>
    <row r="43" spans="1:26" s="24" customFormat="1" hidden="1" outlineLevel="2" x14ac:dyDescent="0.3">
      <c r="A43" s="27"/>
      <c r="B43" s="11" t="str">
        <f>CONCATENATE("          ", "6307", " - ", "POSTAGE")</f>
        <v xml:space="preserve">          6307 - POSTAGE</v>
      </c>
      <c r="C43" s="11"/>
      <c r="D43" s="6"/>
      <c r="E43" s="2"/>
      <c r="F43" s="7">
        <f t="shared" si="20"/>
        <v>0</v>
      </c>
      <c r="G43" s="2"/>
      <c r="H43" s="6"/>
      <c r="I43" s="2"/>
      <c r="J43" s="7">
        <f t="shared" si="21"/>
        <v>0</v>
      </c>
      <c r="K43" s="2"/>
      <c r="L43" s="6">
        <f t="shared" si="22"/>
        <v>0</v>
      </c>
      <c r="M43" s="2"/>
      <c r="N43" s="7">
        <f t="shared" si="23"/>
        <v>0</v>
      </c>
      <c r="O43" s="11"/>
      <c r="P43" s="6"/>
      <c r="Q43" s="2"/>
      <c r="R43" s="7">
        <f t="shared" si="24"/>
        <v>0</v>
      </c>
      <c r="S43" s="2"/>
      <c r="T43" s="6">
        <v>0.5</v>
      </c>
      <c r="U43" s="2"/>
      <c r="V43" s="7">
        <f t="shared" si="25"/>
        <v>1.5506424311592292E-6</v>
      </c>
      <c r="W43" s="2"/>
      <c r="X43" s="6">
        <f t="shared" si="26"/>
        <v>-0.5</v>
      </c>
      <c r="Y43" s="2"/>
      <c r="Z43" s="7">
        <f t="shared" si="27"/>
        <v>-1</v>
      </c>
    </row>
    <row r="44" spans="1:26" s="29" customFormat="1" outlineLevel="1" collapsed="1" x14ac:dyDescent="0.3">
      <c r="A44" s="28"/>
      <c r="B44" s="14" t="str">
        <f>CONCATENATE("     ","Insurance                                         ")</f>
        <v xml:space="preserve">     Insurance                                         </v>
      </c>
      <c r="C44" s="14"/>
      <c r="D44" s="1">
        <f>SUM(OSRRefD22_5x_0)</f>
        <v>39.43</v>
      </c>
      <c r="E44" s="1"/>
      <c r="F44" s="5">
        <f t="shared" ref="F44:F50" si="28">IF(D$12=0,0,D44/D$12)</f>
        <v>2.434401432364018E-3</v>
      </c>
      <c r="G44" s="1"/>
      <c r="H44" s="1">
        <f>SUM(OSRRefH22_5x_0)</f>
        <v>29.01</v>
      </c>
      <c r="I44" s="1"/>
      <c r="J44" s="5">
        <f t="shared" ref="J44:J50" si="29">IF(H$12=0,0,H44/H$12)</f>
        <v>5.4899511752015445E-4</v>
      </c>
      <c r="K44" s="1"/>
      <c r="L44" s="1">
        <f t="shared" ref="L44:L50" si="30">+D44-H44</f>
        <v>10.419999999999998</v>
      </c>
      <c r="M44" s="1"/>
      <c r="N44" s="5">
        <f t="shared" ref="N44:N50" si="31">IF(H44=0,0,L44/H44)</f>
        <v>0.35918648741813158</v>
      </c>
      <c r="O44" s="14"/>
      <c r="P44" s="1">
        <f>SUM(OSRRefP22_5x_0)</f>
        <v>197.15</v>
      </c>
      <c r="Q44" s="1"/>
      <c r="R44" s="5">
        <f t="shared" ref="R44:R50" si="32">IF(P$12=0,0,P44/P$12)</f>
        <v>6.4736130083009353E-4</v>
      </c>
      <c r="S44" s="1"/>
      <c r="T44" s="1">
        <f>SUM(OSRRefT22_5x_0)</f>
        <v>145.05000000000001</v>
      </c>
      <c r="U44" s="1"/>
      <c r="V44" s="5">
        <f t="shared" ref="V44:V50" si="33">IF(T$12=0,0,T44/T$12)</f>
        <v>4.4984136927929245E-4</v>
      </c>
      <c r="W44" s="1"/>
      <c r="X44" s="1">
        <f t="shared" ref="X44:X50" si="34">+P44-T44</f>
        <v>52.099999999999994</v>
      </c>
      <c r="Y44" s="1"/>
      <c r="Z44" s="5">
        <f t="shared" ref="Z44:Z50" si="35">IF(T44=0,0,X44/T44)</f>
        <v>0.35918648741813158</v>
      </c>
    </row>
    <row r="45" spans="1:26" s="24" customFormat="1" hidden="1" outlineLevel="2" x14ac:dyDescent="0.3">
      <c r="A45" s="27"/>
      <c r="B45" s="11" t="str">
        <f>CONCATENATE("          ", "6314", " - ", "LIABILITY INSURANCE")</f>
        <v xml:space="preserve">          6314 - LIABILITY INSURANCE</v>
      </c>
      <c r="C45" s="11"/>
      <c r="D45" s="6">
        <v>39.43</v>
      </c>
      <c r="E45" s="2"/>
      <c r="F45" s="7">
        <f t="shared" si="28"/>
        <v>2.434401432364018E-3</v>
      </c>
      <c r="G45" s="2"/>
      <c r="H45" s="6">
        <v>29.01</v>
      </c>
      <c r="I45" s="2"/>
      <c r="J45" s="7">
        <f t="shared" si="29"/>
        <v>5.4899511752015445E-4</v>
      </c>
      <c r="K45" s="2"/>
      <c r="L45" s="6">
        <f t="shared" si="30"/>
        <v>10.419999999999998</v>
      </c>
      <c r="M45" s="2"/>
      <c r="N45" s="7">
        <f t="shared" si="31"/>
        <v>0.35918648741813158</v>
      </c>
      <c r="O45" s="11"/>
      <c r="P45" s="6">
        <v>197.15</v>
      </c>
      <c r="Q45" s="2"/>
      <c r="R45" s="7">
        <f t="shared" si="32"/>
        <v>6.4736130083009353E-4</v>
      </c>
      <c r="S45" s="2"/>
      <c r="T45" s="6">
        <v>145.05000000000001</v>
      </c>
      <c r="U45" s="2"/>
      <c r="V45" s="7">
        <f t="shared" si="33"/>
        <v>4.4984136927929245E-4</v>
      </c>
      <c r="W45" s="2"/>
      <c r="X45" s="6">
        <f t="shared" si="34"/>
        <v>52.099999999999994</v>
      </c>
      <c r="Y45" s="2"/>
      <c r="Z45" s="7">
        <f t="shared" si="35"/>
        <v>0.35918648741813158</v>
      </c>
    </row>
    <row r="46" spans="1:26" s="29" customFormat="1" outlineLevel="1" collapsed="1" x14ac:dyDescent="0.3">
      <c r="A46" s="28"/>
      <c r="B46" s="14" t="str">
        <f>CONCATENATE("     ","Rent                                              ")</f>
        <v xml:space="preserve">     Rent                                              </v>
      </c>
      <c r="C46" s="14"/>
      <c r="D46" s="1">
        <f>SUM(OSRRefD22_6x_0)</f>
        <v>800</v>
      </c>
      <c r="E46" s="1"/>
      <c r="F46" s="5">
        <f t="shared" si="28"/>
        <v>4.9391862690621721E-2</v>
      </c>
      <c r="G46" s="1"/>
      <c r="H46" s="1">
        <f>SUM(OSRRefH22_6x_0)</f>
        <v>800</v>
      </c>
      <c r="I46" s="1"/>
      <c r="J46" s="5">
        <f t="shared" si="29"/>
        <v>1.513947238938723E-2</v>
      </c>
      <c r="K46" s="1"/>
      <c r="L46" s="1">
        <f t="shared" si="30"/>
        <v>0</v>
      </c>
      <c r="M46" s="1"/>
      <c r="N46" s="5">
        <f t="shared" si="31"/>
        <v>0</v>
      </c>
      <c r="O46" s="14"/>
      <c r="P46" s="1">
        <f>SUM(OSRRefP22_6x_0)</f>
        <v>4000</v>
      </c>
      <c r="Q46" s="1"/>
      <c r="R46" s="5">
        <f t="shared" si="32"/>
        <v>1.3134391089629084E-2</v>
      </c>
      <c r="S46" s="1"/>
      <c r="T46" s="1">
        <f>SUM(OSRRefT22_6x_0)</f>
        <v>4000</v>
      </c>
      <c r="U46" s="1"/>
      <c r="V46" s="5">
        <f t="shared" si="33"/>
        <v>1.2405139449273834E-2</v>
      </c>
      <c r="W46" s="1"/>
      <c r="X46" s="1">
        <f t="shared" si="34"/>
        <v>0</v>
      </c>
      <c r="Y46" s="1"/>
      <c r="Z46" s="5">
        <f t="shared" si="35"/>
        <v>0</v>
      </c>
    </row>
    <row r="47" spans="1:26" s="24" customFormat="1" hidden="1" outlineLevel="2" x14ac:dyDescent="0.3">
      <c r="A47" s="27"/>
      <c r="B47" s="11" t="str">
        <f>CONCATENATE("          ", "6273", " - ", "RENT")</f>
        <v xml:space="preserve">          6273 - RENT</v>
      </c>
      <c r="C47" s="11"/>
      <c r="D47" s="6">
        <v>800</v>
      </c>
      <c r="E47" s="2"/>
      <c r="F47" s="7">
        <f t="shared" si="28"/>
        <v>4.9391862690621721E-2</v>
      </c>
      <c r="G47" s="2"/>
      <c r="H47" s="6">
        <v>800</v>
      </c>
      <c r="I47" s="2"/>
      <c r="J47" s="7">
        <f t="shared" si="29"/>
        <v>1.513947238938723E-2</v>
      </c>
      <c r="K47" s="2"/>
      <c r="L47" s="6">
        <f t="shared" si="30"/>
        <v>0</v>
      </c>
      <c r="M47" s="2"/>
      <c r="N47" s="7">
        <f t="shared" si="31"/>
        <v>0</v>
      </c>
      <c r="O47" s="11"/>
      <c r="P47" s="6">
        <v>4000</v>
      </c>
      <c r="Q47" s="2"/>
      <c r="R47" s="7">
        <f t="shared" si="32"/>
        <v>1.3134391089629084E-2</v>
      </c>
      <c r="S47" s="2"/>
      <c r="T47" s="6">
        <v>4000</v>
      </c>
      <c r="U47" s="2"/>
      <c r="V47" s="7">
        <f t="shared" si="33"/>
        <v>1.2405139449273834E-2</v>
      </c>
      <c r="W47" s="2"/>
      <c r="X47" s="6">
        <f t="shared" si="34"/>
        <v>0</v>
      </c>
      <c r="Y47" s="2"/>
      <c r="Z47" s="7">
        <f t="shared" si="35"/>
        <v>0</v>
      </c>
    </row>
    <row r="48" spans="1:26" s="29" customFormat="1" outlineLevel="1" collapsed="1" x14ac:dyDescent="0.3">
      <c r="A48" s="28"/>
      <c r="B48" s="14" t="str">
        <f>CONCATENATE("     ","Repair and Maintenance                            ")</f>
        <v xml:space="preserve">     Repair and Maintenance                            </v>
      </c>
      <c r="C48" s="14"/>
      <c r="D48" s="1">
        <f>SUM(OSRRefD22_7x_0)</f>
        <v>0</v>
      </c>
      <c r="E48" s="1"/>
      <c r="F48" s="5">
        <f t="shared" si="28"/>
        <v>0</v>
      </c>
      <c r="G48" s="1"/>
      <c r="H48" s="1">
        <f>SUM(OSRRefH22_7x_0)</f>
        <v>0</v>
      </c>
      <c r="I48" s="1"/>
      <c r="J48" s="5">
        <f t="shared" si="29"/>
        <v>0</v>
      </c>
      <c r="K48" s="1"/>
      <c r="L48" s="1">
        <f t="shared" si="30"/>
        <v>0</v>
      </c>
      <c r="M48" s="1"/>
      <c r="N48" s="5">
        <f t="shared" si="31"/>
        <v>0</v>
      </c>
      <c r="O48" s="14"/>
      <c r="P48" s="1">
        <f>SUM(OSRRefP22_7x_0)</f>
        <v>122000.62</v>
      </c>
      <c r="Q48" s="1"/>
      <c r="R48" s="5">
        <f t="shared" si="32"/>
        <v>0.40060096406430595</v>
      </c>
      <c r="S48" s="1"/>
      <c r="T48" s="1">
        <f>SUM(OSRRefT22_7x_0)</f>
        <v>123827.9</v>
      </c>
      <c r="U48" s="1"/>
      <c r="V48" s="5">
        <f t="shared" si="33"/>
        <v>0.38402559180268381</v>
      </c>
      <c r="W48" s="1"/>
      <c r="X48" s="1">
        <f t="shared" si="34"/>
        <v>-1827.2799999999988</v>
      </c>
      <c r="Y48" s="1"/>
      <c r="Z48" s="5">
        <f t="shared" si="35"/>
        <v>-1.4756609778571702E-2</v>
      </c>
    </row>
    <row r="49" spans="1:26" s="24" customFormat="1" hidden="1" outlineLevel="2" x14ac:dyDescent="0.3">
      <c r="A49" s="27"/>
      <c r="B49" s="11" t="str">
        <f>CONCATENATE("          ", "6373", " - ", "MAINTENANCE CONTRACTS")</f>
        <v xml:space="preserve">          6373 - MAINTENANCE CONTRACTS</v>
      </c>
      <c r="C49" s="11"/>
      <c r="D49" s="6"/>
      <c r="E49" s="2"/>
      <c r="F49" s="7">
        <f t="shared" si="28"/>
        <v>0</v>
      </c>
      <c r="G49" s="2"/>
      <c r="H49" s="6"/>
      <c r="I49" s="2"/>
      <c r="J49" s="7">
        <f t="shared" si="29"/>
        <v>0</v>
      </c>
      <c r="K49" s="2"/>
      <c r="L49" s="6">
        <f t="shared" si="30"/>
        <v>0</v>
      </c>
      <c r="M49" s="2"/>
      <c r="N49" s="7">
        <f t="shared" si="31"/>
        <v>0</v>
      </c>
      <c r="O49" s="11"/>
      <c r="P49" s="6">
        <v>122000.62</v>
      </c>
      <c r="Q49" s="2"/>
      <c r="R49" s="7">
        <f t="shared" si="32"/>
        <v>0.40060096406430595</v>
      </c>
      <c r="S49" s="2"/>
      <c r="T49" s="6">
        <v>117265.9</v>
      </c>
      <c r="U49" s="2"/>
      <c r="V49" s="7">
        <f t="shared" si="33"/>
        <v>0.36367496053615012</v>
      </c>
      <c r="W49" s="2"/>
      <c r="X49" s="6">
        <f t="shared" si="34"/>
        <v>4734.7200000000012</v>
      </c>
      <c r="Y49" s="2"/>
      <c r="Z49" s="7">
        <f t="shared" si="35"/>
        <v>4.0375931963170894E-2</v>
      </c>
    </row>
    <row r="50" spans="1:26" s="24" customFormat="1" hidden="1" outlineLevel="2" x14ac:dyDescent="0.3">
      <c r="A50" s="27"/>
      <c r="B50" s="11" t="str">
        <f>CONCATENATE("          ", "6375", " - ", "OUTSIDE REPAIRS &amp; MAINTENANCE")</f>
        <v xml:space="preserve">          6375 - OUTSIDE REPAIRS &amp; MAINTENANCE</v>
      </c>
      <c r="C50" s="11"/>
      <c r="D50" s="6"/>
      <c r="E50" s="2"/>
      <c r="F50" s="7">
        <f t="shared" si="28"/>
        <v>0</v>
      </c>
      <c r="G50" s="2"/>
      <c r="H50" s="6"/>
      <c r="I50" s="2"/>
      <c r="J50" s="7">
        <f t="shared" si="29"/>
        <v>0</v>
      </c>
      <c r="K50" s="2"/>
      <c r="L50" s="6">
        <f t="shared" si="30"/>
        <v>0</v>
      </c>
      <c r="M50" s="2"/>
      <c r="N50" s="7">
        <f t="shared" si="31"/>
        <v>0</v>
      </c>
      <c r="O50" s="11"/>
      <c r="P50" s="6"/>
      <c r="Q50" s="2"/>
      <c r="R50" s="7">
        <f t="shared" si="32"/>
        <v>0</v>
      </c>
      <c r="S50" s="2"/>
      <c r="T50" s="6">
        <v>6562</v>
      </c>
      <c r="U50" s="2"/>
      <c r="V50" s="7">
        <f t="shared" si="33"/>
        <v>2.0350631266533727E-2</v>
      </c>
      <c r="W50" s="2"/>
      <c r="X50" s="6">
        <f t="shared" si="34"/>
        <v>-6562</v>
      </c>
      <c r="Y50" s="2"/>
      <c r="Z50" s="7">
        <f t="shared" si="35"/>
        <v>-1</v>
      </c>
    </row>
    <row r="51" spans="1:26" s="29" customFormat="1" outlineLevel="1" collapsed="1" x14ac:dyDescent="0.3">
      <c r="A51" s="28"/>
      <c r="B51" s="14" t="str">
        <f>CONCATENATE("     ","Supplies                                          ")</f>
        <v xml:space="preserve">     Supplies                                          </v>
      </c>
      <c r="C51" s="14"/>
      <c r="D51" s="1">
        <f>SUM(OSRRefD22_8x_0)</f>
        <v>235.39</v>
      </c>
      <c r="E51" s="1"/>
      <c r="F51" s="5">
        <f t="shared" ref="F51:F53" si="36">IF(D$12=0,0,D51/D$12)</f>
        <v>1.4532938198431808E-2</v>
      </c>
      <c r="G51" s="1"/>
      <c r="H51" s="1">
        <f>SUM(OSRRefH22_8x_0)</f>
        <v>0</v>
      </c>
      <c r="I51" s="1"/>
      <c r="J51" s="5">
        <f t="shared" ref="J51:J53" si="37">IF(H$12=0,0,H51/H$12)</f>
        <v>0</v>
      </c>
      <c r="K51" s="1"/>
      <c r="L51" s="1">
        <f t="shared" ref="L51:L53" si="38">+D51-H51</f>
        <v>235.39</v>
      </c>
      <c r="M51" s="1"/>
      <c r="N51" s="5">
        <f t="shared" ref="N51:N53" si="39">IF(H51=0,0,L51/H51)</f>
        <v>0</v>
      </c>
      <c r="O51" s="14"/>
      <c r="P51" s="1">
        <f>SUM(OSRRefP22_8x_0)</f>
        <v>15524.470000000001</v>
      </c>
      <c r="Q51" s="1"/>
      <c r="R51" s="5">
        <f t="shared" ref="R51:R53" si="40">IF(P$12=0,0,P51/P$12)</f>
        <v>5.0976115109803516E-2</v>
      </c>
      <c r="S51" s="1"/>
      <c r="T51" s="1">
        <f>SUM(OSRRefT22_8x_0)</f>
        <v>41271.699999999997</v>
      </c>
      <c r="U51" s="1"/>
      <c r="V51" s="5">
        <f t="shared" ref="V51:V53" si="41">IF(T$12=0,0,T51/T$12)</f>
        <v>0.12799529845214871</v>
      </c>
      <c r="W51" s="1"/>
      <c r="X51" s="1">
        <f t="shared" ref="X51:X53" si="42">+P51-T51</f>
        <v>-25747.229999999996</v>
      </c>
      <c r="Y51" s="1"/>
      <c r="Z51" s="5">
        <f t="shared" ref="Z51:Z53" si="43">IF(T51=0,0,X51/T51)</f>
        <v>-0.62384709134830885</v>
      </c>
    </row>
    <row r="52" spans="1:26" s="24" customFormat="1" hidden="1" outlineLevel="2" x14ac:dyDescent="0.3">
      <c r="A52" s="27"/>
      <c r="B52" s="11" t="str">
        <f>CONCATENATE("          ", "6241", " - ", "OFFICE EXPENSE")</f>
        <v xml:space="preserve">          6241 - OFFICE EXPENSE</v>
      </c>
      <c r="C52" s="11"/>
      <c r="D52" s="6">
        <v>235.39</v>
      </c>
      <c r="E52" s="2"/>
      <c r="F52" s="7">
        <f t="shared" si="36"/>
        <v>1.4532938198431808E-2</v>
      </c>
      <c r="G52" s="2"/>
      <c r="H52" s="6"/>
      <c r="I52" s="2"/>
      <c r="J52" s="7">
        <f t="shared" si="37"/>
        <v>0</v>
      </c>
      <c r="K52" s="2"/>
      <c r="L52" s="6">
        <f t="shared" si="38"/>
        <v>235.39</v>
      </c>
      <c r="M52" s="2"/>
      <c r="N52" s="7">
        <f t="shared" si="39"/>
        <v>0</v>
      </c>
      <c r="O52" s="11"/>
      <c r="P52" s="6">
        <v>15507.93</v>
      </c>
      <c r="Q52" s="2"/>
      <c r="R52" s="7">
        <f t="shared" si="40"/>
        <v>5.0921804402647895E-2</v>
      </c>
      <c r="S52" s="2"/>
      <c r="T52" s="6">
        <v>41271.699999999997</v>
      </c>
      <c r="U52" s="2"/>
      <c r="V52" s="7">
        <f t="shared" si="41"/>
        <v>0.12799529845214871</v>
      </c>
      <c r="W52" s="2"/>
      <c r="X52" s="6">
        <f t="shared" si="42"/>
        <v>-25763.769999999997</v>
      </c>
      <c r="Y52" s="2"/>
      <c r="Z52" s="7">
        <f t="shared" si="43"/>
        <v>-0.62424785022182272</v>
      </c>
    </row>
    <row r="53" spans="1:26" s="24" customFormat="1" hidden="1" outlineLevel="2" x14ac:dyDescent="0.3">
      <c r="A53" s="27"/>
      <c r="B53" s="11" t="str">
        <f>CONCATENATE("          ", "6247", " - ", "STORE SUPPLIES")</f>
        <v xml:space="preserve">          6247 - STORE SUPPLIES</v>
      </c>
      <c r="C53" s="11"/>
      <c r="D53" s="6"/>
      <c r="E53" s="2"/>
      <c r="F53" s="7">
        <f t="shared" si="36"/>
        <v>0</v>
      </c>
      <c r="G53" s="2"/>
      <c r="H53" s="6"/>
      <c r="I53" s="2"/>
      <c r="J53" s="7">
        <f t="shared" si="37"/>
        <v>0</v>
      </c>
      <c r="K53" s="2"/>
      <c r="L53" s="6">
        <f t="shared" si="38"/>
        <v>0</v>
      </c>
      <c r="M53" s="2"/>
      <c r="N53" s="7">
        <f t="shared" si="39"/>
        <v>0</v>
      </c>
      <c r="O53" s="11"/>
      <c r="P53" s="6">
        <v>16.54</v>
      </c>
      <c r="Q53" s="2"/>
      <c r="R53" s="7">
        <f t="shared" si="40"/>
        <v>5.4310707155616264E-5</v>
      </c>
      <c r="S53" s="2"/>
      <c r="T53" s="6"/>
      <c r="U53" s="2"/>
      <c r="V53" s="7">
        <f t="shared" si="41"/>
        <v>0</v>
      </c>
      <c r="W53" s="2"/>
      <c r="X53" s="6">
        <f t="shared" si="42"/>
        <v>16.54</v>
      </c>
      <c r="Y53" s="2"/>
      <c r="Z53" s="7">
        <f t="shared" si="43"/>
        <v>0</v>
      </c>
    </row>
    <row r="54" spans="1:26" s="29" customFormat="1" outlineLevel="1" collapsed="1" x14ac:dyDescent="0.3">
      <c r="A54" s="28"/>
      <c r="B54" s="14" t="str">
        <f>CONCATENATE("     ","Telephone/Data Lines                              ")</f>
        <v xml:space="preserve">     Telephone/Data Lines                              </v>
      </c>
      <c r="C54" s="14"/>
      <c r="D54" s="1">
        <f>SUM(OSRRefD22_9x_0)</f>
        <v>90.85</v>
      </c>
      <c r="E54" s="1"/>
      <c r="F54" s="5">
        <f t="shared" ref="F54:F57" si="44">IF(D$12=0,0,D54/D$12)</f>
        <v>5.6090634068037288E-3</v>
      </c>
      <c r="G54" s="1"/>
      <c r="H54" s="1">
        <f>SUM(OSRRefH22_9x_0)</f>
        <v>136.94999999999999</v>
      </c>
      <c r="I54" s="1"/>
      <c r="J54" s="5">
        <f t="shared" ref="J54:J57" si="45">IF(H$12=0,0,H54/H$12)</f>
        <v>2.5916884296582261E-3</v>
      </c>
      <c r="K54" s="1"/>
      <c r="L54" s="1">
        <f t="shared" ref="L54:L57" si="46">+D54-H54</f>
        <v>-46.099999999999994</v>
      </c>
      <c r="M54" s="1"/>
      <c r="N54" s="5">
        <f t="shared" ref="N54:N57" si="47">IF(H54=0,0,L54/H54)</f>
        <v>-0.33661920408908358</v>
      </c>
      <c r="O54" s="14"/>
      <c r="P54" s="1">
        <f>SUM(OSRRefP22_9x_0)</f>
        <v>14.85</v>
      </c>
      <c r="Q54" s="1"/>
      <c r="R54" s="5">
        <f t="shared" ref="R54:R57" si="48">IF(P$12=0,0,P54/P$12)</f>
        <v>4.8761426920247976E-5</v>
      </c>
      <c r="S54" s="1"/>
      <c r="T54" s="1">
        <f>SUM(OSRRefT22_9x_0)</f>
        <v>1315.68</v>
      </c>
      <c r="U54" s="1"/>
      <c r="V54" s="5">
        <f t="shared" ref="V54:V57" si="49">IF(T$12=0,0,T54/T$12)</f>
        <v>4.0802984676551494E-3</v>
      </c>
      <c r="W54" s="1"/>
      <c r="X54" s="1">
        <f t="shared" ref="X54:X57" si="50">+P54-T54</f>
        <v>-1300.8300000000002</v>
      </c>
      <c r="Y54" s="1"/>
      <c r="Z54" s="5">
        <f t="shared" ref="Z54:Z57" si="51">IF(T54=0,0,X54/T54)</f>
        <v>-0.98871306092666922</v>
      </c>
    </row>
    <row r="55" spans="1:26" s="24" customFormat="1" hidden="1" outlineLevel="2" x14ac:dyDescent="0.3">
      <c r="A55" s="27"/>
      <c r="B55" s="11" t="str">
        <f>CONCATENATE("          ", "6309", " - ", "TELEPHONE")</f>
        <v xml:space="preserve">          6309 - TELEPHONE</v>
      </c>
      <c r="C55" s="11"/>
      <c r="D55" s="6">
        <v>90.85</v>
      </c>
      <c r="E55" s="2"/>
      <c r="F55" s="7">
        <f t="shared" si="44"/>
        <v>5.6090634068037288E-3</v>
      </c>
      <c r="G55" s="2"/>
      <c r="H55" s="6">
        <v>136.94999999999999</v>
      </c>
      <c r="I55" s="2"/>
      <c r="J55" s="7">
        <f t="shared" si="45"/>
        <v>2.5916884296582261E-3</v>
      </c>
      <c r="K55" s="2"/>
      <c r="L55" s="6">
        <f t="shared" si="46"/>
        <v>-46.099999999999994</v>
      </c>
      <c r="M55" s="2"/>
      <c r="N55" s="7">
        <f t="shared" si="47"/>
        <v>-0.33661920408908358</v>
      </c>
      <c r="O55" s="11"/>
      <c r="P55" s="6">
        <v>14.85</v>
      </c>
      <c r="Q55" s="2"/>
      <c r="R55" s="7">
        <f t="shared" si="48"/>
        <v>4.8761426920247976E-5</v>
      </c>
      <c r="S55" s="2"/>
      <c r="T55" s="6">
        <v>1315.68</v>
      </c>
      <c r="U55" s="2"/>
      <c r="V55" s="7">
        <f t="shared" si="49"/>
        <v>4.0802984676551494E-3</v>
      </c>
      <c r="W55" s="2"/>
      <c r="X55" s="6">
        <f t="shared" si="50"/>
        <v>-1300.8300000000002</v>
      </c>
      <c r="Y55" s="2"/>
      <c r="Z55" s="7">
        <f t="shared" si="51"/>
        <v>-0.98871306092666922</v>
      </c>
    </row>
    <row r="56" spans="1:26" s="29" customFormat="1" outlineLevel="1" collapsed="1" x14ac:dyDescent="0.3">
      <c r="A56" s="28"/>
      <c r="B56" s="14" t="str">
        <f>CONCATENATE("     ","Training                                          ")</f>
        <v xml:space="preserve">     Training                                          </v>
      </c>
      <c r="C56" s="14"/>
      <c r="D56" s="1">
        <f>SUM(OSRRefD22_10x_0)</f>
        <v>0</v>
      </c>
      <c r="E56" s="1"/>
      <c r="F56" s="5">
        <f t="shared" si="44"/>
        <v>0</v>
      </c>
      <c r="G56" s="1"/>
      <c r="H56" s="1">
        <f>SUM(OSRRefH22_10x_0)</f>
        <v>0</v>
      </c>
      <c r="I56" s="1"/>
      <c r="J56" s="5">
        <f t="shared" si="45"/>
        <v>0</v>
      </c>
      <c r="K56" s="1"/>
      <c r="L56" s="1">
        <f t="shared" si="46"/>
        <v>0</v>
      </c>
      <c r="M56" s="1"/>
      <c r="N56" s="5">
        <f t="shared" si="47"/>
        <v>0</v>
      </c>
      <c r="O56" s="14"/>
      <c r="P56" s="1">
        <f>SUM(OSRRefP22_10x_0)</f>
        <v>2000</v>
      </c>
      <c r="Q56" s="1"/>
      <c r="R56" s="5">
        <f t="shared" si="48"/>
        <v>6.5671955448145421E-3</v>
      </c>
      <c r="S56" s="1"/>
      <c r="T56" s="1">
        <f>SUM(OSRRefT22_10x_0)</f>
        <v>0</v>
      </c>
      <c r="U56" s="1"/>
      <c r="V56" s="5">
        <f t="shared" si="49"/>
        <v>0</v>
      </c>
      <c r="W56" s="1"/>
      <c r="X56" s="1">
        <f t="shared" si="50"/>
        <v>2000</v>
      </c>
      <c r="Y56" s="1"/>
      <c r="Z56" s="5">
        <f t="shared" si="51"/>
        <v>0</v>
      </c>
    </row>
    <row r="57" spans="1:26" s="24" customFormat="1" hidden="1" outlineLevel="2" x14ac:dyDescent="0.3">
      <c r="A57" s="27"/>
      <c r="B57" s="11" t="str">
        <f>CONCATENATE("          ", "6376", " - ", "TRAINING")</f>
        <v xml:space="preserve">          6376 - TRAINING</v>
      </c>
      <c r="C57" s="11"/>
      <c r="D57" s="6"/>
      <c r="E57" s="2"/>
      <c r="F57" s="7">
        <f t="shared" si="44"/>
        <v>0</v>
      </c>
      <c r="G57" s="2"/>
      <c r="H57" s="6"/>
      <c r="I57" s="2"/>
      <c r="J57" s="7">
        <f t="shared" si="45"/>
        <v>0</v>
      </c>
      <c r="K57" s="2"/>
      <c r="L57" s="6">
        <f t="shared" si="46"/>
        <v>0</v>
      </c>
      <c r="M57" s="2"/>
      <c r="N57" s="7">
        <f t="shared" si="47"/>
        <v>0</v>
      </c>
      <c r="O57" s="11"/>
      <c r="P57" s="6">
        <v>2000</v>
      </c>
      <c r="Q57" s="2"/>
      <c r="R57" s="7">
        <f t="shared" si="48"/>
        <v>6.5671955448145421E-3</v>
      </c>
      <c r="S57" s="2"/>
      <c r="T57" s="6"/>
      <c r="U57" s="2"/>
      <c r="V57" s="7">
        <f t="shared" si="49"/>
        <v>0</v>
      </c>
      <c r="W57" s="2"/>
      <c r="X57" s="6">
        <f t="shared" si="50"/>
        <v>2000</v>
      </c>
      <c r="Y57" s="2"/>
      <c r="Z57" s="7">
        <f t="shared" si="51"/>
        <v>0</v>
      </c>
    </row>
    <row r="58" spans="1:26" s="62" customFormat="1" x14ac:dyDescent="0.3">
      <c r="A58" s="37"/>
      <c r="B58" s="37"/>
      <c r="C58" s="37"/>
      <c r="D58" s="1"/>
      <c r="E58" s="1"/>
      <c r="F58" s="5"/>
      <c r="G58" s="1"/>
      <c r="H58" s="1"/>
      <c r="I58" s="1"/>
      <c r="J58" s="5"/>
      <c r="K58" s="1"/>
      <c r="L58" s="1"/>
      <c r="M58" s="1"/>
      <c r="N58" s="5"/>
      <c r="O58" s="37"/>
      <c r="P58" s="1"/>
      <c r="Q58" s="1"/>
      <c r="R58" s="5"/>
      <c r="S58" s="1"/>
      <c r="T58" s="1"/>
      <c r="U58" s="1"/>
      <c r="V58" s="5"/>
      <c r="W58" s="1"/>
      <c r="X58" s="1"/>
      <c r="Y58" s="1"/>
      <c r="Z58" s="5"/>
    </row>
    <row r="59" spans="1:26" s="23" customFormat="1" collapsed="1" x14ac:dyDescent="0.3">
      <c r="A59" s="10"/>
      <c r="B59" s="26" t="s">
        <v>292</v>
      </c>
      <c r="C59" s="10"/>
      <c r="D59" s="4">
        <f>SUM(OSRRefD25x_0)</f>
        <v>620.46</v>
      </c>
      <c r="E59" s="4"/>
      <c r="F59" s="12">
        <f t="shared" ref="F59:F60" si="52">IF(D$12=0,0,D59/D$12)</f>
        <v>3.8307093906278941E-2</v>
      </c>
      <c r="G59" s="4"/>
      <c r="H59" s="4">
        <f>SUM(OSRRefH25x_0)</f>
        <v>145.04</v>
      </c>
      <c r="I59" s="4"/>
      <c r="J59" s="12">
        <f t="shared" ref="J59:J60" si="53">IF(H$12=0,0,H59/H$12)</f>
        <v>2.7447863441959048E-3</v>
      </c>
      <c r="K59" s="4"/>
      <c r="L59" s="4">
        <f t="shared" ref="L59:L60" si="54">+D59-H59</f>
        <v>475.42000000000007</v>
      </c>
      <c r="M59" s="4"/>
      <c r="N59" s="12">
        <f t="shared" ref="N59:N60" si="55">IF(H59=0,0,L59/H59)</f>
        <v>3.277854384997243</v>
      </c>
      <c r="O59" s="10"/>
      <c r="P59" s="4">
        <f>SUM(OSRRefP25x_0)</f>
        <v>5017.33</v>
      </c>
      <c r="Q59" s="4"/>
      <c r="R59" s="12">
        <f t="shared" ref="R59:R60" si="56">IF(P$12=0,0,P59/P$12)</f>
        <v>1.6474893611432173E-2</v>
      </c>
      <c r="S59" s="4"/>
      <c r="T59" s="4">
        <f>SUM(OSRRefT25x_0)</f>
        <v>1120.2</v>
      </c>
      <c r="U59" s="4"/>
      <c r="V59" s="12">
        <f t="shared" ref="V59:V60" si="57">IF(T$12=0,0,T59/T$12)</f>
        <v>3.4740593027691373E-3</v>
      </c>
      <c r="W59" s="4"/>
      <c r="X59" s="4">
        <f t="shared" ref="X59:X60" si="58">+P59-T59</f>
        <v>3897.13</v>
      </c>
      <c r="Y59" s="4"/>
      <c r="Z59" s="12">
        <f t="shared" ref="Z59:Z60" si="59">IF(T59=0,0,X59/T59)</f>
        <v>3.4789591144438492</v>
      </c>
    </row>
    <row r="60" spans="1:26" s="24" customFormat="1" hidden="1" outlineLevel="1" x14ac:dyDescent="0.3">
      <c r="A60" s="44"/>
      <c r="B60" s="11" t="str">
        <f>CONCATENATE("          ", "9150", " - ", "MISC. INCOME")</f>
        <v xml:space="preserve">          9150 - MISC. INCOME</v>
      </c>
      <c r="C60" s="11"/>
      <c r="D60" s="2">
        <f>--620.46</f>
        <v>620.46</v>
      </c>
      <c r="E60" s="2"/>
      <c r="F60" s="19">
        <f t="shared" si="52"/>
        <v>3.8307093906278941E-2</v>
      </c>
      <c r="G60" s="2"/>
      <c r="H60" s="2">
        <f>--145.04</f>
        <v>145.04</v>
      </c>
      <c r="I60" s="2"/>
      <c r="J60" s="19">
        <f t="shared" si="53"/>
        <v>2.7447863441959048E-3</v>
      </c>
      <c r="K60" s="2"/>
      <c r="L60" s="2">
        <f t="shared" si="54"/>
        <v>475.42000000000007</v>
      </c>
      <c r="M60" s="2"/>
      <c r="N60" s="19">
        <f t="shared" si="55"/>
        <v>3.277854384997243</v>
      </c>
      <c r="O60" s="11"/>
      <c r="P60" s="2">
        <f>--5017.33</f>
        <v>5017.33</v>
      </c>
      <c r="Q60" s="2"/>
      <c r="R60" s="19">
        <f t="shared" si="56"/>
        <v>1.6474893611432173E-2</v>
      </c>
      <c r="S60" s="2"/>
      <c r="T60" s="2">
        <f>--1120.2</f>
        <v>1120.2</v>
      </c>
      <c r="U60" s="2"/>
      <c r="V60" s="19">
        <f t="shared" si="57"/>
        <v>3.4740593027691373E-3</v>
      </c>
      <c r="W60" s="2"/>
      <c r="X60" s="2">
        <f t="shared" si="58"/>
        <v>3897.13</v>
      </c>
      <c r="Y60" s="2"/>
      <c r="Z60" s="19">
        <f t="shared" si="59"/>
        <v>3.4789591144438492</v>
      </c>
    </row>
    <row r="61" spans="1:26" x14ac:dyDescent="0.3">
      <c r="A61" s="9"/>
      <c r="B61" s="10"/>
      <c r="C61" s="10"/>
      <c r="D61" s="3"/>
      <c r="E61" s="3"/>
      <c r="F61" s="8"/>
      <c r="G61" s="3"/>
      <c r="H61" s="3"/>
      <c r="I61" s="3"/>
      <c r="J61" s="8"/>
      <c r="K61" s="3"/>
      <c r="L61" s="3"/>
      <c r="M61" s="3"/>
      <c r="N61" s="8"/>
      <c r="O61" s="10"/>
      <c r="P61" s="3"/>
      <c r="Q61" s="3"/>
      <c r="R61" s="8"/>
      <c r="S61" s="3"/>
      <c r="T61" s="3"/>
      <c r="U61" s="3"/>
      <c r="V61" s="8"/>
      <c r="W61" s="3"/>
      <c r="X61" s="3"/>
      <c r="Y61" s="3"/>
      <c r="Z61" s="8"/>
    </row>
    <row r="62" spans="1:26" s="23" customFormat="1" x14ac:dyDescent="0.3">
      <c r="A62" s="10"/>
      <c r="B62" s="25" t="s">
        <v>276</v>
      </c>
      <c r="C62" s="25"/>
      <c r="D62" s="21">
        <f>+D17-D19+D59</f>
        <v>0.33000000000265572</v>
      </c>
      <c r="E62" s="13"/>
      <c r="F62" s="22">
        <f>IF(D$12=0,0,D62/D$12)</f>
        <v>2.0374143360045425E-5</v>
      </c>
      <c r="G62" s="13"/>
      <c r="H62" s="21">
        <f>+H17-H19+H59</f>
        <v>36534.249999999993</v>
      </c>
      <c r="I62" s="13"/>
      <c r="J62" s="22">
        <f>IF(H$12=0,0,H62/H$12)</f>
        <v>0.69138658642746287</v>
      </c>
      <c r="K62" s="16"/>
      <c r="L62" s="21">
        <f>+D62-H62</f>
        <v>-36533.919999999991</v>
      </c>
      <c r="M62" s="16"/>
      <c r="N62" s="22">
        <f>IF(H62=0,0,L62/H62)</f>
        <v>-0.99999096737992432</v>
      </c>
      <c r="O62" s="26"/>
      <c r="P62" s="21">
        <f>+P17-P19+P59</f>
        <v>66859.349999999991</v>
      </c>
      <c r="Q62" s="13"/>
      <c r="R62" s="22">
        <f>IF(P$12=0,0,P62/P$12)</f>
        <v>0.21953921272459806</v>
      </c>
      <c r="S62" s="13"/>
      <c r="T62" s="21">
        <f>+T17-T19+T59</f>
        <v>58402.430000000037</v>
      </c>
      <c r="U62" s="13"/>
      <c r="V62" s="22">
        <f>IF(T$12=0,0,T62/T$12)</f>
        <v>0.18112257208161353</v>
      </c>
      <c r="W62" s="16"/>
      <c r="X62" s="21">
        <f>+P62-T62</f>
        <v>8456.9199999999546</v>
      </c>
      <c r="Y62" s="16"/>
      <c r="Z62" s="22">
        <f>IF(T62=0,0,X62/T62)</f>
        <v>0.14480424872732092</v>
      </c>
    </row>
    <row r="63" spans="1:26" x14ac:dyDescent="0.3">
      <c r="A63" s="9"/>
      <c r="B63" s="10"/>
      <c r="C63" s="9"/>
      <c r="D63" s="3"/>
      <c r="E63" s="3"/>
      <c r="F63" s="8"/>
      <c r="G63" s="3"/>
      <c r="H63" s="3"/>
      <c r="I63" s="3"/>
      <c r="J63" s="8"/>
      <c r="K63" s="3"/>
      <c r="L63" s="3"/>
      <c r="M63" s="3"/>
      <c r="N63" s="8"/>
      <c r="P63" s="3"/>
      <c r="Q63" s="3"/>
      <c r="R63" s="8"/>
      <c r="S63" s="3"/>
      <c r="T63" s="3"/>
      <c r="U63" s="3"/>
      <c r="V63" s="8"/>
      <c r="W63" s="3"/>
      <c r="X63" s="3"/>
      <c r="Y63" s="3"/>
      <c r="Z63" s="8"/>
    </row>
    <row r="64" spans="1:26" s="23" customFormat="1" x14ac:dyDescent="0.3">
      <c r="A64" s="51"/>
      <c r="B64" s="10" t="s">
        <v>127</v>
      </c>
      <c r="C64" s="10"/>
      <c r="D64" s="4">
        <v>2944.24</v>
      </c>
      <c r="E64" s="4"/>
      <c r="F64" s="12">
        <f>IF(D$12=0,0,D64/D$12)</f>
        <v>0.1817768722602951</v>
      </c>
      <c r="G64" s="4"/>
      <c r="H64" s="4">
        <v>-7165.41</v>
      </c>
      <c r="I64" s="4"/>
      <c r="J64" s="12">
        <f>IF(H$12=0,0,H64/H$12)</f>
        <v>-0.13560065856704895</v>
      </c>
      <c r="K64" s="4"/>
      <c r="L64" s="4">
        <f>+D64-H64</f>
        <v>10109.65</v>
      </c>
      <c r="M64" s="4"/>
      <c r="N64" s="12">
        <f>IF(H64=0,0,L64/H64)</f>
        <v>-1.4108962362237472</v>
      </c>
      <c r="O64" s="10"/>
      <c r="P64" s="4">
        <v>36274.769999999997</v>
      </c>
      <c r="Q64" s="4"/>
      <c r="R64" s="12">
        <f>IF(P$12=0,0,P64/P$12)</f>
        <v>0.1191117539665861</v>
      </c>
      <c r="S64" s="4"/>
      <c r="T64" s="4">
        <v>51236.84</v>
      </c>
      <c r="U64" s="4"/>
      <c r="V64" s="12">
        <f>IF(T$12=0,0,T64/T$12)</f>
        <v>0.15890003628503288</v>
      </c>
      <c r="W64" s="4"/>
      <c r="X64" s="4">
        <f>+P64-T64</f>
        <v>-14962.07</v>
      </c>
      <c r="Y64" s="4"/>
      <c r="Z64" s="12">
        <f>IF(T64=0,0,X64/T64)</f>
        <v>-0.29201781374495384</v>
      </c>
    </row>
    <row r="65" spans="1:26" x14ac:dyDescent="0.3">
      <c r="A65" s="9"/>
      <c r="B65" s="10"/>
      <c r="C65" s="10"/>
      <c r="D65" s="3"/>
      <c r="E65" s="3"/>
      <c r="F65" s="8"/>
      <c r="G65" s="3"/>
      <c r="H65" s="3"/>
      <c r="I65" s="3"/>
      <c r="J65" s="8"/>
      <c r="K65" s="3"/>
      <c r="L65" s="3"/>
      <c r="M65" s="3"/>
      <c r="N65" s="8"/>
      <c r="O65" s="10"/>
      <c r="P65" s="3"/>
      <c r="Q65" s="3"/>
      <c r="R65" s="8"/>
      <c r="S65" s="3"/>
      <c r="T65" s="3"/>
      <c r="U65" s="3"/>
      <c r="V65" s="8"/>
      <c r="W65" s="3"/>
      <c r="X65" s="3"/>
      <c r="Y65" s="3"/>
      <c r="Z65" s="8"/>
    </row>
    <row r="66" spans="1:26" s="23" customFormat="1" ht="15" thickBot="1" x14ac:dyDescent="0.35">
      <c r="A66" s="10"/>
      <c r="B66" s="25" t="s">
        <v>125</v>
      </c>
      <c r="C66" s="25"/>
      <c r="D66" s="35">
        <f>+D62-D64</f>
        <v>-2943.9099999999971</v>
      </c>
      <c r="E66" s="13"/>
      <c r="F66" s="31">
        <f>IF(D$12=0,0,D66/D$12)</f>
        <v>-0.18175649811693506</v>
      </c>
      <c r="G66" s="13"/>
      <c r="H66" s="35">
        <f>+H62-H64</f>
        <v>43699.659999999989</v>
      </c>
      <c r="I66" s="13"/>
      <c r="J66" s="31">
        <f>IF(H$12=0,0,H66/H$12)</f>
        <v>0.82698724499451171</v>
      </c>
      <c r="K66" s="16"/>
      <c r="L66" s="35">
        <f>D66-H66</f>
        <v>-46643.569999999985</v>
      </c>
      <c r="M66" s="16"/>
      <c r="N66" s="31">
        <f>IF(H66=0,0,L66/H66)</f>
        <v>-1.0673668856920167</v>
      </c>
      <c r="O66" s="26"/>
      <c r="P66" s="35">
        <f>+P62-P64</f>
        <v>30584.579999999994</v>
      </c>
      <c r="Q66" s="13"/>
      <c r="R66" s="31">
        <f>IF(P$12=0,0,P66/P$12)</f>
        <v>0.10042745875801196</v>
      </c>
      <c r="S66" s="13"/>
      <c r="T66" s="35">
        <f>+T62-T64</f>
        <v>7165.5900000000402</v>
      </c>
      <c r="U66" s="13"/>
      <c r="V66" s="31">
        <f>IF(T$12=0,0,T66/T$12)</f>
        <v>2.2222535796580647E-2</v>
      </c>
      <c r="W66" s="16"/>
      <c r="X66" s="35">
        <f>P66-T66</f>
        <v>23418.989999999954</v>
      </c>
      <c r="Y66" s="16"/>
      <c r="Z66" s="31">
        <f>IF(T66=0,0,X66/T66)</f>
        <v>3.2682570451281503</v>
      </c>
    </row>
    <row r="67" spans="1:26" ht="15" thickTop="1" x14ac:dyDescent="0.3">
      <c r="A67" s="9"/>
      <c r="B67" s="9"/>
      <c r="C67" s="9"/>
      <c r="D67" s="3"/>
      <c r="E67" s="3"/>
      <c r="F67" s="8"/>
      <c r="G67" s="3"/>
      <c r="H67" s="3"/>
      <c r="I67" s="3"/>
      <c r="J67" s="8"/>
      <c r="K67" s="3"/>
      <c r="L67" s="3"/>
      <c r="M67" s="3"/>
      <c r="N67" s="8"/>
      <c r="P67" s="3"/>
      <c r="Q67" s="3"/>
      <c r="R67" s="8"/>
      <c r="S67" s="3"/>
      <c r="T67" s="3"/>
      <c r="U67" s="3"/>
      <c r="V67" s="8"/>
      <c r="W67" s="3"/>
      <c r="X67" s="3"/>
      <c r="Y67" s="3"/>
      <c r="Z67" s="8"/>
    </row>
    <row r="68" spans="1:26" x14ac:dyDescent="0.3">
      <c r="A68" s="9"/>
      <c r="B68" s="9"/>
      <c r="C68" s="9"/>
      <c r="D68" s="3"/>
      <c r="E68" s="3"/>
      <c r="F68" s="8"/>
      <c r="G68" s="3"/>
      <c r="H68" s="3"/>
      <c r="I68" s="3"/>
      <c r="J68" s="8"/>
      <c r="K68" s="3"/>
      <c r="L68" s="3"/>
      <c r="M68" s="3"/>
      <c r="N68" s="8"/>
      <c r="P68" s="3"/>
      <c r="Q68" s="3"/>
      <c r="R68" s="8"/>
      <c r="S68" s="3"/>
      <c r="T68" s="3"/>
      <c r="U68" s="3"/>
      <c r="V68" s="8"/>
      <c r="W68" s="3"/>
      <c r="X68" s="3"/>
      <c r="Y68" s="3"/>
      <c r="Z68" s="8"/>
    </row>
    <row r="69" spans="1:26" s="23" customFormat="1" ht="15" thickBot="1" x14ac:dyDescent="0.35">
      <c r="A69" s="10"/>
      <c r="B69" s="25" t="s">
        <v>293</v>
      </c>
      <c r="C69" s="25"/>
      <c r="D69" s="36">
        <f>SUM(D66:D68)</f>
        <v>-2943.9099999999971</v>
      </c>
      <c r="E69" s="13"/>
      <c r="F69" s="33">
        <f>IF(D$12=0,0,D69/D$12)</f>
        <v>-0.18175649811693506</v>
      </c>
      <c r="G69" s="13"/>
      <c r="H69" s="36">
        <f>SUM(H66:H68)</f>
        <v>43699.659999999989</v>
      </c>
      <c r="I69" s="13"/>
      <c r="J69" s="33">
        <f>IF(H$12=0,0,H69/H$12)</f>
        <v>0.82698724499451171</v>
      </c>
      <c r="K69" s="16"/>
      <c r="L69" s="36">
        <f>+D69-H69</f>
        <v>-46643.569999999985</v>
      </c>
      <c r="M69" s="16"/>
      <c r="N69" s="33">
        <f>IF(H69=0,0,L69/H69)</f>
        <v>-1.0673668856920167</v>
      </c>
      <c r="O69" s="26"/>
      <c r="P69" s="36">
        <f>SUM(P66:P68)</f>
        <v>30584.579999999994</v>
      </c>
      <c r="Q69" s="13"/>
      <c r="R69" s="33">
        <f>IF(P$12=0,0,P69/P$12)</f>
        <v>0.10042745875801196</v>
      </c>
      <c r="S69" s="13"/>
      <c r="T69" s="36">
        <f>SUM(T66:T68)</f>
        <v>7165.5900000000402</v>
      </c>
      <c r="U69" s="13"/>
      <c r="V69" s="33">
        <f>IF(T$12=0,0,T69/T$12)</f>
        <v>2.2222535796580647E-2</v>
      </c>
      <c r="W69" s="16"/>
      <c r="X69" s="36">
        <f>+P69-T69</f>
        <v>23418.989999999954</v>
      </c>
      <c r="Y69" s="16"/>
      <c r="Z69" s="33">
        <f>IF(T69=0,0,X69/T69)</f>
        <v>3.2682570451281503</v>
      </c>
    </row>
    <row r="70" spans="1:26" ht="15" thickTop="1" x14ac:dyDescent="0.3">
      <c r="A70" s="9"/>
      <c r="C70" s="9"/>
      <c r="D70" s="17"/>
      <c r="E70" s="17"/>
      <c r="G70" s="17"/>
      <c r="H70" s="17"/>
      <c r="I70" s="17"/>
      <c r="J70" s="42"/>
      <c r="K70" s="17"/>
      <c r="L70" s="17"/>
      <c r="M70" s="17"/>
      <c r="P70" s="17"/>
      <c r="Q70" s="17"/>
      <c r="R70" s="42"/>
      <c r="S70" s="17"/>
      <c r="T70" s="17"/>
      <c r="U70" s="17"/>
      <c r="V70" s="42"/>
      <c r="W70" s="17"/>
      <c r="X70" s="17"/>
    </row>
    <row r="71" spans="1:26" x14ac:dyDescent="0.3">
      <c r="A71" s="9"/>
      <c r="B71" s="52">
        <v>44543.765594675926</v>
      </c>
      <c r="D71" s="17"/>
      <c r="E71" s="17"/>
      <c r="G71" s="17"/>
      <c r="H71" s="17"/>
      <c r="I71" s="17"/>
      <c r="J71" s="42"/>
      <c r="K71" s="17"/>
      <c r="L71" s="17"/>
      <c r="M71" s="17"/>
      <c r="P71" s="17"/>
      <c r="Q71" s="17"/>
      <c r="R71" s="42"/>
      <c r="S71" s="17"/>
      <c r="T71" s="17"/>
      <c r="U71" s="17"/>
      <c r="V71" s="42"/>
      <c r="W71" s="17"/>
      <c r="X71" s="17"/>
    </row>
    <row r="72" spans="1:26" x14ac:dyDescent="0.3">
      <c r="A72" s="9"/>
      <c r="B72" s="59" t="s">
        <v>56</v>
      </c>
      <c r="D72" s="17"/>
      <c r="E72" s="17"/>
      <c r="G72" s="17"/>
      <c r="H72" s="17"/>
      <c r="I72" s="17"/>
      <c r="J72" s="42"/>
      <c r="K72" s="17"/>
      <c r="L72" s="17"/>
      <c r="M72" s="17"/>
      <c r="P72" s="17"/>
      <c r="Q72" s="17"/>
      <c r="R72" s="42"/>
      <c r="S72" s="17"/>
      <c r="T72" s="17"/>
      <c r="U72" s="17"/>
      <c r="V72" s="42"/>
      <c r="W72" s="17"/>
      <c r="X72" s="17"/>
    </row>
    <row r="73" spans="1:26" x14ac:dyDescent="0.3">
      <c r="A73" s="9"/>
      <c r="B73" s="61"/>
      <c r="D73" s="17"/>
      <c r="E73" s="17"/>
      <c r="G73" s="17"/>
      <c r="H73" s="17"/>
      <c r="I73" s="17"/>
      <c r="J73" s="42"/>
      <c r="K73" s="17"/>
      <c r="L73" s="17"/>
      <c r="M73" s="17"/>
      <c r="P73" s="17"/>
      <c r="Q73" s="17"/>
      <c r="R73" s="42"/>
      <c r="S73" s="17"/>
      <c r="T73" s="17"/>
      <c r="U73" s="17"/>
      <c r="V73" s="42"/>
      <c r="W73" s="17"/>
      <c r="X73" s="17"/>
    </row>
    <row r="74" spans="1:26" x14ac:dyDescent="0.3">
      <c r="D74" s="17"/>
      <c r="E74" s="17"/>
      <c r="G74" s="17"/>
      <c r="H74" s="17"/>
      <c r="I74" s="17"/>
      <c r="J74" s="42"/>
      <c r="K74" s="17"/>
      <c r="L74" s="17"/>
      <c r="M74" s="17"/>
      <c r="P74" s="17"/>
      <c r="Q74" s="17"/>
      <c r="R74" s="42"/>
      <c r="S74" s="17"/>
      <c r="T74" s="17"/>
      <c r="U74" s="17"/>
      <c r="V74" s="42"/>
      <c r="W74" s="17"/>
      <c r="X74" s="17"/>
    </row>
  </sheetData>
  <pageMargins left="0.25" right="0.25" top="0.75" bottom="0.75" header="0.3" footer="0.3"/>
  <pageSetup scale="55" fitToWidth="2" orientation="landscape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92D050"/>
    <outlinePr summaryBelow="0" summaryRight="0"/>
  </sheetPr>
  <dimension ref="A2:Z41"/>
  <sheetViews>
    <sheetView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4" outlineLevelRow="2" outlineLevelCol="1" x14ac:dyDescent="0.3"/>
  <cols>
    <col min="1" max="1" width="1.88671875" customWidth="1"/>
    <col min="2" max="2" width="33.44140625" bestFit="1" customWidth="1"/>
    <col min="3" max="3" width="1.88671875" customWidth="1"/>
    <col min="4" max="4" width="15" customWidth="1"/>
    <col min="5" max="5" width="1.88671875" customWidth="1" outlineLevel="1"/>
    <col min="6" max="6" width="15" style="46" customWidth="1" outlineLevel="1"/>
    <col min="7" max="7" width="1.88671875" customWidth="1" outlineLevel="1"/>
    <col min="8" max="8" width="15" customWidth="1" outlineLevel="1"/>
    <col min="9" max="9" width="1.88671875" customWidth="1" outlineLevel="1"/>
    <col min="10" max="10" width="15" style="38" customWidth="1" outlineLevel="1"/>
    <col min="11" max="11" width="1.88671875" customWidth="1" outlineLevel="1"/>
    <col min="12" max="12" width="15" customWidth="1" outlineLevel="1"/>
    <col min="13" max="13" width="1.88671875" customWidth="1" outlineLevel="1"/>
    <col min="14" max="14" width="15" style="46" customWidth="1" outlineLevel="1"/>
    <col min="15" max="15" width="1.88671875" style="9" customWidth="1"/>
    <col min="16" max="16" width="15" customWidth="1"/>
    <col min="17" max="17" width="1.88671875" customWidth="1" outlineLevel="1"/>
    <col min="18" max="18" width="15" style="38" customWidth="1" outlineLevel="1"/>
    <col min="19" max="19" width="1.88671875" customWidth="1" outlineLevel="1"/>
    <col min="20" max="20" width="15" customWidth="1" outlineLevel="1"/>
    <col min="21" max="21" width="1.88671875" customWidth="1" outlineLevel="1"/>
    <col min="22" max="22" width="15" style="38" customWidth="1" outlineLevel="1"/>
    <col min="23" max="23" width="1.88671875" customWidth="1" outlineLevel="1"/>
    <col min="24" max="24" width="15" customWidth="1" outlineLevel="1"/>
    <col min="25" max="25" width="1.88671875" customWidth="1" outlineLevel="1"/>
    <col min="26" max="26" width="15" style="38" customWidth="1" outlineLevel="1"/>
  </cols>
  <sheetData>
    <row r="2" spans="1:26" x14ac:dyDescent="0.3">
      <c r="D2" s="57" t="s">
        <v>23</v>
      </c>
    </row>
    <row r="3" spans="1:26" x14ac:dyDescent="0.3">
      <c r="D3" s="57" t="s">
        <v>236</v>
      </c>
      <c r="E3" s="18"/>
      <c r="F3" s="48"/>
      <c r="G3" s="18"/>
      <c r="H3" s="18"/>
      <c r="I3" s="18"/>
      <c r="J3" s="39"/>
      <c r="K3" s="18"/>
      <c r="L3" s="18"/>
      <c r="M3" s="18"/>
      <c r="N3" s="48"/>
      <c r="O3" s="60"/>
      <c r="P3" s="18"/>
      <c r="Q3" s="18"/>
      <c r="R3" s="39"/>
      <c r="S3" s="18"/>
      <c r="T3" s="18"/>
      <c r="U3" s="18"/>
      <c r="V3" s="39"/>
      <c r="W3" s="18"/>
      <c r="X3" s="18"/>
      <c r="Y3" s="18"/>
      <c r="Z3" s="39"/>
    </row>
    <row r="4" spans="1:26" x14ac:dyDescent="0.3">
      <c r="D4" s="57" t="e">
        <f ca="1">CONCATENATE("Period ",RIGHT(_xll.OneStop.ReportPlayer.OSRFunctions.OSRGet("Period","PeriodId"),2),", ",_xll.OneStop.ReportPlayer.OSRFunctions.OSRGet("Period","Year"))</f>
        <v>#NAME?</v>
      </c>
      <c r="E4" s="18"/>
      <c r="F4" s="48"/>
      <c r="G4" s="18"/>
      <c r="H4" s="18"/>
      <c r="I4" s="18"/>
      <c r="J4" s="39"/>
      <c r="K4" s="18"/>
      <c r="L4" s="18"/>
      <c r="M4" s="18"/>
      <c r="N4" s="48"/>
      <c r="O4" s="60"/>
      <c r="P4" s="18"/>
      <c r="Q4" s="18"/>
      <c r="R4" s="39"/>
      <c r="S4" s="18"/>
      <c r="T4" s="18"/>
      <c r="U4" s="18"/>
      <c r="V4" s="39"/>
      <c r="W4" s="18"/>
      <c r="X4" s="18"/>
      <c r="Y4" s="18"/>
      <c r="Z4" s="39"/>
    </row>
    <row r="5" spans="1:26" x14ac:dyDescent="0.3">
      <c r="A5" s="23"/>
      <c r="D5" s="64" t="e">
        <f ca="1">_xll.OneStop.ReportPlayer.OSRFunctions.OSRGet("Period","PeriodEnd")</f>
        <v>#NAME?</v>
      </c>
      <c r="E5" s="18"/>
      <c r="F5" s="48"/>
      <c r="G5" s="18"/>
      <c r="H5" s="18"/>
      <c r="I5" s="18"/>
      <c r="J5" s="39"/>
      <c r="K5" s="18"/>
      <c r="L5" s="18"/>
      <c r="M5" s="18"/>
      <c r="N5" s="48"/>
      <c r="O5" s="60"/>
      <c r="P5" s="18"/>
      <c r="Q5" s="18"/>
      <c r="R5" s="39"/>
      <c r="S5" s="18"/>
      <c r="T5" s="18"/>
      <c r="U5" s="18"/>
      <c r="V5" s="39"/>
      <c r="W5" s="18"/>
      <c r="X5" s="18"/>
      <c r="Y5" s="18"/>
      <c r="Z5" s="39"/>
    </row>
    <row r="6" spans="1:26" x14ac:dyDescent="0.3">
      <c r="A6" s="23"/>
      <c r="B6" s="49"/>
      <c r="C6" s="49"/>
      <c r="D6" s="23" t="e">
        <f ca="1">CONCATENATE("Department ",_xll.OneStop.ReportPlayer.OSRFunctions.OSRGet("d_dim0","Code"), " - ", _xll.OneStop.ReportPlayer.OSRFunctions.OSRGet("d_dim0","Description"))</f>
        <v>#NAME?</v>
      </c>
      <c r="E6" s="18"/>
      <c r="F6" s="48"/>
      <c r="G6" s="18"/>
      <c r="H6" s="18"/>
      <c r="I6" s="18"/>
      <c r="J6" s="39"/>
      <c r="K6" s="18"/>
      <c r="L6" s="18"/>
      <c r="M6" s="18"/>
      <c r="N6" s="48"/>
      <c r="O6" s="53"/>
      <c r="P6" s="18"/>
      <c r="Q6" s="18"/>
      <c r="R6" s="39"/>
      <c r="S6" s="18"/>
      <c r="T6" s="18"/>
      <c r="U6" s="18"/>
      <c r="V6" s="39"/>
      <c r="W6" s="18"/>
      <c r="X6" s="18"/>
      <c r="Y6" s="18"/>
      <c r="Z6" s="39"/>
    </row>
    <row r="7" spans="1:26" x14ac:dyDescent="0.3">
      <c r="B7" s="55"/>
    </row>
    <row r="8" spans="1:26" x14ac:dyDescent="0.3">
      <c r="B8" s="55"/>
    </row>
    <row r="9" spans="1:26" x14ac:dyDescent="0.3">
      <c r="B9" s="9"/>
      <c r="C9" s="9"/>
      <c r="D9" s="15" t="s">
        <v>291</v>
      </c>
      <c r="E9" s="15"/>
      <c r="F9" s="40"/>
      <c r="G9" s="15"/>
      <c r="H9" s="15"/>
      <c r="I9" s="15"/>
      <c r="J9" s="47"/>
      <c r="K9" s="15"/>
      <c r="L9" s="15"/>
      <c r="M9" s="15"/>
      <c r="N9" s="40"/>
      <c r="P9" s="15" t="s">
        <v>39</v>
      </c>
      <c r="Q9" s="15"/>
      <c r="R9" s="40"/>
      <c r="S9" s="15"/>
      <c r="T9" s="15"/>
      <c r="U9" s="15"/>
      <c r="V9" s="47"/>
      <c r="W9" s="15"/>
      <c r="X9" s="15"/>
      <c r="Y9" s="15"/>
      <c r="Z9" s="40"/>
    </row>
    <row r="10" spans="1:26" x14ac:dyDescent="0.3">
      <c r="A10" s="10"/>
      <c r="B10" s="54"/>
      <c r="C10" s="10"/>
      <c r="D10" s="43" t="s">
        <v>57</v>
      </c>
      <c r="E10" s="30"/>
      <c r="F10" s="34" t="s">
        <v>40</v>
      </c>
      <c r="G10" s="30"/>
      <c r="H10" s="50" t="s">
        <v>237</v>
      </c>
      <c r="I10" s="30"/>
      <c r="J10" s="34" t="s">
        <v>40</v>
      </c>
      <c r="K10" s="10"/>
      <c r="L10" s="43" t="s">
        <v>126</v>
      </c>
      <c r="M10" s="10"/>
      <c r="N10" s="34" t="s">
        <v>257</v>
      </c>
      <c r="O10" s="10"/>
      <c r="P10" s="56" t="s">
        <v>57</v>
      </c>
      <c r="Q10" s="30"/>
      <c r="R10" s="34" t="s">
        <v>40</v>
      </c>
      <c r="S10" s="30"/>
      <c r="T10" s="50" t="s">
        <v>237</v>
      </c>
      <c r="U10" s="30"/>
      <c r="V10" s="34" t="s">
        <v>40</v>
      </c>
      <c r="W10" s="10"/>
      <c r="X10" s="43" t="s">
        <v>126</v>
      </c>
      <c r="Y10" s="10"/>
      <c r="Z10" s="34" t="s">
        <v>257</v>
      </c>
    </row>
    <row r="11" spans="1:26" ht="15.6" x14ac:dyDescent="0.3">
      <c r="A11" s="9"/>
      <c r="B11" s="58"/>
      <c r="C11" s="9"/>
      <c r="D11" s="9"/>
      <c r="E11" s="9"/>
      <c r="F11" s="8"/>
      <c r="G11" s="9"/>
      <c r="H11" s="9"/>
      <c r="I11" s="9"/>
      <c r="J11" s="45"/>
      <c r="K11" s="9"/>
      <c r="L11" s="9"/>
      <c r="M11" s="9"/>
      <c r="N11" s="8"/>
      <c r="P11" s="9"/>
      <c r="Q11" s="9"/>
      <c r="R11" s="8"/>
      <c r="S11" s="9"/>
      <c r="T11" s="9"/>
      <c r="U11" s="9"/>
      <c r="V11" s="45"/>
      <c r="W11" s="9"/>
      <c r="X11" s="9"/>
      <c r="Y11" s="9"/>
      <c r="Z11" s="8"/>
    </row>
    <row r="12" spans="1:26" s="23" customFormat="1" collapsed="1" x14ac:dyDescent="0.3">
      <c r="A12" s="10"/>
      <c r="B12" s="26" t="s">
        <v>139</v>
      </c>
      <c r="C12" s="10"/>
      <c r="D12" s="4" t="e">
        <f ca="1">SUM(_xll.OneStop.ReportPlayer.OSRFunctions.OSRRef(D13))</f>
        <v>#NAME?</v>
      </c>
      <c r="E12" s="4"/>
      <c r="F12" s="12"/>
      <c r="G12" s="4"/>
      <c r="H12" s="4" t="e">
        <f ca="1">SUM(_xll.OneStop.ReportPlayer.OSRFunctions.OSRRef(H13))</f>
        <v>#NAME?</v>
      </c>
      <c r="I12" s="4"/>
      <c r="J12" s="12"/>
      <c r="K12" s="4"/>
      <c r="L12" s="4" t="e">
        <f t="shared" ref="L12:L13" ca="1" si="0">+D12-H12</f>
        <v>#NAME?</v>
      </c>
      <c r="M12" s="4"/>
      <c r="N12" s="12" t="e">
        <f t="shared" ref="N12:N13" ca="1" si="1">IF(H12=0,0,L12/H12)</f>
        <v>#NAME?</v>
      </c>
      <c r="O12" s="10"/>
      <c r="P12" s="4" t="e">
        <f ca="1">SUM(_xll.OneStop.ReportPlayer.OSRFunctions.OSRRef(P13))</f>
        <v>#NAME?</v>
      </c>
      <c r="Q12" s="4"/>
      <c r="R12" s="12"/>
      <c r="S12" s="4"/>
      <c r="T12" s="4" t="e">
        <f ca="1">SUM(_xll.OneStop.ReportPlayer.OSRFunctions.OSRRef(T13))</f>
        <v>#NAME?</v>
      </c>
      <c r="U12" s="4"/>
      <c r="V12" s="12"/>
      <c r="W12" s="4"/>
      <c r="X12" s="4" t="e">
        <f t="shared" ref="X12:X13" ca="1" si="2">+P12-T12</f>
        <v>#NAME?</v>
      </c>
      <c r="Y12" s="4"/>
      <c r="Z12" s="12" t="e">
        <f t="shared" ref="Z12:Z13" ca="1" si="3">IF(T12=0,0,X12/T12)</f>
        <v>#NAME?</v>
      </c>
    </row>
    <row r="13" spans="1:26" s="24" customFormat="1" hidden="1" outlineLevel="1" x14ac:dyDescent="0.3">
      <c r="A13" s="44"/>
      <c r="B13" s="11" t="e">
        <f ca="1">CONCATENATE("          ", _xll.OneStop.ReportPlayer.OSRFunctions.OSRGet("d_Account","Code"), " - ", _xll.OneStop.ReportPlayer.OSRFunctions.OSRGet("d_Account","Description"))</f>
        <v>#NAME?</v>
      </c>
      <c r="C13" s="11"/>
      <c r="D13" s="2" t="e">
        <f ca="1">-_xll.OneStop.ReportPlayer.OSRFunctions.OSRGet("GL_F_Trans","Value1")</f>
        <v>#NAME?</v>
      </c>
      <c r="E13" s="2"/>
      <c r="F13" s="19"/>
      <c r="G13" s="2"/>
      <c r="H13" s="2" t="e">
        <f ca="1">-_xll.OneStop.ReportPlayer.OSRFunctions.OSRGet("GL_F_Trans","Value1")</f>
        <v>#NAME?</v>
      </c>
      <c r="I13" s="2"/>
      <c r="J13" s="19"/>
      <c r="K13" s="2"/>
      <c r="L13" s="2" t="e">
        <f t="shared" ca="1" si="0"/>
        <v>#NAME?</v>
      </c>
      <c r="M13" s="2"/>
      <c r="N13" s="19" t="e">
        <f t="shared" ca="1" si="1"/>
        <v>#NAME?</v>
      </c>
      <c r="O13" s="11"/>
      <c r="P13" s="2" t="e">
        <f ca="1">-_xll.OneStop.ReportPlayer.OSRFunctions.OSRGet("GL_F_Trans","Value1")</f>
        <v>#NAME?</v>
      </c>
      <c r="Q13" s="2"/>
      <c r="R13" s="19"/>
      <c r="S13" s="2"/>
      <c r="T13" s="2" t="e">
        <f ca="1">-_xll.OneStop.ReportPlayer.OSRFunctions.OSRGet("GL_F_Trans","Value1")</f>
        <v>#NAME?</v>
      </c>
      <c r="U13" s="2"/>
      <c r="V13" s="19"/>
      <c r="W13" s="2"/>
      <c r="X13" s="2" t="e">
        <f t="shared" ca="1" si="2"/>
        <v>#NAME?</v>
      </c>
      <c r="Y13" s="2"/>
      <c r="Z13" s="19" t="e">
        <f t="shared" ca="1" si="3"/>
        <v>#NAME?</v>
      </c>
    </row>
    <row r="14" spans="1:26" x14ac:dyDescent="0.3">
      <c r="A14" s="9"/>
      <c r="B14" s="10"/>
      <c r="C14" s="9"/>
      <c r="D14" s="3"/>
      <c r="E14" s="3"/>
      <c r="F14" s="8"/>
      <c r="G14" s="3"/>
      <c r="H14" s="3"/>
      <c r="I14" s="3"/>
      <c r="J14" s="8"/>
      <c r="K14" s="3"/>
      <c r="L14" s="3"/>
      <c r="M14" s="3"/>
      <c r="N14" s="8"/>
      <c r="P14" s="3"/>
      <c r="Q14" s="3"/>
      <c r="R14" s="8"/>
      <c r="S14" s="3"/>
      <c r="T14" s="3"/>
      <c r="U14" s="3"/>
      <c r="V14" s="8"/>
      <c r="W14" s="3"/>
      <c r="X14" s="3"/>
      <c r="Y14" s="3"/>
      <c r="Z14" s="8"/>
    </row>
    <row r="15" spans="1:26" s="23" customFormat="1" collapsed="1" x14ac:dyDescent="0.3">
      <c r="A15" s="10"/>
      <c r="B15" s="26" t="s">
        <v>256</v>
      </c>
      <c r="C15" s="10"/>
      <c r="D15" s="4" t="e">
        <f ca="1">SUM(_xll.OneStop.ReportPlayer.OSRFunctions.OSRRef(D16))</f>
        <v>#NAME?</v>
      </c>
      <c r="E15" s="4"/>
      <c r="F15" s="12" t="e">
        <f t="shared" ref="F15:F16" ca="1" si="4">IF(D$12=0,0,D15/D$12)</f>
        <v>#NAME?</v>
      </c>
      <c r="G15" s="4"/>
      <c r="H15" s="4" t="e">
        <f ca="1">SUM(_xll.OneStop.ReportPlayer.OSRFunctions.OSRRef(H16))</f>
        <v>#NAME?</v>
      </c>
      <c r="I15" s="4"/>
      <c r="J15" s="12" t="e">
        <f t="shared" ref="J15:J16" ca="1" si="5">IF(H$12=0,0,H15/H$12)</f>
        <v>#NAME?</v>
      </c>
      <c r="K15" s="4"/>
      <c r="L15" s="4" t="e">
        <f t="shared" ref="L15:L16" ca="1" si="6">+D15-H15</f>
        <v>#NAME?</v>
      </c>
      <c r="M15" s="4"/>
      <c r="N15" s="12" t="e">
        <f t="shared" ref="N15:N16" ca="1" si="7">IF(H15=0,0,L15/H15)</f>
        <v>#NAME?</v>
      </c>
      <c r="O15" s="10"/>
      <c r="P15" s="4" t="e">
        <f ca="1">SUM(_xll.OneStop.ReportPlayer.OSRFunctions.OSRRef(P16))</f>
        <v>#NAME?</v>
      </c>
      <c r="Q15" s="4"/>
      <c r="R15" s="12" t="e">
        <f t="shared" ref="R15:R16" ca="1" si="8">IF(P$12=0,0,P15/P$12)</f>
        <v>#NAME?</v>
      </c>
      <c r="S15" s="4"/>
      <c r="T15" s="4" t="e">
        <f ca="1">SUM(_xll.OneStop.ReportPlayer.OSRFunctions.OSRRef(T16))</f>
        <v>#NAME?</v>
      </c>
      <c r="U15" s="4"/>
      <c r="V15" s="12" t="e">
        <f t="shared" ref="V15:V16" ca="1" si="9">IF(T$12=0,0,T15/T$12)</f>
        <v>#NAME?</v>
      </c>
      <c r="W15" s="4"/>
      <c r="X15" s="4" t="e">
        <f t="shared" ref="X15:X16" ca="1" si="10">+P15-T15</f>
        <v>#NAME?</v>
      </c>
      <c r="Y15" s="4"/>
      <c r="Z15" s="12" t="e">
        <f t="shared" ref="Z15:Z16" ca="1" si="11">IF(T15=0,0,X15/T15)</f>
        <v>#NAME?</v>
      </c>
    </row>
    <row r="16" spans="1:26" s="24" customFormat="1" hidden="1" outlineLevel="1" x14ac:dyDescent="0.3">
      <c r="A16" s="44"/>
      <c r="B16" s="11" t="e">
        <f ca="1">CONCATENATE("          ", _xll.OneStop.ReportPlayer.OSRFunctions.OSRGet("d_Account","Code"), " - ", _xll.OneStop.ReportPlayer.OSRFunctions.OSRGet("d_Account","Description"))</f>
        <v>#NAME?</v>
      </c>
      <c r="C16" s="11"/>
      <c r="D16" s="2" t="e">
        <f ca="1">_xll.OneStop.ReportPlayer.OSRFunctions.OSRGet("GL_F_Trans","Value1")</f>
        <v>#NAME?</v>
      </c>
      <c r="E16" s="2"/>
      <c r="F16" s="19" t="e">
        <f t="shared" ca="1" si="4"/>
        <v>#NAME?</v>
      </c>
      <c r="G16" s="2"/>
      <c r="H16" s="2" t="e">
        <f ca="1">_xll.OneStop.ReportPlayer.OSRFunctions.OSRGet("GL_F_Trans","Value1")</f>
        <v>#NAME?</v>
      </c>
      <c r="I16" s="2"/>
      <c r="J16" s="19" t="e">
        <f t="shared" ca="1" si="5"/>
        <v>#NAME?</v>
      </c>
      <c r="K16" s="2"/>
      <c r="L16" s="2" t="e">
        <f t="shared" ca="1" si="6"/>
        <v>#NAME?</v>
      </c>
      <c r="M16" s="2"/>
      <c r="N16" s="19" t="e">
        <f t="shared" ca="1" si="7"/>
        <v>#NAME?</v>
      </c>
      <c r="O16" s="11"/>
      <c r="P16" s="2" t="e">
        <f ca="1">_xll.OneStop.ReportPlayer.OSRFunctions.OSRGet("GL_F_Trans","Value1")</f>
        <v>#NAME?</v>
      </c>
      <c r="Q16" s="2"/>
      <c r="R16" s="19" t="e">
        <f t="shared" ca="1" si="8"/>
        <v>#NAME?</v>
      </c>
      <c r="S16" s="2"/>
      <c r="T16" s="2" t="e">
        <f ca="1">_xll.OneStop.ReportPlayer.OSRFunctions.OSRGet("GL_F_Trans","Value1")</f>
        <v>#NAME?</v>
      </c>
      <c r="U16" s="2"/>
      <c r="V16" s="19" t="e">
        <f t="shared" ca="1" si="9"/>
        <v>#NAME?</v>
      </c>
      <c r="W16" s="2"/>
      <c r="X16" s="2" t="e">
        <f t="shared" ca="1" si="10"/>
        <v>#NAME?</v>
      </c>
      <c r="Y16" s="2"/>
      <c r="Z16" s="19" t="e">
        <f t="shared" ca="1" si="11"/>
        <v>#NAME?</v>
      </c>
    </row>
    <row r="17" spans="1:26" x14ac:dyDescent="0.3">
      <c r="A17" s="9"/>
      <c r="B17" s="10"/>
      <c r="C17" s="10"/>
      <c r="D17" s="3"/>
      <c r="E17" s="3"/>
      <c r="F17" s="8"/>
      <c r="G17" s="3"/>
      <c r="H17" s="3"/>
      <c r="I17" s="3"/>
      <c r="J17" s="8"/>
      <c r="K17" s="3"/>
      <c r="L17" s="3"/>
      <c r="M17" s="3"/>
      <c r="N17" s="8"/>
      <c r="O17" s="10"/>
      <c r="P17" s="3"/>
      <c r="Q17" s="3"/>
      <c r="R17" s="8"/>
      <c r="S17" s="3"/>
      <c r="T17" s="3"/>
      <c r="U17" s="3"/>
      <c r="V17" s="8"/>
      <c r="W17" s="3"/>
      <c r="X17" s="3"/>
      <c r="Y17" s="3"/>
      <c r="Z17" s="8"/>
    </row>
    <row r="18" spans="1:26" s="23" customFormat="1" x14ac:dyDescent="0.3">
      <c r="A18" s="10"/>
      <c r="B18" s="25" t="s">
        <v>107</v>
      </c>
      <c r="C18" s="25"/>
      <c r="D18" s="21" t="e">
        <f ca="1">D12-D15</f>
        <v>#NAME?</v>
      </c>
      <c r="E18" s="13"/>
      <c r="F18" s="22" t="e">
        <f ca="1">IF(D$12=0,0,D18/D$12)</f>
        <v>#NAME?</v>
      </c>
      <c r="G18" s="13"/>
      <c r="H18" s="21" t="e">
        <f ca="1">H12-H15</f>
        <v>#NAME?</v>
      </c>
      <c r="I18" s="13"/>
      <c r="J18" s="22" t="e">
        <f ca="1">IF(H$12=0,0,H18/H$12)</f>
        <v>#NAME?</v>
      </c>
      <c r="K18" s="16"/>
      <c r="L18" s="21" t="e">
        <f ca="1">+D18-H18</f>
        <v>#NAME?</v>
      </c>
      <c r="M18" s="16"/>
      <c r="N18" s="22" t="e">
        <f ca="1">IF(H18=0,0,L18/H18)</f>
        <v>#NAME?</v>
      </c>
      <c r="O18" s="26"/>
      <c r="P18" s="21" t="e">
        <f ca="1">P12-P15</f>
        <v>#NAME?</v>
      </c>
      <c r="Q18" s="13"/>
      <c r="R18" s="22" t="e">
        <f ca="1">IF(P$12=0,0,P18/P$12)</f>
        <v>#NAME?</v>
      </c>
      <c r="S18" s="13"/>
      <c r="T18" s="21" t="e">
        <f ca="1">T12-T15</f>
        <v>#NAME?</v>
      </c>
      <c r="U18" s="13"/>
      <c r="V18" s="22" t="e">
        <f ca="1">IF(T$12=0,0,T18/T$12)</f>
        <v>#NAME?</v>
      </c>
      <c r="W18" s="16"/>
      <c r="X18" s="21" t="e">
        <f ca="1">+P18-T18</f>
        <v>#NAME?</v>
      </c>
      <c r="Y18" s="16"/>
      <c r="Z18" s="22" t="e">
        <f ca="1">IF(T18=0,0,X18/T18)</f>
        <v>#NAME?</v>
      </c>
    </row>
    <row r="19" spans="1:26" x14ac:dyDescent="0.3">
      <c r="A19" s="9"/>
      <c r="B19" s="10"/>
      <c r="C19" s="9"/>
      <c r="D19" s="1"/>
      <c r="E19" s="1"/>
      <c r="F19" s="5"/>
      <c r="G19" s="1"/>
      <c r="H19" s="1"/>
      <c r="I19" s="1"/>
      <c r="J19" s="5"/>
      <c r="K19" s="1"/>
      <c r="L19" s="1"/>
      <c r="M19" s="1"/>
      <c r="N19" s="5"/>
      <c r="O19" s="37"/>
      <c r="P19" s="1"/>
      <c r="Q19" s="1"/>
      <c r="R19" s="5"/>
      <c r="S19" s="1"/>
      <c r="T19" s="1"/>
      <c r="U19" s="1"/>
      <c r="V19" s="5"/>
      <c r="W19" s="1"/>
      <c r="X19" s="1"/>
      <c r="Y19" s="1"/>
      <c r="Z19" s="5"/>
    </row>
    <row r="20" spans="1:26" s="23" customFormat="1" x14ac:dyDescent="0.3">
      <c r="A20" s="10"/>
      <c r="B20" s="26" t="s">
        <v>294</v>
      </c>
      <c r="C20" s="10"/>
      <c r="D20" s="20" t="e">
        <f ca="1">SUM(_xll.OneStop.ReportPlayer.OSRFunctions.OSRRef(D22))</f>
        <v>#NAME?</v>
      </c>
      <c r="E20" s="20"/>
      <c r="F20" s="32" t="e">
        <f t="shared" ref="F20:F22" ca="1" si="12">IF(D$12=0,0,D20/D$12)</f>
        <v>#NAME?</v>
      </c>
      <c r="G20" s="20"/>
      <c r="H20" s="20" t="e">
        <f ca="1">SUM(_xll.OneStop.ReportPlayer.OSRFunctions.OSRRef(H22))</f>
        <v>#NAME?</v>
      </c>
      <c r="I20" s="20"/>
      <c r="J20" s="32" t="e">
        <f t="shared" ref="J20:J22" ca="1" si="13">IF(H$12=0,0,H20/H$12)</f>
        <v>#NAME?</v>
      </c>
      <c r="K20" s="4"/>
      <c r="L20" s="20" t="e">
        <f t="shared" ref="L20:L22" ca="1" si="14">+D20-H20</f>
        <v>#NAME?</v>
      </c>
      <c r="M20" s="4"/>
      <c r="N20" s="32" t="e">
        <f t="shared" ref="N20:N22" ca="1" si="15">IF(H20=0,0,L20/H20)</f>
        <v>#NAME?</v>
      </c>
      <c r="O20" s="10"/>
      <c r="P20" s="20" t="e">
        <f ca="1">SUM(_xll.OneStop.ReportPlayer.OSRFunctions.OSRRef(P22))</f>
        <v>#NAME?</v>
      </c>
      <c r="Q20" s="20"/>
      <c r="R20" s="32" t="e">
        <f t="shared" ref="R20:R22" ca="1" si="16">IF(P$12=0,0,P20/P$12)</f>
        <v>#NAME?</v>
      </c>
      <c r="S20" s="20"/>
      <c r="T20" s="20" t="e">
        <f ca="1">SUM(_xll.OneStop.ReportPlayer.OSRFunctions.OSRRef(T22))</f>
        <v>#NAME?</v>
      </c>
      <c r="U20" s="20"/>
      <c r="V20" s="32" t="e">
        <f t="shared" ref="V20:V22" ca="1" si="17">IF(T$12=0,0,T20/T$12)</f>
        <v>#NAME?</v>
      </c>
      <c r="W20" s="4"/>
      <c r="X20" s="20" t="e">
        <f t="shared" ref="X20:X22" ca="1" si="18">+P20-T20</f>
        <v>#NAME?</v>
      </c>
      <c r="Y20" s="4"/>
      <c r="Z20" s="32" t="e">
        <f t="shared" ref="Z20:Z22" ca="1" si="19">IF(T20=0,0,X20/T20)</f>
        <v>#NAME?</v>
      </c>
    </row>
    <row r="21" spans="1:26" s="29" customFormat="1" outlineLevel="1" collapsed="1" x14ac:dyDescent="0.3">
      <c r="A21" s="28"/>
      <c r="B21" s="14" t="e">
        <f ca="1">CONCATENATE("     ",_xll.OneStop.ReportPlayer.OSRFunctions.OSRGet("d_Account","AccountCategory"))</f>
        <v>#NAME?</v>
      </c>
      <c r="C21" s="14"/>
      <c r="D21" s="1" t="e">
        <f ca="1">SUM(_xll.OneStop.ReportPlayer.OSRFunctions.OSRRef(D22))</f>
        <v>#NAME?</v>
      </c>
      <c r="E21" s="1"/>
      <c r="F21" s="5" t="e">
        <f t="shared" ca="1" si="12"/>
        <v>#NAME?</v>
      </c>
      <c r="G21" s="1"/>
      <c r="H21" s="1" t="e">
        <f ca="1">SUM(_xll.OneStop.ReportPlayer.OSRFunctions.OSRRef(H22))</f>
        <v>#NAME?</v>
      </c>
      <c r="I21" s="1"/>
      <c r="J21" s="5" t="e">
        <f t="shared" ca="1" si="13"/>
        <v>#NAME?</v>
      </c>
      <c r="K21" s="1"/>
      <c r="L21" s="1" t="e">
        <f t="shared" ca="1" si="14"/>
        <v>#NAME?</v>
      </c>
      <c r="M21" s="1"/>
      <c r="N21" s="5" t="e">
        <f t="shared" ca="1" si="15"/>
        <v>#NAME?</v>
      </c>
      <c r="O21" s="14"/>
      <c r="P21" s="1" t="e">
        <f ca="1">SUM(_xll.OneStop.ReportPlayer.OSRFunctions.OSRRef(P22))</f>
        <v>#NAME?</v>
      </c>
      <c r="Q21" s="1"/>
      <c r="R21" s="5" t="e">
        <f t="shared" ca="1" si="16"/>
        <v>#NAME?</v>
      </c>
      <c r="S21" s="1"/>
      <c r="T21" s="1" t="e">
        <f ca="1">SUM(_xll.OneStop.ReportPlayer.OSRFunctions.OSRRef(T22))</f>
        <v>#NAME?</v>
      </c>
      <c r="U21" s="1"/>
      <c r="V21" s="5" t="e">
        <f t="shared" ca="1" si="17"/>
        <v>#NAME?</v>
      </c>
      <c r="W21" s="1"/>
      <c r="X21" s="1" t="e">
        <f t="shared" ca="1" si="18"/>
        <v>#NAME?</v>
      </c>
      <c r="Y21" s="1"/>
      <c r="Z21" s="5" t="e">
        <f t="shared" ca="1" si="19"/>
        <v>#NAME?</v>
      </c>
    </row>
    <row r="22" spans="1:26" s="24" customFormat="1" hidden="1" outlineLevel="2" x14ac:dyDescent="0.3">
      <c r="A22" s="27"/>
      <c r="B22" s="11" t="e">
        <f ca="1">CONCATENATE("          ", _xll.OneStop.ReportPlayer.OSRFunctions.OSRGet("d_Account","Code"), " - ", _xll.OneStop.ReportPlayer.OSRFunctions.OSRGet("d_Account","Description"))</f>
        <v>#NAME?</v>
      </c>
      <c r="C22" s="11"/>
      <c r="D22" s="6" t="e">
        <f ca="1">_xll.OneStop.ReportPlayer.OSRFunctions.OSRGet("GL_F_Trans","Value1")</f>
        <v>#NAME?</v>
      </c>
      <c r="E22" s="2"/>
      <c r="F22" s="7" t="e">
        <f t="shared" ca="1" si="12"/>
        <v>#NAME?</v>
      </c>
      <c r="G22" s="2"/>
      <c r="H22" s="6" t="e">
        <f ca="1">_xll.OneStop.ReportPlayer.OSRFunctions.OSRGet("GL_F_Trans","Value1")</f>
        <v>#NAME?</v>
      </c>
      <c r="I22" s="2"/>
      <c r="J22" s="7" t="e">
        <f t="shared" ca="1" si="13"/>
        <v>#NAME?</v>
      </c>
      <c r="K22" s="2"/>
      <c r="L22" s="6" t="e">
        <f t="shared" ca="1" si="14"/>
        <v>#NAME?</v>
      </c>
      <c r="M22" s="2"/>
      <c r="N22" s="7" t="e">
        <f t="shared" ca="1" si="15"/>
        <v>#NAME?</v>
      </c>
      <c r="O22" s="11"/>
      <c r="P22" s="6" t="e">
        <f ca="1">_xll.OneStop.ReportPlayer.OSRFunctions.OSRGet("GL_F_Trans","Value1")</f>
        <v>#NAME?</v>
      </c>
      <c r="Q22" s="2"/>
      <c r="R22" s="7" t="e">
        <f t="shared" ca="1" si="16"/>
        <v>#NAME?</v>
      </c>
      <c r="S22" s="2"/>
      <c r="T22" s="6" t="e">
        <f ca="1">_xll.OneStop.ReportPlayer.OSRFunctions.OSRGet("GL_F_Trans","Value1")</f>
        <v>#NAME?</v>
      </c>
      <c r="U22" s="2"/>
      <c r="V22" s="7" t="e">
        <f t="shared" ca="1" si="17"/>
        <v>#NAME?</v>
      </c>
      <c r="W22" s="2"/>
      <c r="X22" s="6" t="e">
        <f t="shared" ca="1" si="18"/>
        <v>#NAME?</v>
      </c>
      <c r="Y22" s="2"/>
      <c r="Z22" s="7" t="e">
        <f t="shared" ca="1" si="19"/>
        <v>#NAME?</v>
      </c>
    </row>
    <row r="23" spans="1:26" s="62" customFormat="1" x14ac:dyDescent="0.3">
      <c r="A23" s="37"/>
      <c r="B23" s="37"/>
      <c r="C23" s="37"/>
      <c r="D23" s="1"/>
      <c r="E23" s="1"/>
      <c r="F23" s="5"/>
      <c r="G23" s="1"/>
      <c r="H23" s="1"/>
      <c r="I23" s="1"/>
      <c r="J23" s="5"/>
      <c r="K23" s="1"/>
      <c r="L23" s="1"/>
      <c r="M23" s="1"/>
      <c r="N23" s="5"/>
      <c r="O23" s="37"/>
      <c r="P23" s="1"/>
      <c r="Q23" s="1"/>
      <c r="R23" s="5"/>
      <c r="S23" s="1"/>
      <c r="T23" s="1"/>
      <c r="U23" s="1"/>
      <c r="V23" s="5"/>
      <c r="W23" s="1"/>
      <c r="X23" s="1"/>
      <c r="Y23" s="1"/>
      <c r="Z23" s="5"/>
    </row>
    <row r="24" spans="1:26" s="23" customFormat="1" collapsed="1" x14ac:dyDescent="0.3">
      <c r="A24" s="10"/>
      <c r="B24" s="26" t="s">
        <v>292</v>
      </c>
      <c r="C24" s="10"/>
      <c r="D24" s="4" t="e">
        <f ca="1">SUM(_xll.OneStop.ReportPlayer.OSRFunctions.OSRRef(D25))</f>
        <v>#NAME?</v>
      </c>
      <c r="E24" s="4"/>
      <c r="F24" s="12" t="e">
        <f t="shared" ref="F24:F25" ca="1" si="20">IF(D$12=0,0,D24/D$12)</f>
        <v>#NAME?</v>
      </c>
      <c r="G24" s="4"/>
      <c r="H24" s="4" t="e">
        <f ca="1">SUM(_xll.OneStop.ReportPlayer.OSRFunctions.OSRRef(H25))</f>
        <v>#NAME?</v>
      </c>
      <c r="I24" s="4"/>
      <c r="J24" s="12" t="e">
        <f t="shared" ref="J24:J25" ca="1" si="21">IF(H$12=0,0,H24/H$12)</f>
        <v>#NAME?</v>
      </c>
      <c r="K24" s="4"/>
      <c r="L24" s="4" t="e">
        <f t="shared" ref="L24:L25" ca="1" si="22">+D24-H24</f>
        <v>#NAME?</v>
      </c>
      <c r="M24" s="4"/>
      <c r="N24" s="12" t="e">
        <f t="shared" ref="N24:N25" ca="1" si="23">IF(H24=0,0,L24/H24)</f>
        <v>#NAME?</v>
      </c>
      <c r="O24" s="10"/>
      <c r="P24" s="4" t="e">
        <f ca="1">SUM(_xll.OneStop.ReportPlayer.OSRFunctions.OSRRef(P25))</f>
        <v>#NAME?</v>
      </c>
      <c r="Q24" s="4"/>
      <c r="R24" s="12" t="e">
        <f t="shared" ref="R24:R25" ca="1" si="24">IF(P$12=0,0,P24/P$12)</f>
        <v>#NAME?</v>
      </c>
      <c r="S24" s="4"/>
      <c r="T24" s="4" t="e">
        <f ca="1">SUM(_xll.OneStop.ReportPlayer.OSRFunctions.OSRRef(T25))</f>
        <v>#NAME?</v>
      </c>
      <c r="U24" s="4"/>
      <c r="V24" s="12" t="e">
        <f t="shared" ref="V24:V25" ca="1" si="25">IF(T$12=0,0,T24/T$12)</f>
        <v>#NAME?</v>
      </c>
      <c r="W24" s="4"/>
      <c r="X24" s="4" t="e">
        <f t="shared" ref="X24:X25" ca="1" si="26">+P24-T24</f>
        <v>#NAME?</v>
      </c>
      <c r="Y24" s="4"/>
      <c r="Z24" s="12" t="e">
        <f t="shared" ref="Z24:Z25" ca="1" si="27">IF(T24=0,0,X24/T24)</f>
        <v>#NAME?</v>
      </c>
    </row>
    <row r="25" spans="1:26" s="24" customFormat="1" hidden="1" outlineLevel="1" x14ac:dyDescent="0.3">
      <c r="A25" s="44"/>
      <c r="B25" s="11" t="e">
        <f ca="1">CONCATENATE("          ", _xll.OneStop.ReportPlayer.OSRFunctions.OSRGet("d_Account","Code"), " - ", _xll.OneStop.ReportPlayer.OSRFunctions.OSRGet("d_Account","Description"))</f>
        <v>#NAME?</v>
      </c>
      <c r="C25" s="11"/>
      <c r="D25" s="2" t="e">
        <f ca="1">-_xll.OneStop.ReportPlayer.OSRFunctions.OSRGet("GL_F_Trans","Value1")</f>
        <v>#NAME?</v>
      </c>
      <c r="E25" s="2"/>
      <c r="F25" s="19" t="e">
        <f t="shared" ca="1" si="20"/>
        <v>#NAME?</v>
      </c>
      <c r="G25" s="2"/>
      <c r="H25" s="2" t="e">
        <f ca="1">-_xll.OneStop.ReportPlayer.OSRFunctions.OSRGet("GL_F_Trans","Value1")</f>
        <v>#NAME?</v>
      </c>
      <c r="I25" s="2"/>
      <c r="J25" s="19" t="e">
        <f t="shared" ca="1" si="21"/>
        <v>#NAME?</v>
      </c>
      <c r="K25" s="2"/>
      <c r="L25" s="2" t="e">
        <f t="shared" ca="1" si="22"/>
        <v>#NAME?</v>
      </c>
      <c r="M25" s="2"/>
      <c r="N25" s="19" t="e">
        <f t="shared" ca="1" si="23"/>
        <v>#NAME?</v>
      </c>
      <c r="O25" s="11"/>
      <c r="P25" s="2" t="e">
        <f ca="1">-_xll.OneStop.ReportPlayer.OSRFunctions.OSRGet("GL_F_Trans","Value1")</f>
        <v>#NAME?</v>
      </c>
      <c r="Q25" s="2"/>
      <c r="R25" s="19" t="e">
        <f t="shared" ca="1" si="24"/>
        <v>#NAME?</v>
      </c>
      <c r="S25" s="2"/>
      <c r="T25" s="2" t="e">
        <f ca="1">-_xll.OneStop.ReportPlayer.OSRFunctions.OSRGet("GL_F_Trans","Value1")</f>
        <v>#NAME?</v>
      </c>
      <c r="U25" s="2"/>
      <c r="V25" s="19" t="e">
        <f t="shared" ca="1" si="25"/>
        <v>#NAME?</v>
      </c>
      <c r="W25" s="2"/>
      <c r="X25" s="2" t="e">
        <f t="shared" ca="1" si="26"/>
        <v>#NAME?</v>
      </c>
      <c r="Y25" s="2"/>
      <c r="Z25" s="19" t="e">
        <f t="shared" ca="1" si="27"/>
        <v>#NAME?</v>
      </c>
    </row>
    <row r="26" spans="1:26" x14ac:dyDescent="0.3">
      <c r="A26" s="9"/>
      <c r="B26" s="10"/>
      <c r="C26" s="10"/>
      <c r="D26" s="3"/>
      <c r="E26" s="3"/>
      <c r="F26" s="8"/>
      <c r="G26" s="3"/>
      <c r="H26" s="3"/>
      <c r="I26" s="3"/>
      <c r="J26" s="8"/>
      <c r="K26" s="3"/>
      <c r="L26" s="3"/>
      <c r="M26" s="3"/>
      <c r="N26" s="8"/>
      <c r="O26" s="10"/>
      <c r="P26" s="3"/>
      <c r="Q26" s="3"/>
      <c r="R26" s="8"/>
      <c r="S26" s="3"/>
      <c r="T26" s="3"/>
      <c r="U26" s="3"/>
      <c r="V26" s="8"/>
      <c r="W26" s="3"/>
      <c r="X26" s="3"/>
      <c r="Y26" s="3"/>
      <c r="Z26" s="8"/>
    </row>
    <row r="27" spans="1:26" s="23" customFormat="1" x14ac:dyDescent="0.3">
      <c r="A27" s="10"/>
      <c r="B27" s="25" t="s">
        <v>276</v>
      </c>
      <c r="C27" s="25"/>
      <c r="D27" s="21" t="e">
        <f ca="1">+D18-D20+D24</f>
        <v>#NAME?</v>
      </c>
      <c r="E27" s="13"/>
      <c r="F27" s="22" t="e">
        <f ca="1">IF(D$12=0,0,D27/D$12)</f>
        <v>#NAME?</v>
      </c>
      <c r="G27" s="13"/>
      <c r="H27" s="21" t="e">
        <f ca="1">+H18-H20+H24</f>
        <v>#NAME?</v>
      </c>
      <c r="I27" s="13"/>
      <c r="J27" s="22" t="e">
        <f ca="1">IF(H$12=0,0,H27/H$12)</f>
        <v>#NAME?</v>
      </c>
      <c r="K27" s="16"/>
      <c r="L27" s="21" t="e">
        <f ca="1">+D27-H27</f>
        <v>#NAME?</v>
      </c>
      <c r="M27" s="16"/>
      <c r="N27" s="22" t="e">
        <f ca="1">IF(H27=0,0,L27/H27)</f>
        <v>#NAME?</v>
      </c>
      <c r="O27" s="26"/>
      <c r="P27" s="21" t="e">
        <f ca="1">+P18-P20+P24</f>
        <v>#NAME?</v>
      </c>
      <c r="Q27" s="13"/>
      <c r="R27" s="22" t="e">
        <f ca="1">IF(P$12=0,0,P27/P$12)</f>
        <v>#NAME?</v>
      </c>
      <c r="S27" s="13"/>
      <c r="T27" s="21" t="e">
        <f ca="1">+T18-T20+T24</f>
        <v>#NAME?</v>
      </c>
      <c r="U27" s="13"/>
      <c r="V27" s="22" t="e">
        <f ca="1">IF(T$12=0,0,T27/T$12)</f>
        <v>#NAME?</v>
      </c>
      <c r="W27" s="16"/>
      <c r="X27" s="21" t="e">
        <f ca="1">+P27-T27</f>
        <v>#NAME?</v>
      </c>
      <c r="Y27" s="16"/>
      <c r="Z27" s="22" t="e">
        <f ca="1">IF(T27=0,0,X27/T27)</f>
        <v>#NAME?</v>
      </c>
    </row>
    <row r="28" spans="1:26" x14ac:dyDescent="0.3">
      <c r="A28" s="9"/>
      <c r="B28" s="10"/>
      <c r="C28" s="9"/>
      <c r="D28" s="3"/>
      <c r="E28" s="3"/>
      <c r="F28" s="8"/>
      <c r="G28" s="3"/>
      <c r="H28" s="3"/>
      <c r="I28" s="3"/>
      <c r="J28" s="8"/>
      <c r="K28" s="3"/>
      <c r="L28" s="3"/>
      <c r="M28" s="3"/>
      <c r="N28" s="8"/>
      <c r="P28" s="3"/>
      <c r="Q28" s="3"/>
      <c r="R28" s="8"/>
      <c r="S28" s="3"/>
      <c r="T28" s="3"/>
      <c r="U28" s="3"/>
      <c r="V28" s="8"/>
      <c r="W28" s="3"/>
      <c r="X28" s="3"/>
      <c r="Y28" s="3"/>
      <c r="Z28" s="8"/>
    </row>
    <row r="29" spans="1:26" s="23" customFormat="1" x14ac:dyDescent="0.3">
      <c r="A29" s="51"/>
      <c r="B29" s="10" t="s">
        <v>127</v>
      </c>
      <c r="C29" s="10"/>
      <c r="D29" s="4" t="e">
        <f ca="1">_xll.OneStop.ReportPlayer.OSRFunctions.OSRGet("GL_F_Trans","Value1")</f>
        <v>#NAME?</v>
      </c>
      <c r="E29" s="4"/>
      <c r="F29" s="12" t="e">
        <f ca="1">IF(D$12=0,0,D29/D$12)</f>
        <v>#NAME?</v>
      </c>
      <c r="G29" s="4"/>
      <c r="H29" s="4" t="e">
        <f ca="1">_xll.OneStop.ReportPlayer.OSRFunctions.OSRGet("GL_F_Trans","Value1")</f>
        <v>#NAME?</v>
      </c>
      <c r="I29" s="4"/>
      <c r="J29" s="12" t="e">
        <f ca="1">IF(H$12=0,0,H29/H$12)</f>
        <v>#NAME?</v>
      </c>
      <c r="K29" s="4"/>
      <c r="L29" s="4" t="e">
        <f ca="1">+D29-H29</f>
        <v>#NAME?</v>
      </c>
      <c r="M29" s="4"/>
      <c r="N29" s="12" t="e">
        <f ca="1">IF(H29=0,0,L29/H29)</f>
        <v>#NAME?</v>
      </c>
      <c r="O29" s="10"/>
      <c r="P29" s="4" t="e">
        <f ca="1">_xll.OneStop.ReportPlayer.OSRFunctions.OSRGet("GL_F_Trans","Value1")</f>
        <v>#NAME?</v>
      </c>
      <c r="Q29" s="4"/>
      <c r="R29" s="12" t="e">
        <f ca="1">IF(P$12=0,0,P29/P$12)</f>
        <v>#NAME?</v>
      </c>
      <c r="S29" s="4"/>
      <c r="T29" s="4" t="e">
        <f ca="1">_xll.OneStop.ReportPlayer.OSRFunctions.OSRGet("GL_F_Trans","Value1")</f>
        <v>#NAME?</v>
      </c>
      <c r="U29" s="4"/>
      <c r="V29" s="12" t="e">
        <f ca="1">IF(T$12=0,0,T29/T$12)</f>
        <v>#NAME?</v>
      </c>
      <c r="W29" s="4"/>
      <c r="X29" s="4" t="e">
        <f ca="1">+P29-T29</f>
        <v>#NAME?</v>
      </c>
      <c r="Y29" s="4"/>
      <c r="Z29" s="12" t="e">
        <f ca="1">IF(T29=0,0,X29/T29)</f>
        <v>#NAME?</v>
      </c>
    </row>
    <row r="30" spans="1:26" x14ac:dyDescent="0.3">
      <c r="A30" s="9"/>
      <c r="B30" s="10"/>
      <c r="C30" s="10"/>
      <c r="D30" s="3"/>
      <c r="E30" s="3"/>
      <c r="F30" s="8"/>
      <c r="G30" s="3"/>
      <c r="H30" s="3"/>
      <c r="I30" s="3"/>
      <c r="J30" s="8"/>
      <c r="K30" s="3"/>
      <c r="L30" s="3"/>
      <c r="M30" s="3"/>
      <c r="N30" s="8"/>
      <c r="O30" s="10"/>
      <c r="P30" s="3"/>
      <c r="Q30" s="3"/>
      <c r="R30" s="8"/>
      <c r="S30" s="3"/>
      <c r="T30" s="3"/>
      <c r="U30" s="3"/>
      <c r="V30" s="8"/>
      <c r="W30" s="3"/>
      <c r="X30" s="3"/>
      <c r="Y30" s="3"/>
      <c r="Z30" s="8"/>
    </row>
    <row r="31" spans="1:26" s="23" customFormat="1" ht="15" thickBot="1" x14ac:dyDescent="0.35">
      <c r="A31" s="10"/>
      <c r="B31" s="25" t="s">
        <v>125</v>
      </c>
      <c r="C31" s="25"/>
      <c r="D31" s="35" t="e">
        <f ca="1">+D27-D29</f>
        <v>#NAME?</v>
      </c>
      <c r="E31" s="13"/>
      <c r="F31" s="31" t="e">
        <f ca="1">IF(D$12=0,0,D31/D$12)</f>
        <v>#NAME?</v>
      </c>
      <c r="G31" s="13"/>
      <c r="H31" s="35" t="e">
        <f ca="1">+H27-H29</f>
        <v>#NAME?</v>
      </c>
      <c r="I31" s="13"/>
      <c r="J31" s="31" t="e">
        <f ca="1">IF(H$12=0,0,H31/H$12)</f>
        <v>#NAME?</v>
      </c>
      <c r="K31" s="16"/>
      <c r="L31" s="35" t="e">
        <f ca="1">D31-H31</f>
        <v>#NAME?</v>
      </c>
      <c r="M31" s="16"/>
      <c r="N31" s="31" t="e">
        <f ca="1">IF(H31=0,0,L31/H31)</f>
        <v>#NAME?</v>
      </c>
      <c r="O31" s="26"/>
      <c r="P31" s="35" t="e">
        <f ca="1">+P27-P29</f>
        <v>#NAME?</v>
      </c>
      <c r="Q31" s="13"/>
      <c r="R31" s="31" t="e">
        <f ca="1">IF(P$12=0,0,P31/P$12)</f>
        <v>#NAME?</v>
      </c>
      <c r="S31" s="13"/>
      <c r="T31" s="35" t="e">
        <f ca="1">+T27-T29</f>
        <v>#NAME?</v>
      </c>
      <c r="U31" s="13"/>
      <c r="V31" s="31" t="e">
        <f ca="1">IF(T$12=0,0,T31/T$12)</f>
        <v>#NAME?</v>
      </c>
      <c r="W31" s="16"/>
      <c r="X31" s="35" t="e">
        <f ca="1">P31-T31</f>
        <v>#NAME?</v>
      </c>
      <c r="Y31" s="16"/>
      <c r="Z31" s="31" t="e">
        <f ca="1">IF(T31=0,0,X31/T31)</f>
        <v>#NAME?</v>
      </c>
    </row>
    <row r="32" spans="1:26" ht="15" thickTop="1" x14ac:dyDescent="0.3">
      <c r="A32" s="9"/>
      <c r="B32" s="9"/>
      <c r="C32" s="9"/>
      <c r="D32" s="3"/>
      <c r="E32" s="3"/>
      <c r="F32" s="8"/>
      <c r="G32" s="3"/>
      <c r="H32" s="3"/>
      <c r="I32" s="3"/>
      <c r="J32" s="8"/>
      <c r="K32" s="3"/>
      <c r="L32" s="3"/>
      <c r="M32" s="3"/>
      <c r="N32" s="8"/>
      <c r="P32" s="3"/>
      <c r="Q32" s="3"/>
      <c r="R32" s="8"/>
      <c r="S32" s="3"/>
      <c r="T32" s="3"/>
      <c r="U32" s="3"/>
      <c r="V32" s="8"/>
      <c r="W32" s="3"/>
      <c r="X32" s="3"/>
      <c r="Y32" s="3"/>
      <c r="Z32" s="8"/>
    </row>
    <row r="33" spans="1:26" s="23" customFormat="1" x14ac:dyDescent="0.3">
      <c r="A33" s="51"/>
      <c r="B33" s="10" t="s">
        <v>183</v>
      </c>
      <c r="C33" s="10"/>
      <c r="D33" s="4" t="e">
        <f ca="1">-_xll.OneStop.ReportPlayer.OSRFunctions.OSRGet("GL_F_Trans","Value1")</f>
        <v>#NAME?</v>
      </c>
      <c r="E33" s="4"/>
      <c r="F33" s="12" t="e">
        <f t="shared" ref="F33:F34" ca="1" si="28">IF(D$12=0,0,D33/D$12)</f>
        <v>#NAME?</v>
      </c>
      <c r="G33" s="4"/>
      <c r="H33" s="4" t="e">
        <f ca="1">-_xll.OneStop.ReportPlayer.OSRFunctions.OSRGet("GL_F_Trans","Value1")</f>
        <v>#NAME?</v>
      </c>
      <c r="I33" s="4"/>
      <c r="J33" s="12" t="e">
        <f t="shared" ref="J33:J34" ca="1" si="29">IF(H$12=0,0,H33/H$12)</f>
        <v>#NAME?</v>
      </c>
      <c r="K33" s="4"/>
      <c r="L33" s="4" t="e">
        <f t="shared" ref="L33:L34" ca="1" si="30">+D33-H33</f>
        <v>#NAME?</v>
      </c>
      <c r="M33" s="4"/>
      <c r="N33" s="12" t="e">
        <f t="shared" ref="N33:N34" ca="1" si="31">IF(H33=0,0,L33/H33)</f>
        <v>#NAME?</v>
      </c>
      <c r="O33" s="10"/>
      <c r="P33" s="4" t="e">
        <f ca="1">-_xll.OneStop.ReportPlayer.OSRFunctions.OSRGet("GL_F_Trans","Value1")</f>
        <v>#NAME?</v>
      </c>
      <c r="Q33" s="4"/>
      <c r="R33" s="12" t="e">
        <f t="shared" ref="R33:R34" ca="1" si="32">IF(P$12=0,0,P33/P$12)</f>
        <v>#NAME?</v>
      </c>
      <c r="S33" s="4"/>
      <c r="T33" s="4" t="e">
        <f ca="1">-_xll.OneStop.ReportPlayer.OSRFunctions.OSRGet("GL_F_Trans","Value1")</f>
        <v>#NAME?</v>
      </c>
      <c r="U33" s="4"/>
      <c r="V33" s="12" t="e">
        <f t="shared" ref="V33:V34" ca="1" si="33">IF(T$12=0,0,T33/T$12)</f>
        <v>#NAME?</v>
      </c>
      <c r="W33" s="4"/>
      <c r="X33" s="4" t="e">
        <f t="shared" ref="X33:X34" ca="1" si="34">+P33-T33</f>
        <v>#NAME?</v>
      </c>
      <c r="Y33" s="4"/>
      <c r="Z33" s="12" t="e">
        <f t="shared" ref="Z33:Z34" ca="1" si="35">IF(T33=0,0,X33/T33)</f>
        <v>#NAME?</v>
      </c>
    </row>
    <row r="34" spans="1:26" s="23" customFormat="1" x14ac:dyDescent="0.3">
      <c r="A34" s="51"/>
      <c r="B34" s="10" t="s">
        <v>81</v>
      </c>
      <c r="C34" s="10"/>
      <c r="D34" s="4" t="e">
        <f ca="1">-_xll.OneStop.ReportPlayer.OSRFunctions.OSRGet("GL_F_Trans","Value1")</f>
        <v>#NAME?</v>
      </c>
      <c r="E34" s="4"/>
      <c r="F34" s="12" t="e">
        <f t="shared" ca="1" si="28"/>
        <v>#NAME?</v>
      </c>
      <c r="G34" s="4"/>
      <c r="H34" s="4" t="e">
        <f ca="1">-_xll.OneStop.ReportPlayer.OSRFunctions.OSRGet("GL_F_Trans","Value1")</f>
        <v>#NAME?</v>
      </c>
      <c r="I34" s="4"/>
      <c r="J34" s="12" t="e">
        <f t="shared" ca="1" si="29"/>
        <v>#NAME?</v>
      </c>
      <c r="K34" s="4"/>
      <c r="L34" s="4" t="e">
        <f t="shared" ca="1" si="30"/>
        <v>#NAME?</v>
      </c>
      <c r="M34" s="4"/>
      <c r="N34" s="12" t="e">
        <f t="shared" ca="1" si="31"/>
        <v>#NAME?</v>
      </c>
      <c r="O34" s="10"/>
      <c r="P34" s="4" t="e">
        <f ca="1">-_xll.OneStop.ReportPlayer.OSRFunctions.OSRGet("GL_F_Trans","Value1")</f>
        <v>#NAME?</v>
      </c>
      <c r="Q34" s="4"/>
      <c r="R34" s="12" t="e">
        <f t="shared" ca="1" si="32"/>
        <v>#NAME?</v>
      </c>
      <c r="S34" s="4"/>
      <c r="T34" s="4" t="e">
        <f ca="1">-_xll.OneStop.ReportPlayer.OSRFunctions.OSRGet("GL_F_Trans","Value1")</f>
        <v>#NAME?</v>
      </c>
      <c r="U34" s="4"/>
      <c r="V34" s="12" t="e">
        <f t="shared" ca="1" si="33"/>
        <v>#NAME?</v>
      </c>
      <c r="W34" s="4"/>
      <c r="X34" s="4" t="e">
        <f t="shared" ca="1" si="34"/>
        <v>#NAME?</v>
      </c>
      <c r="Y34" s="4"/>
      <c r="Z34" s="12" t="e">
        <f t="shared" ca="1" si="35"/>
        <v>#NAME?</v>
      </c>
    </row>
    <row r="35" spans="1:26" x14ac:dyDescent="0.3">
      <c r="A35" s="9"/>
      <c r="B35" s="9"/>
      <c r="C35" s="9"/>
      <c r="D35" s="3"/>
      <c r="E35" s="3"/>
      <c r="F35" s="8"/>
      <c r="G35" s="3"/>
      <c r="H35" s="3"/>
      <c r="I35" s="3"/>
      <c r="J35" s="8"/>
      <c r="K35" s="3"/>
      <c r="L35" s="3"/>
      <c r="M35" s="3"/>
      <c r="N35" s="8"/>
      <c r="P35" s="3"/>
      <c r="Q35" s="3"/>
      <c r="R35" s="8"/>
      <c r="S35" s="3"/>
      <c r="T35" s="3"/>
      <c r="U35" s="3"/>
      <c r="V35" s="8"/>
      <c r="W35" s="3"/>
      <c r="X35" s="3"/>
      <c r="Y35" s="3"/>
      <c r="Z35" s="8"/>
    </row>
    <row r="36" spans="1:26" s="23" customFormat="1" ht="15" thickBot="1" x14ac:dyDescent="0.35">
      <c r="A36" s="10"/>
      <c r="B36" s="25" t="s">
        <v>293</v>
      </c>
      <c r="C36" s="25"/>
      <c r="D36" s="36" t="e">
        <f ca="1">SUM(D31:D35)</f>
        <v>#NAME?</v>
      </c>
      <c r="E36" s="13"/>
      <c r="F36" s="33" t="e">
        <f ca="1">IF(D$12=0,0,D36/D$12)</f>
        <v>#NAME?</v>
      </c>
      <c r="G36" s="13"/>
      <c r="H36" s="36" t="e">
        <f ca="1">SUM(H31:H35)</f>
        <v>#NAME?</v>
      </c>
      <c r="I36" s="13"/>
      <c r="J36" s="33" t="e">
        <f ca="1">IF(H$12=0,0,H36/H$12)</f>
        <v>#NAME?</v>
      </c>
      <c r="K36" s="16"/>
      <c r="L36" s="36" t="e">
        <f ca="1">+D36-H36</f>
        <v>#NAME?</v>
      </c>
      <c r="M36" s="16"/>
      <c r="N36" s="33" t="e">
        <f ca="1">IF(H36=0,0,L36/H36)</f>
        <v>#NAME?</v>
      </c>
      <c r="O36" s="26"/>
      <c r="P36" s="36" t="e">
        <f ca="1">SUM(P31:P35)</f>
        <v>#NAME?</v>
      </c>
      <c r="Q36" s="13"/>
      <c r="R36" s="33" t="e">
        <f ca="1">IF(P$12=0,0,P36/P$12)</f>
        <v>#NAME?</v>
      </c>
      <c r="S36" s="13"/>
      <c r="T36" s="36" t="e">
        <f ca="1">SUM(T31:T35)</f>
        <v>#NAME?</v>
      </c>
      <c r="U36" s="13"/>
      <c r="V36" s="33" t="e">
        <f ca="1">IF(T$12=0,0,T36/T$12)</f>
        <v>#NAME?</v>
      </c>
      <c r="W36" s="16"/>
      <c r="X36" s="36" t="e">
        <f ca="1">+P36-T36</f>
        <v>#NAME?</v>
      </c>
      <c r="Y36" s="16"/>
      <c r="Z36" s="33" t="e">
        <f ca="1">IF(T36=0,0,X36/T36)</f>
        <v>#NAME?</v>
      </c>
    </row>
    <row r="37" spans="1:26" ht="15" thickTop="1" x14ac:dyDescent="0.3">
      <c r="A37" s="9"/>
      <c r="C37" s="9"/>
      <c r="D37" s="17"/>
      <c r="E37" s="17"/>
      <c r="G37" s="17"/>
      <c r="H37" s="17"/>
      <c r="I37" s="17"/>
      <c r="J37" s="42"/>
      <c r="K37" s="17"/>
      <c r="L37" s="17"/>
      <c r="M37" s="17"/>
      <c r="P37" s="17"/>
      <c r="Q37" s="17"/>
      <c r="R37" s="42"/>
      <c r="S37" s="17"/>
      <c r="T37" s="17"/>
      <c r="U37" s="17"/>
      <c r="V37" s="42"/>
      <c r="W37" s="17"/>
      <c r="X37" s="17"/>
    </row>
    <row r="38" spans="1:26" x14ac:dyDescent="0.3">
      <c r="A38" s="9"/>
      <c r="B38" s="52" t="e">
        <f ca="1">_xll.OneStop.ReportPlayer.OSRFunctions.OSRGet("CurrentDate","Date")</f>
        <v>#NAME?</v>
      </c>
      <c r="D38" s="17"/>
      <c r="E38" s="17"/>
      <c r="G38" s="17"/>
      <c r="H38" s="17"/>
      <c r="I38" s="17"/>
      <c r="J38" s="42"/>
      <c r="K38" s="17"/>
      <c r="L38" s="17"/>
      <c r="M38" s="17"/>
      <c r="P38" s="17"/>
      <c r="Q38" s="17"/>
      <c r="R38" s="42"/>
      <c r="S38" s="17"/>
      <c r="T38" s="17"/>
      <c r="U38" s="17"/>
      <c r="V38" s="42"/>
      <c r="W38" s="17"/>
      <c r="X38" s="17"/>
    </row>
    <row r="39" spans="1:26" x14ac:dyDescent="0.3">
      <c r="A39" s="9"/>
      <c r="B39" s="59" t="e">
        <f ca="1">_xll.OneStop.ReportPlayer.OSRFunctions.OSRGet("User","UserId")</f>
        <v>#NAME?</v>
      </c>
      <c r="D39" s="17"/>
      <c r="E39" s="17"/>
      <c r="G39" s="17"/>
      <c r="H39" s="17"/>
      <c r="I39" s="17"/>
      <c r="J39" s="42"/>
      <c r="K39" s="17"/>
      <c r="L39" s="17"/>
      <c r="M39" s="17"/>
      <c r="P39" s="17"/>
      <c r="Q39" s="17"/>
      <c r="R39" s="42"/>
      <c r="S39" s="17"/>
      <c r="T39" s="17"/>
      <c r="U39" s="17"/>
      <c r="V39" s="42"/>
      <c r="W39" s="17"/>
      <c r="X39" s="17"/>
    </row>
    <row r="40" spans="1:26" x14ac:dyDescent="0.3">
      <c r="A40" s="9"/>
      <c r="B40" s="61"/>
      <c r="D40" s="17"/>
      <c r="E40" s="17"/>
      <c r="G40" s="17"/>
      <c r="H40" s="17"/>
      <c r="I40" s="17"/>
      <c r="J40" s="42"/>
      <c r="K40" s="17"/>
      <c r="L40" s="17"/>
      <c r="M40" s="17"/>
      <c r="P40" s="17"/>
      <c r="Q40" s="17"/>
      <c r="R40" s="42"/>
      <c r="S40" s="17"/>
      <c r="T40" s="17"/>
      <c r="U40" s="17"/>
      <c r="V40" s="42"/>
      <c r="W40" s="17"/>
      <c r="X40" s="17"/>
    </row>
    <row r="41" spans="1:26" x14ac:dyDescent="0.3">
      <c r="D41" s="17"/>
      <c r="E41" s="17"/>
      <c r="G41" s="17"/>
      <c r="H41" s="17"/>
      <c r="I41" s="17"/>
      <c r="J41" s="42"/>
      <c r="K41" s="17"/>
      <c r="L41" s="17"/>
      <c r="M41" s="17"/>
      <c r="P41" s="17"/>
      <c r="Q41" s="17"/>
      <c r="R41" s="42"/>
      <c r="S41" s="17"/>
      <c r="T41" s="17"/>
      <c r="U41" s="17"/>
      <c r="V41" s="42"/>
      <c r="W41" s="17"/>
      <c r="X41" s="17"/>
    </row>
  </sheetData>
  <pageMargins left="0.25" right="0.25" top="0.75" bottom="0.75" header="0.3" footer="0.3"/>
  <pageSetup scale="55" fitToWidth="2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97</vt:i4>
      </vt:variant>
      <vt:variant>
        <vt:lpstr>Named Ranges</vt:lpstr>
      </vt:variant>
      <vt:variant>
        <vt:i4>3562</vt:i4>
      </vt:variant>
    </vt:vector>
  </HeadingPairs>
  <TitlesOfParts>
    <vt:vector size="3659" baseType="lpstr">
      <vt:lpstr>Interface</vt:lpstr>
      <vt:lpstr>DataSetting</vt:lpstr>
      <vt:lpstr>Summary</vt:lpstr>
      <vt:lpstr>OSR_Summary_18VAVWG</vt:lpstr>
      <vt:lpstr>OSR_Current ...69b7dd8c_1IEQKFK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OSR_Div 3 (2)...b7db256a_40ITCB</vt:lpstr>
      <vt:lpstr>OSR_300 &amp; 317_1C00ID4</vt:lpstr>
      <vt:lpstr>OSR_300 (2)_c...79cd3046_1TJM0H</vt:lpstr>
      <vt:lpstr>OSR_310_1CMTOSB</vt:lpstr>
      <vt:lpstr>OSR_300 (2)_e...5d0da5bf_6BPGAO</vt:lpstr>
      <vt:lpstr>OSR_330_10VFP5Y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OSR_Div 4_1740TMT</vt:lpstr>
      <vt:lpstr>OSR_310 (2)_...8cac1423_1JTU33X</vt:lpstr>
      <vt:lpstr>OSR_310 &amp; 491_1NGRCS9</vt:lpstr>
      <vt:lpstr>OSR_491 (2)_0...c51cc666_QIOT67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(2...09141158_1BG9FGV</vt:lpstr>
      <vt:lpstr>Div 1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330</vt:lpstr>
      <vt:lpstr>307</vt:lpstr>
      <vt:lpstr>308</vt:lpstr>
      <vt:lpstr>311</vt:lpstr>
      <vt:lpstr>324</vt:lpstr>
      <vt:lpstr>331</vt:lpstr>
      <vt:lpstr>315</vt:lpstr>
      <vt:lpstr>326</vt:lpstr>
      <vt:lpstr>332</vt:lpstr>
      <vt:lpstr>316</vt:lpstr>
      <vt:lpstr>Div 6</vt:lpstr>
      <vt:lpstr>317</vt:lpstr>
      <vt:lpstr>310</vt:lpstr>
      <vt:lpstr>309</vt:lpstr>
      <vt:lpstr>313</vt:lpstr>
      <vt:lpstr>321</vt:lpstr>
      <vt:lpstr>322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420</vt:lpstr>
      <vt:lpstr>423</vt:lpstr>
      <vt:lpstr>424</vt:lpstr>
      <vt:lpstr>425</vt:lpstr>
      <vt:lpstr>455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'310'!OSRRefD13x_0</vt:lpstr>
      <vt:lpstr>'310 &amp; 491'!OSRRefD13x_0</vt:lpstr>
      <vt:lpstr>'311'!OSRRefD13x_0</vt:lpstr>
      <vt:lpstr>'313'!OSRRefD13x_0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'330'!OSRRefD13x_0</vt:lpstr>
      <vt:lpstr>'331'!OSRRefD13x_0</vt:lpstr>
      <vt:lpstr>'332'!OSRRefD13x_0</vt:lpstr>
      <vt:lpstr>'405'!OSRRefD13x_0</vt:lpstr>
      <vt:lpstr>'414'!OSRRefD13x_0</vt:lpstr>
      <vt:lpstr>'415'!OSRRefD13x_0</vt:lpstr>
      <vt:lpstr>'420'!OSRRefD13x_0</vt:lpstr>
      <vt:lpstr>'425'!OSRRefD13x_0</vt:lpstr>
      <vt:lpstr>'433'!OSRRefD13x_0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'310'!OSRRefD16x_0</vt:lpstr>
      <vt:lpstr>'310 &amp; 491'!OSRRefD16x_0</vt:lpstr>
      <vt:lpstr>'311'!OSRRefD16x_0</vt:lpstr>
      <vt:lpstr>'313'!OSRRefD16x_0</vt:lpstr>
      <vt:lpstr>'315'!OSRRefD16x_0</vt:lpstr>
      <vt:lpstr>'316'!OSRRefD16x_0</vt:lpstr>
      <vt:lpstr>'317'!OSRRefD16x_0</vt:lpstr>
      <vt:lpstr>'321'!OSRRefD16x_0</vt:lpstr>
      <vt:lpstr>'322'!OSRRefD16x_0</vt:lpstr>
      <vt:lpstr>'324'!OSRRefD16x_0</vt:lpstr>
      <vt:lpstr>'325'!OSRRefD16x_0</vt:lpstr>
      <vt:lpstr>'326'!OSRRefD16x_0</vt:lpstr>
      <vt:lpstr>'327'!OSRRefD16x_0</vt:lpstr>
      <vt:lpstr>'330'!OSRRefD16x_0</vt:lpstr>
      <vt:lpstr>'331'!OSRRefD16x_0</vt:lpstr>
      <vt:lpstr>'332'!OSRRefD16x_0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'313'!OSRRefD22_0x_0</vt:lpstr>
      <vt:lpstr>'315'!OSRRefD22_0x_0</vt:lpstr>
      <vt:lpstr>'316'!OSRRefD22_0x_0</vt:lpstr>
      <vt:lpstr>'317'!OSRRefD22_0x_0</vt:lpstr>
      <vt:lpstr>'321'!OSRRefD22_0x_0</vt:lpstr>
      <vt:lpstr>'322'!OSRRefD22_0x_0</vt:lpstr>
      <vt:lpstr>'325'!OSRRefD22_0x_0</vt:lpstr>
      <vt:lpstr>'326'!OSRRefD22_0x_0</vt:lpstr>
      <vt:lpstr>'327'!OSRRefD22_0x_0</vt:lpstr>
      <vt:lpstr>'330'!OSRRefD22_0x_0</vt:lpstr>
      <vt:lpstr>'331'!OSRRefD22_0x_0</vt:lpstr>
      <vt:lpstr>'332'!OSRRefD22_0x_0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'420'!OSRRefD22_0x_0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'330'!OSRRefD22_10x_0</vt:lpstr>
      <vt:lpstr>'331'!OSRRefD22_10x_0</vt:lpstr>
      <vt:lpstr>'332'!OSRRefD22_10x_0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'330'!OSRRefD22_11x_0</vt:lpstr>
      <vt:lpstr>'331'!OSRRefD22_11x_0</vt:lpstr>
      <vt:lpstr>'332'!OSRRefD22_11x_0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'Div 2'!OSRRefD22_11x_0</vt:lpstr>
      <vt:lpstr>'Div 3'!OSRRefD22_11x_0</vt:lpstr>
      <vt:lpstr>'Div 4'!OSRRefD22_11x_0</vt:lpstr>
      <vt:lpstr>Summary!OSRRefD22_11x_0</vt:lpstr>
      <vt:lpstr>'201'!OSRRefD22_12x_0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'310'!OSRRefD22_12x_0</vt:lpstr>
      <vt:lpstr>'310 &amp; 491'!OSRRefD22_12x_0</vt:lpstr>
      <vt:lpstr>'311'!OSRRefD22_12x_0</vt:lpstr>
      <vt:lpstr>'315'!OSRRefD22_12x_0</vt:lpstr>
      <vt:lpstr>'316'!OSRRefD22_12x_0</vt:lpstr>
      <vt:lpstr>'325'!OSRRefD22_12x_0</vt:lpstr>
      <vt:lpstr>'326'!OSRRefD22_12x_0</vt:lpstr>
      <vt:lpstr>'330'!OSRRefD22_12x_0</vt:lpstr>
      <vt:lpstr>'331'!OSRRefD22_12x_0</vt:lpstr>
      <vt:lpstr>'332'!OSRRefD22_12x_0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'Div 2'!OSRRefD22_12x_0</vt:lpstr>
      <vt:lpstr>'Div 3'!OSRRefD22_12x_0</vt:lpstr>
      <vt:lpstr>'Div 4'!OSRRefD22_12x_0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'405'!OSRRefD22_13x_0</vt:lpstr>
      <vt:lpstr>'411'!OSRRefD22_13x_0</vt:lpstr>
      <vt:lpstr>'415'!OSRRefD22_13x_0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'Div 2'!OSRRefD22_13x_0</vt:lpstr>
      <vt:lpstr>'Div 3'!OSRRefD22_13x_0</vt:lpstr>
      <vt:lpstr>'Div 4'!OSRRefD22_13x_0</vt:lpstr>
      <vt:lpstr>Summary!OSRRefD22_13x_0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'326'!OSRRefD22_14x_0</vt:lpstr>
      <vt:lpstr>'331'!OSRRefD22_14x_0</vt:lpstr>
      <vt:lpstr>'405'!OSRRefD22_14x_0</vt:lpstr>
      <vt:lpstr>'411'!OSRRefD22_14x_0</vt:lpstr>
      <vt:lpstr>'415'!OSRRefD22_14x_0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'326'!OSRRefD22_15x_0</vt:lpstr>
      <vt:lpstr>'331'!OSRRefD22_15x_0</vt:lpstr>
      <vt:lpstr>'405'!OSRRefD22_15x_0</vt:lpstr>
      <vt:lpstr>'415'!OSRRefD22_15x_0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 &amp; 491'!OSRRefD22_16x_0</vt:lpstr>
      <vt:lpstr>'326'!OSRRefD22_16x_0</vt:lpstr>
      <vt:lpstr>'331'!OSRRefD22_16x_0</vt:lpstr>
      <vt:lpstr>'415'!OSRRefD22_16x_0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 &amp; 491'!OSRRefD22_17x_0</vt:lpstr>
      <vt:lpstr>'326'!OSRRefD22_17x_0</vt:lpstr>
      <vt:lpstr>'331'!OSRRefD22_17x_0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'331'!OSRRefD22_18x_0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'313'!OSRRefD22_1x_0</vt:lpstr>
      <vt:lpstr>'315'!OSRRefD22_1x_0</vt:lpstr>
      <vt:lpstr>'316'!OSRRefD22_1x_0</vt:lpstr>
      <vt:lpstr>'317'!OSRRefD22_1x_0</vt:lpstr>
      <vt:lpstr>'321'!OSRRefD22_1x_0</vt:lpstr>
      <vt:lpstr>'322'!OSRRefD22_1x_0</vt:lpstr>
      <vt:lpstr>'325'!OSRRefD22_1x_0</vt:lpstr>
      <vt:lpstr>'326'!OSRRefD22_1x_0</vt:lpstr>
      <vt:lpstr>'330'!OSRRefD22_1x_0</vt:lpstr>
      <vt:lpstr>'331'!OSRRefD22_1x_0</vt:lpstr>
      <vt:lpstr>'332'!OSRRefD22_1x_0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'310 &amp; 491'!OSRRefD22_21x_0</vt:lpstr>
      <vt:lpstr>'491'!OSRRefD22_21x_0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'Div 4'!OSRRefD22_23x_0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'313'!OSRRefD22_2x_0</vt:lpstr>
      <vt:lpstr>'315'!OSRRefD22_2x_0</vt:lpstr>
      <vt:lpstr>'316'!OSRRefD22_2x_0</vt:lpstr>
      <vt:lpstr>'317'!OSRRefD22_2x_0</vt:lpstr>
      <vt:lpstr>'321'!OSRRefD22_2x_0</vt:lpstr>
      <vt:lpstr>'322'!OSRRefD22_2x_0</vt:lpstr>
      <vt:lpstr>'325'!OSRRefD22_2x_0</vt:lpstr>
      <vt:lpstr>'326'!OSRRefD22_2x_0</vt:lpstr>
      <vt:lpstr>'330'!OSRRefD22_2x_0</vt:lpstr>
      <vt:lpstr>'331'!OSRRefD22_2x_0</vt:lpstr>
      <vt:lpstr>'332'!OSRRefD22_2x_0</vt:lpstr>
      <vt:lpstr>'405'!OSRRefD22_2x_0</vt:lpstr>
      <vt:lpstr>'406'!OSRRefD22_2x_0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'313'!OSRRefD22_3x_0</vt:lpstr>
      <vt:lpstr>'315'!OSRRefD22_3x_0</vt:lpstr>
      <vt:lpstr>'316'!OSRRefD22_3x_0</vt:lpstr>
      <vt:lpstr>'317'!OSRRefD22_3x_0</vt:lpstr>
      <vt:lpstr>'321'!OSRRefD22_3x_0</vt:lpstr>
      <vt:lpstr>'322'!OSRRefD22_3x_0</vt:lpstr>
      <vt:lpstr>'325'!OSRRefD22_3x_0</vt:lpstr>
      <vt:lpstr>'326'!OSRRefD22_3x_0</vt:lpstr>
      <vt:lpstr>'330'!OSRRefD22_3x_0</vt:lpstr>
      <vt:lpstr>'331'!OSRRefD22_3x_0</vt:lpstr>
      <vt:lpstr>'332'!OSRRefD22_3x_0</vt:lpstr>
      <vt:lpstr>'405'!OSRRefD22_3x_0</vt:lpstr>
      <vt:lpstr>'406'!OSRRefD22_3x_0</vt:lpstr>
      <vt:lpstr>'411'!OSRRefD22_3x_0</vt:lpstr>
      <vt:lpstr>'412'!OSRRefD22_3x_0</vt:lpstr>
      <vt:lpstr>'413'!OSRRefD22_3x_0</vt:lpstr>
      <vt:lpstr>'414'!OSRRefD22_3x_0</vt:lpstr>
      <vt:lpstr>'415'!OSRRefD22_3x_0</vt:lpstr>
      <vt:lpstr>'418'!OSRRefD22_3x_0</vt:lpstr>
      <vt:lpstr>'423'!OSRRefD22_3x_0</vt:lpstr>
      <vt:lpstr>'424'!OSRRefD22_3x_0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'313'!OSRRefD22_4x_0</vt:lpstr>
      <vt:lpstr>'315'!OSRRefD22_4x_0</vt:lpstr>
      <vt:lpstr>'316'!OSRRefD22_4x_0</vt:lpstr>
      <vt:lpstr>'317'!OSRRefD22_4x_0</vt:lpstr>
      <vt:lpstr>'321'!OSRRefD22_4x_0</vt:lpstr>
      <vt:lpstr>'322'!OSRRefD22_4x_0</vt:lpstr>
      <vt:lpstr>'325'!OSRRefD22_4x_0</vt:lpstr>
      <vt:lpstr>'326'!OSRRefD22_4x_0</vt:lpstr>
      <vt:lpstr>'330'!OSRRefD22_4x_0</vt:lpstr>
      <vt:lpstr>'331'!OSRRefD22_4x_0</vt:lpstr>
      <vt:lpstr>'332'!OSRRefD22_4x_0</vt:lpstr>
      <vt:lpstr>'405'!OSRRefD22_4x_0</vt:lpstr>
      <vt:lpstr>'406'!OSRRefD22_4x_0</vt:lpstr>
      <vt:lpstr>'411'!OSRRefD22_4x_0</vt:lpstr>
      <vt:lpstr>'412'!OSRRefD22_4x_0</vt:lpstr>
      <vt:lpstr>'413'!OSRRefD22_4x_0</vt:lpstr>
      <vt:lpstr>'414'!OSRRefD22_4x_0</vt:lpstr>
      <vt:lpstr>'415'!OSRRefD22_4x_0</vt:lpstr>
      <vt:lpstr>'418'!OSRRefD22_4x_0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'310'!OSRRefD22_5x_0</vt:lpstr>
      <vt:lpstr>'310 &amp; 491'!OSRRefD22_5x_0</vt:lpstr>
      <vt:lpstr>'311'!OSRRefD22_5x_0</vt:lpstr>
      <vt:lpstr>'313'!OSRRefD22_5x_0</vt:lpstr>
      <vt:lpstr>'315'!OSRRefD22_5x_0</vt:lpstr>
      <vt:lpstr>'316'!OSRRefD22_5x_0</vt:lpstr>
      <vt:lpstr>'317'!OSRRefD22_5x_0</vt:lpstr>
      <vt:lpstr>'321'!OSRRefD22_5x_0</vt:lpstr>
      <vt:lpstr>'322'!OSRRefD22_5x_0</vt:lpstr>
      <vt:lpstr>'325'!OSRRefD22_5x_0</vt:lpstr>
      <vt:lpstr>'326'!OSRRefD22_5x_0</vt:lpstr>
      <vt:lpstr>'330'!OSRRefD22_5x_0</vt:lpstr>
      <vt:lpstr>'331'!OSRRefD22_5x_0</vt:lpstr>
      <vt:lpstr>'332'!OSRRefD22_5x_0</vt:lpstr>
      <vt:lpstr>'405'!OSRRefD22_5x_0</vt:lpstr>
      <vt:lpstr>'411'!OSRRefD22_5x_0</vt:lpstr>
      <vt:lpstr>'413'!OSRRefD22_5x_0</vt:lpstr>
      <vt:lpstr>'415'!OSRRefD22_5x_0</vt:lpstr>
      <vt:lpstr>'418'!OSRRefD22_5x_0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'310'!OSRRefD22_6x_0</vt:lpstr>
      <vt:lpstr>'310 &amp; 491'!OSRRefD22_6x_0</vt:lpstr>
      <vt:lpstr>'311'!OSRRefD22_6x_0</vt:lpstr>
      <vt:lpstr>'313'!OSRRefD22_6x_0</vt:lpstr>
      <vt:lpstr>'315'!OSRRefD22_6x_0</vt:lpstr>
      <vt:lpstr>'316'!OSRRefD22_6x_0</vt:lpstr>
      <vt:lpstr>'317'!OSRRefD22_6x_0</vt:lpstr>
      <vt:lpstr>'321'!OSRRefD22_6x_0</vt:lpstr>
      <vt:lpstr>'322'!OSRRefD22_6x_0</vt:lpstr>
      <vt:lpstr>'325'!OSRRefD22_6x_0</vt:lpstr>
      <vt:lpstr>'326'!OSRRefD22_6x_0</vt:lpstr>
      <vt:lpstr>'330'!OSRRefD22_6x_0</vt:lpstr>
      <vt:lpstr>'331'!OSRRefD22_6x_0</vt:lpstr>
      <vt:lpstr>'332'!OSRRefD22_6x_0</vt:lpstr>
      <vt:lpstr>'405'!OSRRefD22_6x_0</vt:lpstr>
      <vt:lpstr>'411'!OSRRefD22_6x_0</vt:lpstr>
      <vt:lpstr>'415'!OSRRefD22_6x_0</vt:lpstr>
      <vt:lpstr>'418'!OSRRefD22_6x_0</vt:lpstr>
      <vt:lpstr>'425'!OSRRefD22_6x_0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'322'!OSRRefD22_7x_0</vt:lpstr>
      <vt:lpstr>'325'!OSRRefD22_7x_0</vt:lpstr>
      <vt:lpstr>'326'!OSRRefD22_7x_0</vt:lpstr>
      <vt:lpstr>'330'!OSRRefD22_7x_0</vt:lpstr>
      <vt:lpstr>'331'!OSRRefD22_7x_0</vt:lpstr>
      <vt:lpstr>'332'!OSRRefD22_7x_0</vt:lpstr>
      <vt:lpstr>'405'!OSRRefD22_7x_0</vt:lpstr>
      <vt:lpstr>'411'!OSRRefD22_7x_0</vt:lpstr>
      <vt:lpstr>'415'!OSRRefD22_7x_0</vt:lpstr>
      <vt:lpstr>'418'!OSRRefD22_7x_0</vt:lpstr>
      <vt:lpstr>'425'!OSRRefD22_7x_0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'330'!OSRRefD22_8x_0</vt:lpstr>
      <vt:lpstr>'331'!OSRRefD22_8x_0</vt:lpstr>
      <vt:lpstr>'332'!OSRRefD22_8x_0</vt:lpstr>
      <vt:lpstr>'405'!OSRRefD22_8x_0</vt:lpstr>
      <vt:lpstr>'411'!OSRRefD22_8x_0</vt:lpstr>
      <vt:lpstr>'415'!OSRRefD22_8x_0</vt:lpstr>
      <vt:lpstr>'418'!OSRRefD22_8x_0</vt:lpstr>
      <vt:lpstr>'425'!OSRRefD22_8x_0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'330'!OSRRefD22_9x_0</vt:lpstr>
      <vt:lpstr>'331'!OSRRefD22_9x_0</vt:lpstr>
      <vt:lpstr>'332'!OSRRefD22_9x_0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'313'!OSRRefD22x_0</vt:lpstr>
      <vt:lpstr>'315'!OSRRefD22x_0</vt:lpstr>
      <vt:lpstr>'316'!OSRRefD22x_0</vt:lpstr>
      <vt:lpstr>'317'!OSRRefD22x_0</vt:lpstr>
      <vt:lpstr>'321'!OSRRefD22x_0</vt:lpstr>
      <vt:lpstr>'322'!OSRRefD22x_0</vt:lpstr>
      <vt:lpstr>'325'!OSRRefD22x_0</vt:lpstr>
      <vt:lpstr>'326'!OSRRefD22x_0</vt:lpstr>
      <vt:lpstr>'327'!OSRRefD22x_0</vt:lpstr>
      <vt:lpstr>'330'!OSRRefD22x_0</vt:lpstr>
      <vt:lpstr>'331'!OSRRefD22x_0</vt:lpstr>
      <vt:lpstr>'332'!OSRRefD22x_0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'420'!OSRRefD22x_0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'405'!OSRRefD25x_0</vt:lpstr>
      <vt:lpstr>'411'!OSRRefD25x_0</vt:lpstr>
      <vt:lpstr>'415'!OSRRefD25x_0</vt:lpstr>
      <vt:lpstr>'418'!OSRRefD25x_0</vt:lpstr>
      <vt:lpstr>'423'!OSRRefD25x_0</vt:lpstr>
      <vt:lpstr>'455'!OSRRefD25x_0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'310'!OSRRefH13x_0</vt:lpstr>
      <vt:lpstr>'310 &amp; 491'!OSRRefH13x_0</vt:lpstr>
      <vt:lpstr>'311'!OSRRefH13x_0</vt:lpstr>
      <vt:lpstr>'313'!OSRRefH13x_0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'330'!OSRRefH13x_0</vt:lpstr>
      <vt:lpstr>'331'!OSRRefH13x_0</vt:lpstr>
      <vt:lpstr>'332'!OSRRefH13x_0</vt:lpstr>
      <vt:lpstr>'405'!OSRRefH13x_0</vt:lpstr>
      <vt:lpstr>'414'!OSRRefH13x_0</vt:lpstr>
      <vt:lpstr>'415'!OSRRefH13x_0</vt:lpstr>
      <vt:lpstr>'420'!OSRRefH13x_0</vt:lpstr>
      <vt:lpstr>'425'!OSRRefH13x_0</vt:lpstr>
      <vt:lpstr>'433'!OSRRefH13x_0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'310'!OSRRefH16x_0</vt:lpstr>
      <vt:lpstr>'310 &amp; 491'!OSRRefH16x_0</vt:lpstr>
      <vt:lpstr>'311'!OSRRefH16x_0</vt:lpstr>
      <vt:lpstr>'313'!OSRRefH16x_0</vt:lpstr>
      <vt:lpstr>'315'!OSRRefH16x_0</vt:lpstr>
      <vt:lpstr>'316'!OSRRefH16x_0</vt:lpstr>
      <vt:lpstr>'317'!OSRRefH16x_0</vt:lpstr>
      <vt:lpstr>'321'!OSRRefH16x_0</vt:lpstr>
      <vt:lpstr>'322'!OSRRefH16x_0</vt:lpstr>
      <vt:lpstr>'324'!OSRRefH16x_0</vt:lpstr>
      <vt:lpstr>'325'!OSRRefH16x_0</vt:lpstr>
      <vt:lpstr>'326'!OSRRefH16x_0</vt:lpstr>
      <vt:lpstr>'327'!OSRRefH16x_0</vt:lpstr>
      <vt:lpstr>'330'!OSRRefH16x_0</vt:lpstr>
      <vt:lpstr>'331'!OSRRefH16x_0</vt:lpstr>
      <vt:lpstr>'332'!OSRRefH16x_0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'313'!OSRRefH22_0x_0</vt:lpstr>
      <vt:lpstr>'315'!OSRRefH22_0x_0</vt:lpstr>
      <vt:lpstr>'316'!OSRRefH22_0x_0</vt:lpstr>
      <vt:lpstr>'317'!OSRRefH22_0x_0</vt:lpstr>
      <vt:lpstr>'321'!OSRRefH22_0x_0</vt:lpstr>
      <vt:lpstr>'322'!OSRRefH22_0x_0</vt:lpstr>
      <vt:lpstr>'325'!OSRRefH22_0x_0</vt:lpstr>
      <vt:lpstr>'326'!OSRRefH22_0x_0</vt:lpstr>
      <vt:lpstr>'327'!OSRRefH22_0x_0</vt:lpstr>
      <vt:lpstr>'330'!OSRRefH22_0x_0</vt:lpstr>
      <vt:lpstr>'331'!OSRRefH22_0x_0</vt:lpstr>
      <vt:lpstr>'332'!OSRRefH22_0x_0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'420'!OSRRefH22_0x_0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'330'!OSRRefH22_10x_0</vt:lpstr>
      <vt:lpstr>'331'!OSRRefH22_10x_0</vt:lpstr>
      <vt:lpstr>'332'!OSRRefH22_10x_0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'330'!OSRRefH22_11x_0</vt:lpstr>
      <vt:lpstr>'331'!OSRRefH22_11x_0</vt:lpstr>
      <vt:lpstr>'332'!OSRRefH22_11x_0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'Div 2'!OSRRefH22_11x_0</vt:lpstr>
      <vt:lpstr>'Div 3'!OSRRefH22_11x_0</vt:lpstr>
      <vt:lpstr>'Div 4'!OSRRefH22_11x_0</vt:lpstr>
      <vt:lpstr>Summary!OSRRefH22_11x_0</vt:lpstr>
      <vt:lpstr>'201'!OSRRefH22_12x_0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'310'!OSRRefH22_12x_0</vt:lpstr>
      <vt:lpstr>'310 &amp; 491'!OSRRefH22_12x_0</vt:lpstr>
      <vt:lpstr>'311'!OSRRefH22_12x_0</vt:lpstr>
      <vt:lpstr>'315'!OSRRefH22_12x_0</vt:lpstr>
      <vt:lpstr>'316'!OSRRefH22_12x_0</vt:lpstr>
      <vt:lpstr>'325'!OSRRefH22_12x_0</vt:lpstr>
      <vt:lpstr>'326'!OSRRefH22_12x_0</vt:lpstr>
      <vt:lpstr>'330'!OSRRefH22_12x_0</vt:lpstr>
      <vt:lpstr>'331'!OSRRefH22_12x_0</vt:lpstr>
      <vt:lpstr>'332'!OSRRefH22_12x_0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'Div 2'!OSRRefH22_12x_0</vt:lpstr>
      <vt:lpstr>'Div 3'!OSRRefH22_12x_0</vt:lpstr>
      <vt:lpstr>'Div 4'!OSRRefH22_12x_0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'405'!OSRRefH22_13x_0</vt:lpstr>
      <vt:lpstr>'411'!OSRRefH22_13x_0</vt:lpstr>
      <vt:lpstr>'415'!OSRRefH22_13x_0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'Div 2'!OSRRefH22_13x_0</vt:lpstr>
      <vt:lpstr>'Div 3'!OSRRefH22_13x_0</vt:lpstr>
      <vt:lpstr>'Div 4'!OSRRefH22_13x_0</vt:lpstr>
      <vt:lpstr>Summary!OSRRefH22_13x_0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'326'!OSRRefH22_14x_0</vt:lpstr>
      <vt:lpstr>'331'!OSRRefH22_14x_0</vt:lpstr>
      <vt:lpstr>'405'!OSRRefH22_14x_0</vt:lpstr>
      <vt:lpstr>'411'!OSRRefH22_14x_0</vt:lpstr>
      <vt:lpstr>'415'!OSRRefH22_14x_0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'326'!OSRRefH22_15x_0</vt:lpstr>
      <vt:lpstr>'331'!OSRRefH22_15x_0</vt:lpstr>
      <vt:lpstr>'405'!OSRRefH22_15x_0</vt:lpstr>
      <vt:lpstr>'415'!OSRRefH22_15x_0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 &amp; 491'!OSRRefH22_16x_0</vt:lpstr>
      <vt:lpstr>'326'!OSRRefH22_16x_0</vt:lpstr>
      <vt:lpstr>'331'!OSRRefH22_16x_0</vt:lpstr>
      <vt:lpstr>'415'!OSRRefH22_16x_0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 &amp; 491'!OSRRefH22_17x_0</vt:lpstr>
      <vt:lpstr>'326'!OSRRefH22_17x_0</vt:lpstr>
      <vt:lpstr>'331'!OSRRefH22_17x_0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'331'!OSRRefH22_18x_0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'313'!OSRRefH22_1x_0</vt:lpstr>
      <vt:lpstr>'315'!OSRRefH22_1x_0</vt:lpstr>
      <vt:lpstr>'316'!OSRRefH22_1x_0</vt:lpstr>
      <vt:lpstr>'317'!OSRRefH22_1x_0</vt:lpstr>
      <vt:lpstr>'321'!OSRRefH22_1x_0</vt:lpstr>
      <vt:lpstr>'322'!OSRRefH22_1x_0</vt:lpstr>
      <vt:lpstr>'325'!OSRRefH22_1x_0</vt:lpstr>
      <vt:lpstr>'326'!OSRRefH22_1x_0</vt:lpstr>
      <vt:lpstr>'330'!OSRRefH22_1x_0</vt:lpstr>
      <vt:lpstr>'331'!OSRRefH22_1x_0</vt:lpstr>
      <vt:lpstr>'332'!OSRRefH22_1x_0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'310 &amp; 491'!OSRRefH22_21x_0</vt:lpstr>
      <vt:lpstr>'491'!OSRRefH22_21x_0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'Div 4'!OSRRefH22_23x_0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'313'!OSRRefH22_2x_0</vt:lpstr>
      <vt:lpstr>'315'!OSRRefH22_2x_0</vt:lpstr>
      <vt:lpstr>'316'!OSRRefH22_2x_0</vt:lpstr>
      <vt:lpstr>'317'!OSRRefH22_2x_0</vt:lpstr>
      <vt:lpstr>'321'!OSRRefH22_2x_0</vt:lpstr>
      <vt:lpstr>'322'!OSRRefH22_2x_0</vt:lpstr>
      <vt:lpstr>'325'!OSRRefH22_2x_0</vt:lpstr>
      <vt:lpstr>'326'!OSRRefH22_2x_0</vt:lpstr>
      <vt:lpstr>'330'!OSRRefH22_2x_0</vt:lpstr>
      <vt:lpstr>'331'!OSRRefH22_2x_0</vt:lpstr>
      <vt:lpstr>'332'!OSRRefH22_2x_0</vt:lpstr>
      <vt:lpstr>'405'!OSRRefH22_2x_0</vt:lpstr>
      <vt:lpstr>'406'!OSRRefH22_2x_0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'313'!OSRRefH22_3x_0</vt:lpstr>
      <vt:lpstr>'315'!OSRRefH22_3x_0</vt:lpstr>
      <vt:lpstr>'316'!OSRRefH22_3x_0</vt:lpstr>
      <vt:lpstr>'317'!OSRRefH22_3x_0</vt:lpstr>
      <vt:lpstr>'321'!OSRRefH22_3x_0</vt:lpstr>
      <vt:lpstr>'322'!OSRRefH22_3x_0</vt:lpstr>
      <vt:lpstr>'325'!OSRRefH22_3x_0</vt:lpstr>
      <vt:lpstr>'326'!OSRRefH22_3x_0</vt:lpstr>
      <vt:lpstr>'330'!OSRRefH22_3x_0</vt:lpstr>
      <vt:lpstr>'331'!OSRRefH22_3x_0</vt:lpstr>
      <vt:lpstr>'332'!OSRRefH22_3x_0</vt:lpstr>
      <vt:lpstr>'405'!OSRRefH22_3x_0</vt:lpstr>
      <vt:lpstr>'406'!OSRRefH22_3x_0</vt:lpstr>
      <vt:lpstr>'411'!OSRRefH22_3x_0</vt:lpstr>
      <vt:lpstr>'412'!OSRRefH22_3x_0</vt:lpstr>
      <vt:lpstr>'413'!OSRRefH22_3x_0</vt:lpstr>
      <vt:lpstr>'414'!OSRRefH22_3x_0</vt:lpstr>
      <vt:lpstr>'415'!OSRRefH22_3x_0</vt:lpstr>
      <vt:lpstr>'418'!OSRRefH22_3x_0</vt:lpstr>
      <vt:lpstr>'423'!OSRRefH22_3x_0</vt:lpstr>
      <vt:lpstr>'424'!OSRRefH22_3x_0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'313'!OSRRefH22_4x_0</vt:lpstr>
      <vt:lpstr>'315'!OSRRefH22_4x_0</vt:lpstr>
      <vt:lpstr>'316'!OSRRefH22_4x_0</vt:lpstr>
      <vt:lpstr>'317'!OSRRefH22_4x_0</vt:lpstr>
      <vt:lpstr>'321'!OSRRefH22_4x_0</vt:lpstr>
      <vt:lpstr>'322'!OSRRefH22_4x_0</vt:lpstr>
      <vt:lpstr>'325'!OSRRefH22_4x_0</vt:lpstr>
      <vt:lpstr>'326'!OSRRefH22_4x_0</vt:lpstr>
      <vt:lpstr>'330'!OSRRefH22_4x_0</vt:lpstr>
      <vt:lpstr>'331'!OSRRefH22_4x_0</vt:lpstr>
      <vt:lpstr>'332'!OSRRefH22_4x_0</vt:lpstr>
      <vt:lpstr>'405'!OSRRefH22_4x_0</vt:lpstr>
      <vt:lpstr>'406'!OSRRefH22_4x_0</vt:lpstr>
      <vt:lpstr>'411'!OSRRefH22_4x_0</vt:lpstr>
      <vt:lpstr>'412'!OSRRefH22_4x_0</vt:lpstr>
      <vt:lpstr>'413'!OSRRefH22_4x_0</vt:lpstr>
      <vt:lpstr>'414'!OSRRefH22_4x_0</vt:lpstr>
      <vt:lpstr>'415'!OSRRefH22_4x_0</vt:lpstr>
      <vt:lpstr>'418'!OSRRefH22_4x_0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'310'!OSRRefH22_5x_0</vt:lpstr>
      <vt:lpstr>'310 &amp; 491'!OSRRefH22_5x_0</vt:lpstr>
      <vt:lpstr>'311'!OSRRefH22_5x_0</vt:lpstr>
      <vt:lpstr>'313'!OSRRefH22_5x_0</vt:lpstr>
      <vt:lpstr>'315'!OSRRefH22_5x_0</vt:lpstr>
      <vt:lpstr>'316'!OSRRefH22_5x_0</vt:lpstr>
      <vt:lpstr>'317'!OSRRefH22_5x_0</vt:lpstr>
      <vt:lpstr>'321'!OSRRefH22_5x_0</vt:lpstr>
      <vt:lpstr>'322'!OSRRefH22_5x_0</vt:lpstr>
      <vt:lpstr>'325'!OSRRefH22_5x_0</vt:lpstr>
      <vt:lpstr>'326'!OSRRefH22_5x_0</vt:lpstr>
      <vt:lpstr>'330'!OSRRefH22_5x_0</vt:lpstr>
      <vt:lpstr>'331'!OSRRefH22_5x_0</vt:lpstr>
      <vt:lpstr>'332'!OSRRefH22_5x_0</vt:lpstr>
      <vt:lpstr>'405'!OSRRefH22_5x_0</vt:lpstr>
      <vt:lpstr>'411'!OSRRefH22_5x_0</vt:lpstr>
      <vt:lpstr>'413'!OSRRefH22_5x_0</vt:lpstr>
      <vt:lpstr>'415'!OSRRefH22_5x_0</vt:lpstr>
      <vt:lpstr>'418'!OSRRefH22_5x_0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'310'!OSRRefH22_6x_0</vt:lpstr>
      <vt:lpstr>'310 &amp; 491'!OSRRefH22_6x_0</vt:lpstr>
      <vt:lpstr>'311'!OSRRefH22_6x_0</vt:lpstr>
      <vt:lpstr>'313'!OSRRefH22_6x_0</vt:lpstr>
      <vt:lpstr>'315'!OSRRefH22_6x_0</vt:lpstr>
      <vt:lpstr>'316'!OSRRefH22_6x_0</vt:lpstr>
      <vt:lpstr>'317'!OSRRefH22_6x_0</vt:lpstr>
      <vt:lpstr>'321'!OSRRefH22_6x_0</vt:lpstr>
      <vt:lpstr>'322'!OSRRefH22_6x_0</vt:lpstr>
      <vt:lpstr>'325'!OSRRefH22_6x_0</vt:lpstr>
      <vt:lpstr>'326'!OSRRefH22_6x_0</vt:lpstr>
      <vt:lpstr>'330'!OSRRefH22_6x_0</vt:lpstr>
      <vt:lpstr>'331'!OSRRefH22_6x_0</vt:lpstr>
      <vt:lpstr>'332'!OSRRefH22_6x_0</vt:lpstr>
      <vt:lpstr>'405'!OSRRefH22_6x_0</vt:lpstr>
      <vt:lpstr>'411'!OSRRefH22_6x_0</vt:lpstr>
      <vt:lpstr>'415'!OSRRefH22_6x_0</vt:lpstr>
      <vt:lpstr>'418'!OSRRefH22_6x_0</vt:lpstr>
      <vt:lpstr>'425'!OSRRefH22_6x_0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'322'!OSRRefH22_7x_0</vt:lpstr>
      <vt:lpstr>'325'!OSRRefH22_7x_0</vt:lpstr>
      <vt:lpstr>'326'!OSRRefH22_7x_0</vt:lpstr>
      <vt:lpstr>'330'!OSRRefH22_7x_0</vt:lpstr>
      <vt:lpstr>'331'!OSRRefH22_7x_0</vt:lpstr>
      <vt:lpstr>'332'!OSRRefH22_7x_0</vt:lpstr>
      <vt:lpstr>'405'!OSRRefH22_7x_0</vt:lpstr>
      <vt:lpstr>'411'!OSRRefH22_7x_0</vt:lpstr>
      <vt:lpstr>'415'!OSRRefH22_7x_0</vt:lpstr>
      <vt:lpstr>'418'!OSRRefH22_7x_0</vt:lpstr>
      <vt:lpstr>'425'!OSRRefH22_7x_0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'330'!OSRRefH22_8x_0</vt:lpstr>
      <vt:lpstr>'331'!OSRRefH22_8x_0</vt:lpstr>
      <vt:lpstr>'332'!OSRRefH22_8x_0</vt:lpstr>
      <vt:lpstr>'405'!OSRRefH22_8x_0</vt:lpstr>
      <vt:lpstr>'411'!OSRRefH22_8x_0</vt:lpstr>
      <vt:lpstr>'415'!OSRRefH22_8x_0</vt:lpstr>
      <vt:lpstr>'418'!OSRRefH22_8x_0</vt:lpstr>
      <vt:lpstr>'425'!OSRRefH22_8x_0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'330'!OSRRefH22_9x_0</vt:lpstr>
      <vt:lpstr>'331'!OSRRefH22_9x_0</vt:lpstr>
      <vt:lpstr>'332'!OSRRefH22_9x_0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'313'!OSRRefH22x_0</vt:lpstr>
      <vt:lpstr>'315'!OSRRefH22x_0</vt:lpstr>
      <vt:lpstr>'316'!OSRRefH22x_0</vt:lpstr>
      <vt:lpstr>'317'!OSRRefH22x_0</vt:lpstr>
      <vt:lpstr>'321'!OSRRefH22x_0</vt:lpstr>
      <vt:lpstr>'322'!OSRRefH22x_0</vt:lpstr>
      <vt:lpstr>'325'!OSRRefH22x_0</vt:lpstr>
      <vt:lpstr>'326'!OSRRefH22x_0</vt:lpstr>
      <vt:lpstr>'327'!OSRRefH22x_0</vt:lpstr>
      <vt:lpstr>'330'!OSRRefH22x_0</vt:lpstr>
      <vt:lpstr>'331'!OSRRefH22x_0</vt:lpstr>
      <vt:lpstr>'332'!OSRRefH22x_0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'420'!OSRRefH22x_0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'405'!OSRRefH25x_0</vt:lpstr>
      <vt:lpstr>'411'!OSRRefH25x_0</vt:lpstr>
      <vt:lpstr>'415'!OSRRefH25x_0</vt:lpstr>
      <vt:lpstr>'418'!OSRRefH25x_0</vt:lpstr>
      <vt:lpstr>'423'!OSRRefH25x_0</vt:lpstr>
      <vt:lpstr>'455'!OSRRefH25x_0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'310'!OSRRefP13x_0</vt:lpstr>
      <vt:lpstr>'310 &amp; 491'!OSRRefP13x_0</vt:lpstr>
      <vt:lpstr>'311'!OSRRefP13x_0</vt:lpstr>
      <vt:lpstr>'313'!OSRRefP13x_0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'330'!OSRRefP13x_0</vt:lpstr>
      <vt:lpstr>'331'!OSRRefP13x_0</vt:lpstr>
      <vt:lpstr>'332'!OSRRefP13x_0</vt:lpstr>
      <vt:lpstr>'405'!OSRRefP13x_0</vt:lpstr>
      <vt:lpstr>'414'!OSRRefP13x_0</vt:lpstr>
      <vt:lpstr>'415'!OSRRefP13x_0</vt:lpstr>
      <vt:lpstr>'420'!OSRRefP13x_0</vt:lpstr>
      <vt:lpstr>'425'!OSRRefP13x_0</vt:lpstr>
      <vt:lpstr>'433'!OSRRefP13x_0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'310'!OSRRefP16x_0</vt:lpstr>
      <vt:lpstr>'310 &amp; 491'!OSRRefP16x_0</vt:lpstr>
      <vt:lpstr>'311'!OSRRefP16x_0</vt:lpstr>
      <vt:lpstr>'313'!OSRRefP16x_0</vt:lpstr>
      <vt:lpstr>'315'!OSRRefP16x_0</vt:lpstr>
      <vt:lpstr>'316'!OSRRefP16x_0</vt:lpstr>
      <vt:lpstr>'317'!OSRRefP16x_0</vt:lpstr>
      <vt:lpstr>'321'!OSRRefP16x_0</vt:lpstr>
      <vt:lpstr>'322'!OSRRefP16x_0</vt:lpstr>
      <vt:lpstr>'324'!OSRRefP16x_0</vt:lpstr>
      <vt:lpstr>'325'!OSRRefP16x_0</vt:lpstr>
      <vt:lpstr>'326'!OSRRefP16x_0</vt:lpstr>
      <vt:lpstr>'327'!OSRRefP16x_0</vt:lpstr>
      <vt:lpstr>'330'!OSRRefP16x_0</vt:lpstr>
      <vt:lpstr>'331'!OSRRefP16x_0</vt:lpstr>
      <vt:lpstr>'332'!OSRRefP16x_0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'313'!OSRRefP22_0x_0</vt:lpstr>
      <vt:lpstr>'315'!OSRRefP22_0x_0</vt:lpstr>
      <vt:lpstr>'316'!OSRRefP22_0x_0</vt:lpstr>
      <vt:lpstr>'317'!OSRRefP22_0x_0</vt:lpstr>
      <vt:lpstr>'321'!OSRRefP22_0x_0</vt:lpstr>
      <vt:lpstr>'322'!OSRRefP22_0x_0</vt:lpstr>
      <vt:lpstr>'325'!OSRRefP22_0x_0</vt:lpstr>
      <vt:lpstr>'326'!OSRRefP22_0x_0</vt:lpstr>
      <vt:lpstr>'327'!OSRRefP22_0x_0</vt:lpstr>
      <vt:lpstr>'330'!OSRRefP22_0x_0</vt:lpstr>
      <vt:lpstr>'331'!OSRRefP22_0x_0</vt:lpstr>
      <vt:lpstr>'332'!OSRRefP22_0x_0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'420'!OSRRefP22_0x_0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'330'!OSRRefP22_10x_0</vt:lpstr>
      <vt:lpstr>'331'!OSRRefP22_10x_0</vt:lpstr>
      <vt:lpstr>'332'!OSRRefP22_10x_0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'330'!OSRRefP22_11x_0</vt:lpstr>
      <vt:lpstr>'331'!OSRRefP22_11x_0</vt:lpstr>
      <vt:lpstr>'332'!OSRRefP22_11x_0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'Div 2'!OSRRefP22_11x_0</vt:lpstr>
      <vt:lpstr>'Div 3'!OSRRefP22_11x_0</vt:lpstr>
      <vt:lpstr>'Div 4'!OSRRefP22_11x_0</vt:lpstr>
      <vt:lpstr>Summary!OSRRefP22_11x_0</vt:lpstr>
      <vt:lpstr>'201'!OSRRefP22_12x_0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'310'!OSRRefP22_12x_0</vt:lpstr>
      <vt:lpstr>'310 &amp; 491'!OSRRefP22_12x_0</vt:lpstr>
      <vt:lpstr>'311'!OSRRefP22_12x_0</vt:lpstr>
      <vt:lpstr>'315'!OSRRefP22_12x_0</vt:lpstr>
      <vt:lpstr>'316'!OSRRefP22_12x_0</vt:lpstr>
      <vt:lpstr>'325'!OSRRefP22_12x_0</vt:lpstr>
      <vt:lpstr>'326'!OSRRefP22_12x_0</vt:lpstr>
      <vt:lpstr>'330'!OSRRefP22_12x_0</vt:lpstr>
      <vt:lpstr>'331'!OSRRefP22_12x_0</vt:lpstr>
      <vt:lpstr>'332'!OSRRefP22_12x_0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'Div 2'!OSRRefP22_12x_0</vt:lpstr>
      <vt:lpstr>'Div 3'!OSRRefP22_12x_0</vt:lpstr>
      <vt:lpstr>'Div 4'!OSRRefP22_12x_0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'405'!OSRRefP22_13x_0</vt:lpstr>
      <vt:lpstr>'411'!OSRRefP22_13x_0</vt:lpstr>
      <vt:lpstr>'415'!OSRRefP22_13x_0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'Div 2'!OSRRefP22_13x_0</vt:lpstr>
      <vt:lpstr>'Div 3'!OSRRefP22_13x_0</vt:lpstr>
      <vt:lpstr>'Div 4'!OSRRefP22_13x_0</vt:lpstr>
      <vt:lpstr>Summary!OSRRefP22_13x_0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'326'!OSRRefP22_14x_0</vt:lpstr>
      <vt:lpstr>'331'!OSRRefP22_14x_0</vt:lpstr>
      <vt:lpstr>'405'!OSRRefP22_14x_0</vt:lpstr>
      <vt:lpstr>'411'!OSRRefP22_14x_0</vt:lpstr>
      <vt:lpstr>'415'!OSRRefP22_14x_0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'326'!OSRRefP22_15x_0</vt:lpstr>
      <vt:lpstr>'331'!OSRRefP22_15x_0</vt:lpstr>
      <vt:lpstr>'405'!OSRRefP22_15x_0</vt:lpstr>
      <vt:lpstr>'415'!OSRRefP22_15x_0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 &amp; 491'!OSRRefP22_16x_0</vt:lpstr>
      <vt:lpstr>'326'!OSRRefP22_16x_0</vt:lpstr>
      <vt:lpstr>'331'!OSRRefP22_16x_0</vt:lpstr>
      <vt:lpstr>'415'!OSRRefP22_16x_0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 &amp; 491'!OSRRefP22_17x_0</vt:lpstr>
      <vt:lpstr>'326'!OSRRefP22_17x_0</vt:lpstr>
      <vt:lpstr>'331'!OSRRefP22_17x_0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'331'!OSRRefP22_18x_0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'313'!OSRRefP22_1x_0</vt:lpstr>
      <vt:lpstr>'315'!OSRRefP22_1x_0</vt:lpstr>
      <vt:lpstr>'316'!OSRRefP22_1x_0</vt:lpstr>
      <vt:lpstr>'317'!OSRRefP22_1x_0</vt:lpstr>
      <vt:lpstr>'321'!OSRRefP22_1x_0</vt:lpstr>
      <vt:lpstr>'322'!OSRRefP22_1x_0</vt:lpstr>
      <vt:lpstr>'325'!OSRRefP22_1x_0</vt:lpstr>
      <vt:lpstr>'326'!OSRRefP22_1x_0</vt:lpstr>
      <vt:lpstr>'330'!OSRRefP22_1x_0</vt:lpstr>
      <vt:lpstr>'331'!OSRRefP22_1x_0</vt:lpstr>
      <vt:lpstr>'332'!OSRRefP22_1x_0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'310 &amp; 491'!OSRRefP22_21x_0</vt:lpstr>
      <vt:lpstr>'491'!OSRRefP22_21x_0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'Div 4'!OSRRefP22_23x_0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'313'!OSRRefP22_2x_0</vt:lpstr>
      <vt:lpstr>'315'!OSRRefP22_2x_0</vt:lpstr>
      <vt:lpstr>'316'!OSRRefP22_2x_0</vt:lpstr>
      <vt:lpstr>'317'!OSRRefP22_2x_0</vt:lpstr>
      <vt:lpstr>'321'!OSRRefP22_2x_0</vt:lpstr>
      <vt:lpstr>'322'!OSRRefP22_2x_0</vt:lpstr>
      <vt:lpstr>'325'!OSRRefP22_2x_0</vt:lpstr>
      <vt:lpstr>'326'!OSRRefP22_2x_0</vt:lpstr>
      <vt:lpstr>'330'!OSRRefP22_2x_0</vt:lpstr>
      <vt:lpstr>'331'!OSRRefP22_2x_0</vt:lpstr>
      <vt:lpstr>'332'!OSRRefP22_2x_0</vt:lpstr>
      <vt:lpstr>'405'!OSRRefP22_2x_0</vt:lpstr>
      <vt:lpstr>'406'!OSRRefP22_2x_0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'313'!OSRRefP22_3x_0</vt:lpstr>
      <vt:lpstr>'315'!OSRRefP22_3x_0</vt:lpstr>
      <vt:lpstr>'316'!OSRRefP22_3x_0</vt:lpstr>
      <vt:lpstr>'317'!OSRRefP22_3x_0</vt:lpstr>
      <vt:lpstr>'321'!OSRRefP22_3x_0</vt:lpstr>
      <vt:lpstr>'322'!OSRRefP22_3x_0</vt:lpstr>
      <vt:lpstr>'325'!OSRRefP22_3x_0</vt:lpstr>
      <vt:lpstr>'326'!OSRRefP22_3x_0</vt:lpstr>
      <vt:lpstr>'330'!OSRRefP22_3x_0</vt:lpstr>
      <vt:lpstr>'331'!OSRRefP22_3x_0</vt:lpstr>
      <vt:lpstr>'332'!OSRRefP22_3x_0</vt:lpstr>
      <vt:lpstr>'405'!OSRRefP22_3x_0</vt:lpstr>
      <vt:lpstr>'406'!OSRRefP22_3x_0</vt:lpstr>
      <vt:lpstr>'411'!OSRRefP22_3x_0</vt:lpstr>
      <vt:lpstr>'412'!OSRRefP22_3x_0</vt:lpstr>
      <vt:lpstr>'413'!OSRRefP22_3x_0</vt:lpstr>
      <vt:lpstr>'414'!OSRRefP22_3x_0</vt:lpstr>
      <vt:lpstr>'415'!OSRRefP22_3x_0</vt:lpstr>
      <vt:lpstr>'418'!OSRRefP22_3x_0</vt:lpstr>
      <vt:lpstr>'423'!OSRRefP22_3x_0</vt:lpstr>
      <vt:lpstr>'424'!OSRRefP22_3x_0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'313'!OSRRefP22_4x_0</vt:lpstr>
      <vt:lpstr>'315'!OSRRefP22_4x_0</vt:lpstr>
      <vt:lpstr>'316'!OSRRefP22_4x_0</vt:lpstr>
      <vt:lpstr>'317'!OSRRefP22_4x_0</vt:lpstr>
      <vt:lpstr>'321'!OSRRefP22_4x_0</vt:lpstr>
      <vt:lpstr>'322'!OSRRefP22_4x_0</vt:lpstr>
      <vt:lpstr>'325'!OSRRefP22_4x_0</vt:lpstr>
      <vt:lpstr>'326'!OSRRefP22_4x_0</vt:lpstr>
      <vt:lpstr>'330'!OSRRefP22_4x_0</vt:lpstr>
      <vt:lpstr>'331'!OSRRefP22_4x_0</vt:lpstr>
      <vt:lpstr>'332'!OSRRefP22_4x_0</vt:lpstr>
      <vt:lpstr>'405'!OSRRefP22_4x_0</vt:lpstr>
      <vt:lpstr>'406'!OSRRefP22_4x_0</vt:lpstr>
      <vt:lpstr>'411'!OSRRefP22_4x_0</vt:lpstr>
      <vt:lpstr>'412'!OSRRefP22_4x_0</vt:lpstr>
      <vt:lpstr>'413'!OSRRefP22_4x_0</vt:lpstr>
      <vt:lpstr>'414'!OSRRefP22_4x_0</vt:lpstr>
      <vt:lpstr>'415'!OSRRefP22_4x_0</vt:lpstr>
      <vt:lpstr>'418'!OSRRefP22_4x_0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'310'!OSRRefP22_5x_0</vt:lpstr>
      <vt:lpstr>'310 &amp; 491'!OSRRefP22_5x_0</vt:lpstr>
      <vt:lpstr>'311'!OSRRefP22_5x_0</vt:lpstr>
      <vt:lpstr>'313'!OSRRefP22_5x_0</vt:lpstr>
      <vt:lpstr>'315'!OSRRefP22_5x_0</vt:lpstr>
      <vt:lpstr>'316'!OSRRefP22_5x_0</vt:lpstr>
      <vt:lpstr>'317'!OSRRefP22_5x_0</vt:lpstr>
      <vt:lpstr>'321'!OSRRefP22_5x_0</vt:lpstr>
      <vt:lpstr>'322'!OSRRefP22_5x_0</vt:lpstr>
      <vt:lpstr>'325'!OSRRefP22_5x_0</vt:lpstr>
      <vt:lpstr>'326'!OSRRefP22_5x_0</vt:lpstr>
      <vt:lpstr>'330'!OSRRefP22_5x_0</vt:lpstr>
      <vt:lpstr>'331'!OSRRefP22_5x_0</vt:lpstr>
      <vt:lpstr>'332'!OSRRefP22_5x_0</vt:lpstr>
      <vt:lpstr>'405'!OSRRefP22_5x_0</vt:lpstr>
      <vt:lpstr>'411'!OSRRefP22_5x_0</vt:lpstr>
      <vt:lpstr>'413'!OSRRefP22_5x_0</vt:lpstr>
      <vt:lpstr>'415'!OSRRefP22_5x_0</vt:lpstr>
      <vt:lpstr>'418'!OSRRefP22_5x_0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'310'!OSRRefP22_6x_0</vt:lpstr>
      <vt:lpstr>'310 &amp; 491'!OSRRefP22_6x_0</vt:lpstr>
      <vt:lpstr>'311'!OSRRefP22_6x_0</vt:lpstr>
      <vt:lpstr>'313'!OSRRefP22_6x_0</vt:lpstr>
      <vt:lpstr>'315'!OSRRefP22_6x_0</vt:lpstr>
      <vt:lpstr>'316'!OSRRefP22_6x_0</vt:lpstr>
      <vt:lpstr>'317'!OSRRefP22_6x_0</vt:lpstr>
      <vt:lpstr>'321'!OSRRefP22_6x_0</vt:lpstr>
      <vt:lpstr>'322'!OSRRefP22_6x_0</vt:lpstr>
      <vt:lpstr>'325'!OSRRefP22_6x_0</vt:lpstr>
      <vt:lpstr>'326'!OSRRefP22_6x_0</vt:lpstr>
      <vt:lpstr>'330'!OSRRefP22_6x_0</vt:lpstr>
      <vt:lpstr>'331'!OSRRefP22_6x_0</vt:lpstr>
      <vt:lpstr>'332'!OSRRefP22_6x_0</vt:lpstr>
      <vt:lpstr>'405'!OSRRefP22_6x_0</vt:lpstr>
      <vt:lpstr>'411'!OSRRefP22_6x_0</vt:lpstr>
      <vt:lpstr>'415'!OSRRefP22_6x_0</vt:lpstr>
      <vt:lpstr>'418'!OSRRefP22_6x_0</vt:lpstr>
      <vt:lpstr>'425'!OSRRefP22_6x_0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'322'!OSRRefP22_7x_0</vt:lpstr>
      <vt:lpstr>'325'!OSRRefP22_7x_0</vt:lpstr>
      <vt:lpstr>'326'!OSRRefP22_7x_0</vt:lpstr>
      <vt:lpstr>'330'!OSRRefP22_7x_0</vt:lpstr>
      <vt:lpstr>'331'!OSRRefP22_7x_0</vt:lpstr>
      <vt:lpstr>'332'!OSRRefP22_7x_0</vt:lpstr>
      <vt:lpstr>'405'!OSRRefP22_7x_0</vt:lpstr>
      <vt:lpstr>'411'!OSRRefP22_7x_0</vt:lpstr>
      <vt:lpstr>'415'!OSRRefP22_7x_0</vt:lpstr>
      <vt:lpstr>'418'!OSRRefP22_7x_0</vt:lpstr>
      <vt:lpstr>'425'!OSRRefP22_7x_0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'330'!OSRRefP22_8x_0</vt:lpstr>
      <vt:lpstr>'331'!OSRRefP22_8x_0</vt:lpstr>
      <vt:lpstr>'332'!OSRRefP22_8x_0</vt:lpstr>
      <vt:lpstr>'405'!OSRRefP22_8x_0</vt:lpstr>
      <vt:lpstr>'411'!OSRRefP22_8x_0</vt:lpstr>
      <vt:lpstr>'415'!OSRRefP22_8x_0</vt:lpstr>
      <vt:lpstr>'418'!OSRRefP22_8x_0</vt:lpstr>
      <vt:lpstr>'425'!OSRRefP22_8x_0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'330'!OSRRefP22_9x_0</vt:lpstr>
      <vt:lpstr>'331'!OSRRefP22_9x_0</vt:lpstr>
      <vt:lpstr>'332'!OSRRefP22_9x_0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'313'!OSRRefP22x_0</vt:lpstr>
      <vt:lpstr>'315'!OSRRefP22x_0</vt:lpstr>
      <vt:lpstr>'316'!OSRRefP22x_0</vt:lpstr>
      <vt:lpstr>'317'!OSRRefP22x_0</vt:lpstr>
      <vt:lpstr>'321'!OSRRefP22x_0</vt:lpstr>
      <vt:lpstr>'322'!OSRRefP22x_0</vt:lpstr>
      <vt:lpstr>'325'!OSRRefP22x_0</vt:lpstr>
      <vt:lpstr>'326'!OSRRefP22x_0</vt:lpstr>
      <vt:lpstr>'327'!OSRRefP22x_0</vt:lpstr>
      <vt:lpstr>'330'!OSRRefP22x_0</vt:lpstr>
      <vt:lpstr>'331'!OSRRefP22x_0</vt:lpstr>
      <vt:lpstr>'332'!OSRRefP22x_0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'420'!OSRRefP22x_0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'405'!OSRRefP25x_0</vt:lpstr>
      <vt:lpstr>'411'!OSRRefP25x_0</vt:lpstr>
      <vt:lpstr>'415'!OSRRefP25x_0</vt:lpstr>
      <vt:lpstr>'418'!OSRRefP25x_0</vt:lpstr>
      <vt:lpstr>'423'!OSRRefP25x_0</vt:lpstr>
      <vt:lpstr>'455'!OSRRefP25x_0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'310'!OSRRefT13x_0</vt:lpstr>
      <vt:lpstr>'310 &amp; 491'!OSRRefT13x_0</vt:lpstr>
      <vt:lpstr>'311'!OSRRefT13x_0</vt:lpstr>
      <vt:lpstr>'313'!OSRRefT13x_0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'330'!OSRRefT13x_0</vt:lpstr>
      <vt:lpstr>'331'!OSRRefT13x_0</vt:lpstr>
      <vt:lpstr>'332'!OSRRefT13x_0</vt:lpstr>
      <vt:lpstr>'405'!OSRRefT13x_0</vt:lpstr>
      <vt:lpstr>'414'!OSRRefT13x_0</vt:lpstr>
      <vt:lpstr>'415'!OSRRefT13x_0</vt:lpstr>
      <vt:lpstr>'420'!OSRRefT13x_0</vt:lpstr>
      <vt:lpstr>'425'!OSRRefT13x_0</vt:lpstr>
      <vt:lpstr>'433'!OSRRefT13x_0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'310'!OSRRefT16x_0</vt:lpstr>
      <vt:lpstr>'310 &amp; 491'!OSRRefT16x_0</vt:lpstr>
      <vt:lpstr>'311'!OSRRefT16x_0</vt:lpstr>
      <vt:lpstr>'313'!OSRRefT16x_0</vt:lpstr>
      <vt:lpstr>'315'!OSRRefT16x_0</vt:lpstr>
      <vt:lpstr>'316'!OSRRefT16x_0</vt:lpstr>
      <vt:lpstr>'317'!OSRRefT16x_0</vt:lpstr>
      <vt:lpstr>'321'!OSRRefT16x_0</vt:lpstr>
      <vt:lpstr>'322'!OSRRefT16x_0</vt:lpstr>
      <vt:lpstr>'324'!OSRRefT16x_0</vt:lpstr>
      <vt:lpstr>'325'!OSRRefT16x_0</vt:lpstr>
      <vt:lpstr>'326'!OSRRefT16x_0</vt:lpstr>
      <vt:lpstr>'327'!OSRRefT16x_0</vt:lpstr>
      <vt:lpstr>'330'!OSRRefT16x_0</vt:lpstr>
      <vt:lpstr>'331'!OSRRefT16x_0</vt:lpstr>
      <vt:lpstr>'332'!OSRRefT16x_0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'313'!OSRRefT22_0x_0</vt:lpstr>
      <vt:lpstr>'315'!OSRRefT22_0x_0</vt:lpstr>
      <vt:lpstr>'316'!OSRRefT22_0x_0</vt:lpstr>
      <vt:lpstr>'317'!OSRRefT22_0x_0</vt:lpstr>
      <vt:lpstr>'321'!OSRRefT22_0x_0</vt:lpstr>
      <vt:lpstr>'322'!OSRRefT22_0x_0</vt:lpstr>
      <vt:lpstr>'325'!OSRRefT22_0x_0</vt:lpstr>
      <vt:lpstr>'326'!OSRRefT22_0x_0</vt:lpstr>
      <vt:lpstr>'327'!OSRRefT22_0x_0</vt:lpstr>
      <vt:lpstr>'330'!OSRRefT22_0x_0</vt:lpstr>
      <vt:lpstr>'331'!OSRRefT22_0x_0</vt:lpstr>
      <vt:lpstr>'332'!OSRRefT22_0x_0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'420'!OSRRefT22_0x_0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'330'!OSRRefT22_10x_0</vt:lpstr>
      <vt:lpstr>'331'!OSRRefT22_10x_0</vt:lpstr>
      <vt:lpstr>'332'!OSRRefT22_10x_0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'330'!OSRRefT22_11x_0</vt:lpstr>
      <vt:lpstr>'331'!OSRRefT22_11x_0</vt:lpstr>
      <vt:lpstr>'332'!OSRRefT22_11x_0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'Div 2'!OSRRefT22_11x_0</vt:lpstr>
      <vt:lpstr>'Div 3'!OSRRefT22_11x_0</vt:lpstr>
      <vt:lpstr>'Div 4'!OSRRefT22_11x_0</vt:lpstr>
      <vt:lpstr>Summary!OSRRefT22_11x_0</vt:lpstr>
      <vt:lpstr>'201'!OSRRefT22_12x_0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'310'!OSRRefT22_12x_0</vt:lpstr>
      <vt:lpstr>'310 &amp; 491'!OSRRefT22_12x_0</vt:lpstr>
      <vt:lpstr>'311'!OSRRefT22_12x_0</vt:lpstr>
      <vt:lpstr>'315'!OSRRefT22_12x_0</vt:lpstr>
      <vt:lpstr>'316'!OSRRefT22_12x_0</vt:lpstr>
      <vt:lpstr>'325'!OSRRefT22_12x_0</vt:lpstr>
      <vt:lpstr>'326'!OSRRefT22_12x_0</vt:lpstr>
      <vt:lpstr>'330'!OSRRefT22_12x_0</vt:lpstr>
      <vt:lpstr>'331'!OSRRefT22_12x_0</vt:lpstr>
      <vt:lpstr>'332'!OSRRefT22_12x_0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'Div 2'!OSRRefT22_12x_0</vt:lpstr>
      <vt:lpstr>'Div 3'!OSRRefT22_12x_0</vt:lpstr>
      <vt:lpstr>'Div 4'!OSRRefT22_12x_0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'405'!OSRRefT22_13x_0</vt:lpstr>
      <vt:lpstr>'411'!OSRRefT22_13x_0</vt:lpstr>
      <vt:lpstr>'415'!OSRRefT22_13x_0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'Div 2'!OSRRefT22_13x_0</vt:lpstr>
      <vt:lpstr>'Div 3'!OSRRefT22_13x_0</vt:lpstr>
      <vt:lpstr>'Div 4'!OSRRefT22_13x_0</vt:lpstr>
      <vt:lpstr>Summary!OSRRefT22_13x_0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'326'!OSRRefT22_14x_0</vt:lpstr>
      <vt:lpstr>'331'!OSRRefT22_14x_0</vt:lpstr>
      <vt:lpstr>'405'!OSRRefT22_14x_0</vt:lpstr>
      <vt:lpstr>'411'!OSRRefT22_14x_0</vt:lpstr>
      <vt:lpstr>'415'!OSRRefT22_14x_0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'326'!OSRRefT22_15x_0</vt:lpstr>
      <vt:lpstr>'331'!OSRRefT22_15x_0</vt:lpstr>
      <vt:lpstr>'405'!OSRRefT22_15x_0</vt:lpstr>
      <vt:lpstr>'415'!OSRRefT22_15x_0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 &amp; 491'!OSRRefT22_16x_0</vt:lpstr>
      <vt:lpstr>'326'!OSRRefT22_16x_0</vt:lpstr>
      <vt:lpstr>'331'!OSRRefT22_16x_0</vt:lpstr>
      <vt:lpstr>'415'!OSRRefT22_16x_0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 &amp; 491'!OSRRefT22_17x_0</vt:lpstr>
      <vt:lpstr>'326'!OSRRefT22_17x_0</vt:lpstr>
      <vt:lpstr>'331'!OSRRefT22_17x_0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'331'!OSRRefT22_18x_0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'313'!OSRRefT22_1x_0</vt:lpstr>
      <vt:lpstr>'315'!OSRRefT22_1x_0</vt:lpstr>
      <vt:lpstr>'316'!OSRRefT22_1x_0</vt:lpstr>
      <vt:lpstr>'317'!OSRRefT22_1x_0</vt:lpstr>
      <vt:lpstr>'321'!OSRRefT22_1x_0</vt:lpstr>
      <vt:lpstr>'322'!OSRRefT22_1x_0</vt:lpstr>
      <vt:lpstr>'325'!OSRRefT22_1x_0</vt:lpstr>
      <vt:lpstr>'326'!OSRRefT22_1x_0</vt:lpstr>
      <vt:lpstr>'330'!OSRRefT22_1x_0</vt:lpstr>
      <vt:lpstr>'331'!OSRRefT22_1x_0</vt:lpstr>
      <vt:lpstr>'332'!OSRRefT22_1x_0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'310 &amp; 491'!OSRRefT22_21x_0</vt:lpstr>
      <vt:lpstr>'491'!OSRRefT22_21x_0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'Div 4'!OSRRefT22_23x_0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'313'!OSRRefT22_2x_0</vt:lpstr>
      <vt:lpstr>'315'!OSRRefT22_2x_0</vt:lpstr>
      <vt:lpstr>'316'!OSRRefT22_2x_0</vt:lpstr>
      <vt:lpstr>'317'!OSRRefT22_2x_0</vt:lpstr>
      <vt:lpstr>'321'!OSRRefT22_2x_0</vt:lpstr>
      <vt:lpstr>'322'!OSRRefT22_2x_0</vt:lpstr>
      <vt:lpstr>'325'!OSRRefT22_2x_0</vt:lpstr>
      <vt:lpstr>'326'!OSRRefT22_2x_0</vt:lpstr>
      <vt:lpstr>'330'!OSRRefT22_2x_0</vt:lpstr>
      <vt:lpstr>'331'!OSRRefT22_2x_0</vt:lpstr>
      <vt:lpstr>'332'!OSRRefT22_2x_0</vt:lpstr>
      <vt:lpstr>'405'!OSRRefT22_2x_0</vt:lpstr>
      <vt:lpstr>'406'!OSRRefT22_2x_0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'313'!OSRRefT22_3x_0</vt:lpstr>
      <vt:lpstr>'315'!OSRRefT22_3x_0</vt:lpstr>
      <vt:lpstr>'316'!OSRRefT22_3x_0</vt:lpstr>
      <vt:lpstr>'317'!OSRRefT22_3x_0</vt:lpstr>
      <vt:lpstr>'321'!OSRRefT22_3x_0</vt:lpstr>
      <vt:lpstr>'322'!OSRRefT22_3x_0</vt:lpstr>
      <vt:lpstr>'325'!OSRRefT22_3x_0</vt:lpstr>
      <vt:lpstr>'326'!OSRRefT22_3x_0</vt:lpstr>
      <vt:lpstr>'330'!OSRRefT22_3x_0</vt:lpstr>
      <vt:lpstr>'331'!OSRRefT22_3x_0</vt:lpstr>
      <vt:lpstr>'332'!OSRRefT22_3x_0</vt:lpstr>
      <vt:lpstr>'405'!OSRRefT22_3x_0</vt:lpstr>
      <vt:lpstr>'406'!OSRRefT22_3x_0</vt:lpstr>
      <vt:lpstr>'411'!OSRRefT22_3x_0</vt:lpstr>
      <vt:lpstr>'412'!OSRRefT22_3x_0</vt:lpstr>
      <vt:lpstr>'413'!OSRRefT22_3x_0</vt:lpstr>
      <vt:lpstr>'414'!OSRRefT22_3x_0</vt:lpstr>
      <vt:lpstr>'415'!OSRRefT22_3x_0</vt:lpstr>
      <vt:lpstr>'418'!OSRRefT22_3x_0</vt:lpstr>
      <vt:lpstr>'423'!OSRRefT22_3x_0</vt:lpstr>
      <vt:lpstr>'424'!OSRRefT22_3x_0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'313'!OSRRefT22_4x_0</vt:lpstr>
      <vt:lpstr>'315'!OSRRefT22_4x_0</vt:lpstr>
      <vt:lpstr>'316'!OSRRefT22_4x_0</vt:lpstr>
      <vt:lpstr>'317'!OSRRefT22_4x_0</vt:lpstr>
      <vt:lpstr>'321'!OSRRefT22_4x_0</vt:lpstr>
      <vt:lpstr>'322'!OSRRefT22_4x_0</vt:lpstr>
      <vt:lpstr>'325'!OSRRefT22_4x_0</vt:lpstr>
      <vt:lpstr>'326'!OSRRefT22_4x_0</vt:lpstr>
      <vt:lpstr>'330'!OSRRefT22_4x_0</vt:lpstr>
      <vt:lpstr>'331'!OSRRefT22_4x_0</vt:lpstr>
      <vt:lpstr>'332'!OSRRefT22_4x_0</vt:lpstr>
      <vt:lpstr>'405'!OSRRefT22_4x_0</vt:lpstr>
      <vt:lpstr>'406'!OSRRefT22_4x_0</vt:lpstr>
      <vt:lpstr>'411'!OSRRefT22_4x_0</vt:lpstr>
      <vt:lpstr>'412'!OSRRefT22_4x_0</vt:lpstr>
      <vt:lpstr>'413'!OSRRefT22_4x_0</vt:lpstr>
      <vt:lpstr>'414'!OSRRefT22_4x_0</vt:lpstr>
      <vt:lpstr>'415'!OSRRefT22_4x_0</vt:lpstr>
      <vt:lpstr>'418'!OSRRefT22_4x_0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'310'!OSRRefT22_5x_0</vt:lpstr>
      <vt:lpstr>'310 &amp; 491'!OSRRefT22_5x_0</vt:lpstr>
      <vt:lpstr>'311'!OSRRefT22_5x_0</vt:lpstr>
      <vt:lpstr>'313'!OSRRefT22_5x_0</vt:lpstr>
      <vt:lpstr>'315'!OSRRefT22_5x_0</vt:lpstr>
      <vt:lpstr>'316'!OSRRefT22_5x_0</vt:lpstr>
      <vt:lpstr>'317'!OSRRefT22_5x_0</vt:lpstr>
      <vt:lpstr>'321'!OSRRefT22_5x_0</vt:lpstr>
      <vt:lpstr>'322'!OSRRefT22_5x_0</vt:lpstr>
      <vt:lpstr>'325'!OSRRefT22_5x_0</vt:lpstr>
      <vt:lpstr>'326'!OSRRefT22_5x_0</vt:lpstr>
      <vt:lpstr>'330'!OSRRefT22_5x_0</vt:lpstr>
      <vt:lpstr>'331'!OSRRefT22_5x_0</vt:lpstr>
      <vt:lpstr>'332'!OSRRefT22_5x_0</vt:lpstr>
      <vt:lpstr>'405'!OSRRefT22_5x_0</vt:lpstr>
      <vt:lpstr>'411'!OSRRefT22_5x_0</vt:lpstr>
      <vt:lpstr>'413'!OSRRefT22_5x_0</vt:lpstr>
      <vt:lpstr>'415'!OSRRefT22_5x_0</vt:lpstr>
      <vt:lpstr>'418'!OSRRefT22_5x_0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'310'!OSRRefT22_6x_0</vt:lpstr>
      <vt:lpstr>'310 &amp; 491'!OSRRefT22_6x_0</vt:lpstr>
      <vt:lpstr>'311'!OSRRefT22_6x_0</vt:lpstr>
      <vt:lpstr>'313'!OSRRefT22_6x_0</vt:lpstr>
      <vt:lpstr>'315'!OSRRefT22_6x_0</vt:lpstr>
      <vt:lpstr>'316'!OSRRefT22_6x_0</vt:lpstr>
      <vt:lpstr>'317'!OSRRefT22_6x_0</vt:lpstr>
      <vt:lpstr>'321'!OSRRefT22_6x_0</vt:lpstr>
      <vt:lpstr>'322'!OSRRefT22_6x_0</vt:lpstr>
      <vt:lpstr>'325'!OSRRefT22_6x_0</vt:lpstr>
      <vt:lpstr>'326'!OSRRefT22_6x_0</vt:lpstr>
      <vt:lpstr>'330'!OSRRefT22_6x_0</vt:lpstr>
      <vt:lpstr>'331'!OSRRefT22_6x_0</vt:lpstr>
      <vt:lpstr>'332'!OSRRefT22_6x_0</vt:lpstr>
      <vt:lpstr>'405'!OSRRefT22_6x_0</vt:lpstr>
      <vt:lpstr>'411'!OSRRefT22_6x_0</vt:lpstr>
      <vt:lpstr>'415'!OSRRefT22_6x_0</vt:lpstr>
      <vt:lpstr>'418'!OSRRefT22_6x_0</vt:lpstr>
      <vt:lpstr>'425'!OSRRefT22_6x_0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'322'!OSRRefT22_7x_0</vt:lpstr>
      <vt:lpstr>'325'!OSRRefT22_7x_0</vt:lpstr>
      <vt:lpstr>'326'!OSRRefT22_7x_0</vt:lpstr>
      <vt:lpstr>'330'!OSRRefT22_7x_0</vt:lpstr>
      <vt:lpstr>'331'!OSRRefT22_7x_0</vt:lpstr>
      <vt:lpstr>'332'!OSRRefT22_7x_0</vt:lpstr>
      <vt:lpstr>'405'!OSRRefT22_7x_0</vt:lpstr>
      <vt:lpstr>'411'!OSRRefT22_7x_0</vt:lpstr>
      <vt:lpstr>'415'!OSRRefT22_7x_0</vt:lpstr>
      <vt:lpstr>'418'!OSRRefT22_7x_0</vt:lpstr>
      <vt:lpstr>'425'!OSRRefT22_7x_0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'330'!OSRRefT22_8x_0</vt:lpstr>
      <vt:lpstr>'331'!OSRRefT22_8x_0</vt:lpstr>
      <vt:lpstr>'332'!OSRRefT22_8x_0</vt:lpstr>
      <vt:lpstr>'405'!OSRRefT22_8x_0</vt:lpstr>
      <vt:lpstr>'411'!OSRRefT22_8x_0</vt:lpstr>
      <vt:lpstr>'415'!OSRRefT22_8x_0</vt:lpstr>
      <vt:lpstr>'418'!OSRRefT22_8x_0</vt:lpstr>
      <vt:lpstr>'425'!OSRRefT22_8x_0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'330'!OSRRefT22_9x_0</vt:lpstr>
      <vt:lpstr>'331'!OSRRefT22_9x_0</vt:lpstr>
      <vt:lpstr>'332'!OSRRefT22_9x_0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'313'!OSRRefT22x_0</vt:lpstr>
      <vt:lpstr>'315'!OSRRefT22x_0</vt:lpstr>
      <vt:lpstr>'316'!OSRRefT22x_0</vt:lpstr>
      <vt:lpstr>'317'!OSRRefT22x_0</vt:lpstr>
      <vt:lpstr>'321'!OSRRefT22x_0</vt:lpstr>
      <vt:lpstr>'322'!OSRRefT22x_0</vt:lpstr>
      <vt:lpstr>'325'!OSRRefT22x_0</vt:lpstr>
      <vt:lpstr>'326'!OSRRefT22x_0</vt:lpstr>
      <vt:lpstr>'327'!OSRRefT22x_0</vt:lpstr>
      <vt:lpstr>'330'!OSRRefT22x_0</vt:lpstr>
      <vt:lpstr>'331'!OSRRefT22x_0</vt:lpstr>
      <vt:lpstr>'332'!OSRRefT22x_0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'420'!OSRRefT22x_0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'405'!OSRRefT25x_0</vt:lpstr>
      <vt:lpstr>'411'!OSRRefT25x_0</vt:lpstr>
      <vt:lpstr>'415'!OSRRefT25x_0</vt:lpstr>
      <vt:lpstr>'418'!OSRRefT25x_0</vt:lpstr>
      <vt:lpstr>'423'!OSRRefT25x_0</vt:lpstr>
      <vt:lpstr>'455'!OSRRefT25x_0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'313'!Print_Area</vt:lpstr>
      <vt:lpstr>'315'!Print_Area</vt:lpstr>
      <vt:lpstr>'316'!Print_Area</vt:lpstr>
      <vt:lpstr>'317'!Print_Area</vt:lpstr>
      <vt:lpstr>'321'!Print_Area</vt:lpstr>
      <vt:lpstr>'322'!Print_Area</vt:lpstr>
      <vt:lpstr>'324'!Print_Area</vt:lpstr>
      <vt:lpstr>'325'!Print_Area</vt:lpstr>
      <vt:lpstr>'326'!Print_Area</vt:lpstr>
      <vt:lpstr>'327'!Print_Area</vt:lpstr>
      <vt:lpstr>'330'!Print_Area</vt:lpstr>
      <vt:lpstr>'331'!Print_Area</vt:lpstr>
      <vt:lpstr>'332'!Print_Area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'420'!Print_Area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'455'!Print_Area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(2)_7...54cb56fc_UFX0O2'!Print_Area</vt:lpstr>
      <vt:lpstr>'OSR_300 (2)_c...79cd3046_1TJM0H'!Print_Area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OSR_310_1CMTOSB!Print_Area</vt:lpstr>
      <vt:lpstr>'OSR_330 (2)_...8a14c83e_1NSH7XI'!Print_Area</vt:lpstr>
      <vt:lpstr>OSR_330_10VFP5Y!Print_Area</vt:lpstr>
      <vt:lpstr>'OSR_331 (2)_...7280af70_1P5SPLT'!Print_Area</vt:lpstr>
      <vt:lpstr>OSR_331_10VKQAJ!Print_Area</vt:lpstr>
      <vt:lpstr>OSR_332_6NDVBW!Print_Area</vt:lpstr>
      <vt:lpstr>'OSR_491 (2)_0...c51cc666_QIOT67'!Print_Area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 (2)...b7db256a_40ITCB'!Print_Area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(2...09141158_1BG9FGV'!Print_Area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'313'!Print_Titles</vt:lpstr>
      <vt:lpstr>'315'!Print_Titles</vt:lpstr>
      <vt:lpstr>'316'!Print_Titles</vt:lpstr>
      <vt:lpstr>'317'!Print_Titles</vt:lpstr>
      <vt:lpstr>'321'!Print_Titles</vt:lpstr>
      <vt:lpstr>'322'!Print_Titles</vt:lpstr>
      <vt:lpstr>'324'!Print_Titles</vt:lpstr>
      <vt:lpstr>'325'!Print_Titles</vt:lpstr>
      <vt:lpstr>'326'!Print_Titles</vt:lpstr>
      <vt:lpstr>'327'!Print_Titles</vt:lpstr>
      <vt:lpstr>'330'!Print_Titles</vt:lpstr>
      <vt:lpstr>'331'!Print_Titles</vt:lpstr>
      <vt:lpstr>'332'!Print_Titles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'420'!Print_Titles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'455'!Print_Titles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(2)_7...54cb56fc_UFX0O2'!Print_Titles</vt:lpstr>
      <vt:lpstr>'OSR_300 (2)_c...79cd3046_1TJM0H'!Print_Titles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OSR_310_1CMTOSB!Print_Titles</vt:lpstr>
      <vt:lpstr>'OSR_330 (2)_...8a14c83e_1NSH7XI'!Print_Titles</vt:lpstr>
      <vt:lpstr>OSR_330_10VFP5Y!Print_Titles</vt:lpstr>
      <vt:lpstr>'OSR_331 (2)_...7280af70_1P5SPLT'!Print_Titles</vt:lpstr>
      <vt:lpstr>OSR_331_10VKQAJ!Print_Titles</vt:lpstr>
      <vt:lpstr>OSR_332_6NDVBW!Print_Titles</vt:lpstr>
      <vt:lpstr>'OSR_491 (2)_0...c51cc666_QIOT67'!Print_Titles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 (2)...b7db256a_40ITCB'!Print_Titles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(2...09141158_1BG9FGV'!Print_Titles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2021-12-13T18:24:49Z</dcterms:created>
  <dcterms:modified xsi:type="dcterms:W3CDTF">2021-12-13T18:38:43Z</dcterms:modified>
</cp:coreProperties>
</file>